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nalde\AppData\Roaming\OpenText\OTEdit\EC_infohub\c37444202\"/>
    </mc:Choice>
  </mc:AlternateContent>
  <xr:revisionPtr revIDLastSave="0" documentId="13_ncr:1_{FC2DEF11-5F11-480F-9A3C-7375DEA4E904}" xr6:coauthVersionLast="45" xr6:coauthVersionMax="45" xr10:uidLastSave="{00000000-0000-0000-0000-000000000000}"/>
  <bookViews>
    <workbookView xWindow="-120" yWindow="-120" windowWidth="29040" windowHeight="15840" tabRatio="701" xr2:uid="{00000000-000D-0000-FFFF-FFFF00000000}"/>
  </bookViews>
  <sheets>
    <sheet name="Read_Me" sheetId="19" r:id="rId1"/>
    <sheet name="Model_Info" sheetId="18" r:id="rId2"/>
    <sheet name="Input_Centreline" sheetId="7" r:id="rId3"/>
    <sheet name="Input_QV Valuation" sheetId="9" r:id="rId4"/>
    <sheet name="Input_Deprivation" sheetId="16" r:id="rId5"/>
    <sheet name="Input_Costs" sheetId="8" r:id="rId6"/>
    <sheet name="Table_Previous FAR" sheetId="13" r:id="rId7"/>
    <sheet name="Table_Mapping" sheetId="10" r:id="rId8"/>
    <sheet name="Parameter" sheetId="1" r:id="rId9"/>
    <sheet name="Calculation" sheetId="2" r:id="rId10"/>
    <sheet name="Results" sheetId="3" r:id="rId11"/>
    <sheet name="Analysis2" sheetId="14" r:id="rId12"/>
  </sheets>
  <definedNames>
    <definedName name="_xlnm._FilterDatabase" localSheetId="2" hidden="1">Input_Centreline!$B$5:$J$83</definedName>
    <definedName name="AOName">Calculation!$D$8:$D$86</definedName>
    <definedName name="Capital_Value">Parameter!$C$7</definedName>
    <definedName name="Centreline">Parameter!$C$6</definedName>
    <definedName name="Deprivation_Index">Parameter!$C$9</definedName>
    <definedName name="DME_Dirty_LA_metrics_output.xls" hidden="1">"False"</definedName>
    <definedName name="Local_Share_Cost">Parameter!$C$13</definedName>
    <definedName name="NLTF_Cost">Parameter!$C$12</definedName>
    <definedName name="_xlnm.Print_Area" localSheetId="10">Results!$B$4:$M$52</definedName>
    <definedName name="Rateable_Units">Parameter!$C$8</definedName>
    <definedName name="Total_Cost">Parameter!$C$11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7" i="16" l="1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6" i="16"/>
  <c r="B6" i="7" l="1"/>
  <c r="C23" i="3" l="1"/>
  <c r="B23" i="3"/>
  <c r="B24" i="3"/>
  <c r="B25" i="3"/>
  <c r="B21" i="3"/>
  <c r="C15" i="3"/>
  <c r="C16" i="3"/>
  <c r="C17" i="3"/>
  <c r="C18" i="3"/>
  <c r="B14" i="3"/>
  <c r="B15" i="3"/>
  <c r="B16" i="3"/>
  <c r="B17" i="3"/>
  <c r="B18" i="3"/>
  <c r="R20" i="2" l="1"/>
  <c r="R18" i="2"/>
  <c r="G9" i="16" l="1"/>
  <c r="H9" i="16" s="1"/>
  <c r="G12" i="16"/>
  <c r="G16" i="16"/>
  <c r="G17" i="16"/>
  <c r="H17" i="16" s="1"/>
  <c r="G21" i="16"/>
  <c r="H21" i="16" s="1"/>
  <c r="G24" i="16"/>
  <c r="G25" i="16"/>
  <c r="H25" i="16" s="1"/>
  <c r="G29" i="16"/>
  <c r="H29" i="16" s="1"/>
  <c r="G32" i="16"/>
  <c r="G33" i="16"/>
  <c r="H33" i="16" s="1"/>
  <c r="G37" i="16"/>
  <c r="H37" i="16" s="1"/>
  <c r="G41" i="16"/>
  <c r="H41" i="16" s="1"/>
  <c r="G48" i="16"/>
  <c r="G52" i="16"/>
  <c r="G53" i="16"/>
  <c r="H53" i="16" s="1"/>
  <c r="G57" i="16"/>
  <c r="H57" i="16" s="1"/>
  <c r="G61" i="16"/>
  <c r="H61" i="16" s="1"/>
  <c r="G64" i="16"/>
  <c r="G69" i="16"/>
  <c r="H69" i="16" s="1"/>
  <c r="G72" i="16"/>
  <c r="G73" i="16"/>
  <c r="H73" i="16" s="1"/>
  <c r="G77" i="16"/>
  <c r="H77" i="16" s="1"/>
  <c r="G81" i="16"/>
  <c r="H81" i="16" s="1"/>
  <c r="G6" i="16"/>
  <c r="G7" i="16"/>
  <c r="G10" i="16"/>
  <c r="G8" i="16"/>
  <c r="G13" i="16"/>
  <c r="H13" i="16" s="1"/>
  <c r="G19" i="16"/>
  <c r="G22" i="16"/>
  <c r="G11" i="16"/>
  <c r="G15" i="16"/>
  <c r="G20" i="16"/>
  <c r="G36" i="16"/>
  <c r="G14" i="16"/>
  <c r="G18" i="16"/>
  <c r="G70" i="16"/>
  <c r="G27" i="16"/>
  <c r="G23" i="16"/>
  <c r="G35" i="16"/>
  <c r="G26" i="16"/>
  <c r="G34" i="16"/>
  <c r="G30" i="16"/>
  <c r="G45" i="16"/>
  <c r="H45" i="16" s="1"/>
  <c r="G47" i="16"/>
  <c r="G31" i="16"/>
  <c r="G28" i="16"/>
  <c r="G38" i="16"/>
  <c r="G42" i="16"/>
  <c r="G44" i="16"/>
  <c r="G55" i="16"/>
  <c r="G49" i="16"/>
  <c r="H49" i="16" s="1"/>
  <c r="G39" i="16"/>
  <c r="G40" i="16"/>
  <c r="G56" i="16"/>
  <c r="G58" i="16"/>
  <c r="G43" i="16"/>
  <c r="G66" i="16"/>
  <c r="G46" i="16"/>
  <c r="G51" i="16"/>
  <c r="G54" i="16"/>
  <c r="G50" i="16"/>
  <c r="G62" i="16"/>
  <c r="G67" i="16"/>
  <c r="G59" i="16"/>
  <c r="G60" i="16"/>
  <c r="G65" i="16"/>
  <c r="H65" i="16" s="1"/>
  <c r="G68" i="16"/>
  <c r="G63" i="16"/>
  <c r="G74" i="16"/>
  <c r="G71" i="16"/>
  <c r="G76" i="16"/>
  <c r="G78" i="16"/>
  <c r="G75" i="16"/>
  <c r="G80" i="16"/>
  <c r="G79" i="16"/>
  <c r="G82" i="16"/>
  <c r="G83" i="16"/>
  <c r="H79" i="16" l="1"/>
  <c r="H71" i="16"/>
  <c r="H63" i="16"/>
  <c r="H59" i="16"/>
  <c r="H51" i="16"/>
  <c r="H43" i="16"/>
  <c r="H35" i="16"/>
  <c r="H31" i="16"/>
  <c r="H23" i="16"/>
  <c r="H15" i="16"/>
  <c r="H7" i="16"/>
  <c r="H82" i="16"/>
  <c r="H74" i="16"/>
  <c r="H70" i="16"/>
  <c r="H62" i="16"/>
  <c r="H54" i="16"/>
  <c r="H46" i="16"/>
  <c r="H42" i="16"/>
  <c r="H34" i="16"/>
  <c r="H26" i="16"/>
  <c r="H22" i="16"/>
  <c r="H14" i="16"/>
  <c r="H83" i="16"/>
  <c r="H75" i="16"/>
  <c r="H67" i="16"/>
  <c r="H55" i="16"/>
  <c r="H47" i="16"/>
  <c r="H39" i="16"/>
  <c r="H27" i="16"/>
  <c r="H19" i="16"/>
  <c r="H11" i="16"/>
  <c r="H78" i="16"/>
  <c r="H66" i="16"/>
  <c r="H58" i="16"/>
  <c r="H50" i="16"/>
  <c r="H38" i="16"/>
  <c r="H30" i="16"/>
  <c r="H18" i="16"/>
  <c r="H10" i="16"/>
  <c r="H6" i="16"/>
  <c r="H80" i="16"/>
  <c r="H76" i="16"/>
  <c r="H72" i="16"/>
  <c r="H68" i="16"/>
  <c r="H64" i="16"/>
  <c r="H60" i="16"/>
  <c r="H56" i="16"/>
  <c r="H52" i="16"/>
  <c r="H48" i="16"/>
  <c r="H44" i="16"/>
  <c r="H40" i="16"/>
  <c r="H36" i="16"/>
  <c r="H32" i="16"/>
  <c r="H28" i="16"/>
  <c r="H24" i="16"/>
  <c r="H20" i="16"/>
  <c r="H16" i="16"/>
  <c r="H12" i="16"/>
  <c r="H8" i="16"/>
  <c r="AB6" i="2"/>
  <c r="K8" i="14" l="1"/>
  <c r="L8" i="14"/>
  <c r="K9" i="14"/>
  <c r="L9" i="14"/>
  <c r="K10" i="14"/>
  <c r="L10" i="14"/>
  <c r="K11" i="14"/>
  <c r="L11" i="14"/>
  <c r="K12" i="14"/>
  <c r="L12" i="14"/>
  <c r="K13" i="14"/>
  <c r="L13" i="14"/>
  <c r="K14" i="14"/>
  <c r="L14" i="14"/>
  <c r="K15" i="14"/>
  <c r="L15" i="14"/>
  <c r="K16" i="14"/>
  <c r="L16" i="14"/>
  <c r="K17" i="14"/>
  <c r="L17" i="14"/>
  <c r="K18" i="14"/>
  <c r="L18" i="14"/>
  <c r="K19" i="14"/>
  <c r="L19" i="14"/>
  <c r="K20" i="14"/>
  <c r="L20" i="14"/>
  <c r="K21" i="14"/>
  <c r="L21" i="14"/>
  <c r="K22" i="14"/>
  <c r="L22" i="14"/>
  <c r="K23" i="14"/>
  <c r="L23" i="14"/>
  <c r="K24" i="14"/>
  <c r="L24" i="14"/>
  <c r="K25" i="14"/>
  <c r="L25" i="14"/>
  <c r="K26" i="14"/>
  <c r="L26" i="14"/>
  <c r="K27" i="14"/>
  <c r="L27" i="14"/>
  <c r="K28" i="14"/>
  <c r="L28" i="14"/>
  <c r="K29" i="14"/>
  <c r="L29" i="14"/>
  <c r="K30" i="14"/>
  <c r="L30" i="14"/>
  <c r="K31" i="14"/>
  <c r="L31" i="14"/>
  <c r="K32" i="14"/>
  <c r="L32" i="14"/>
  <c r="K33" i="14"/>
  <c r="L33" i="14"/>
  <c r="K34" i="14"/>
  <c r="L34" i="14"/>
  <c r="K35" i="14"/>
  <c r="L35" i="14"/>
  <c r="K36" i="14"/>
  <c r="L36" i="14"/>
  <c r="K37" i="14"/>
  <c r="L37" i="14"/>
  <c r="K38" i="14"/>
  <c r="L38" i="14"/>
  <c r="K39" i="14"/>
  <c r="L39" i="14"/>
  <c r="K40" i="14"/>
  <c r="L40" i="14"/>
  <c r="K41" i="14"/>
  <c r="L41" i="14"/>
  <c r="K42" i="14"/>
  <c r="L42" i="14"/>
  <c r="K43" i="14"/>
  <c r="L43" i="14"/>
  <c r="K44" i="14"/>
  <c r="L44" i="14"/>
  <c r="K45" i="14"/>
  <c r="L45" i="14"/>
  <c r="K46" i="14"/>
  <c r="L46" i="14"/>
  <c r="K47" i="14"/>
  <c r="L47" i="14"/>
  <c r="K48" i="14"/>
  <c r="L48" i="14"/>
  <c r="K49" i="14"/>
  <c r="L49" i="14"/>
  <c r="K50" i="14"/>
  <c r="L50" i="14"/>
  <c r="K51" i="14"/>
  <c r="L51" i="14"/>
  <c r="K52" i="14"/>
  <c r="L52" i="14"/>
  <c r="K53" i="14"/>
  <c r="L53" i="14"/>
  <c r="K54" i="14"/>
  <c r="L54" i="14"/>
  <c r="K55" i="14"/>
  <c r="L55" i="14"/>
  <c r="K56" i="14"/>
  <c r="L56" i="14"/>
  <c r="K57" i="14"/>
  <c r="L57" i="14"/>
  <c r="K58" i="14"/>
  <c r="L58" i="14"/>
  <c r="K59" i="14"/>
  <c r="L59" i="14"/>
  <c r="K60" i="14"/>
  <c r="L60" i="14"/>
  <c r="K61" i="14"/>
  <c r="L61" i="14"/>
  <c r="K62" i="14"/>
  <c r="L62" i="14"/>
  <c r="K63" i="14"/>
  <c r="L63" i="14"/>
  <c r="K64" i="14"/>
  <c r="L64" i="14"/>
  <c r="K65" i="14"/>
  <c r="L65" i="14"/>
  <c r="K66" i="14"/>
  <c r="L66" i="14"/>
  <c r="K67" i="14"/>
  <c r="L67" i="14"/>
  <c r="K68" i="14"/>
  <c r="L68" i="14"/>
  <c r="K69" i="14"/>
  <c r="L69" i="14"/>
  <c r="K70" i="14"/>
  <c r="L70" i="14"/>
  <c r="K71" i="14"/>
  <c r="L71" i="14"/>
  <c r="K72" i="14"/>
  <c r="L72" i="14"/>
  <c r="K73" i="14"/>
  <c r="L73" i="14"/>
  <c r="L7" i="14"/>
  <c r="K7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" i="14"/>
  <c r="C8" i="14"/>
  <c r="D8" i="14"/>
  <c r="C9" i="14"/>
  <c r="D9" i="14"/>
  <c r="C10" i="14"/>
  <c r="D10" i="14"/>
  <c r="C11" i="14"/>
  <c r="D11" i="14"/>
  <c r="C12" i="14"/>
  <c r="D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C19" i="14"/>
  <c r="D19" i="14"/>
  <c r="C20" i="14"/>
  <c r="D20" i="14"/>
  <c r="C21" i="14"/>
  <c r="D21" i="14"/>
  <c r="C22" i="14"/>
  <c r="D22" i="14"/>
  <c r="C23" i="14"/>
  <c r="D23" i="14"/>
  <c r="C24" i="14"/>
  <c r="D24" i="14"/>
  <c r="C25" i="14"/>
  <c r="D25" i="14"/>
  <c r="C26" i="14"/>
  <c r="D26" i="14"/>
  <c r="C27" i="14"/>
  <c r="D27" i="14"/>
  <c r="C28" i="14"/>
  <c r="D28" i="14"/>
  <c r="C29" i="14"/>
  <c r="D29" i="14"/>
  <c r="C30" i="14"/>
  <c r="D30" i="14"/>
  <c r="C31" i="14"/>
  <c r="D31" i="14"/>
  <c r="C32" i="14"/>
  <c r="D32" i="14"/>
  <c r="C33" i="14"/>
  <c r="D33" i="14"/>
  <c r="C34" i="14"/>
  <c r="D34" i="14"/>
  <c r="C35" i="14"/>
  <c r="D35" i="14"/>
  <c r="C36" i="14"/>
  <c r="D36" i="14"/>
  <c r="C37" i="14"/>
  <c r="D37" i="14"/>
  <c r="C38" i="14"/>
  <c r="D38" i="14"/>
  <c r="C39" i="14"/>
  <c r="D39" i="14"/>
  <c r="C40" i="14"/>
  <c r="D40" i="14"/>
  <c r="C41" i="14"/>
  <c r="D41" i="14"/>
  <c r="C42" i="14"/>
  <c r="D42" i="14"/>
  <c r="C43" i="14"/>
  <c r="D43" i="14"/>
  <c r="C44" i="14"/>
  <c r="D44" i="14"/>
  <c r="C45" i="14"/>
  <c r="D45" i="14"/>
  <c r="C46" i="14"/>
  <c r="D46" i="14"/>
  <c r="C47" i="14"/>
  <c r="D47" i="14"/>
  <c r="C48" i="14"/>
  <c r="D48" i="14"/>
  <c r="C49" i="14"/>
  <c r="D49" i="14"/>
  <c r="C50" i="14"/>
  <c r="D50" i="14"/>
  <c r="C51" i="14"/>
  <c r="D51" i="14"/>
  <c r="C52" i="14"/>
  <c r="D52" i="14"/>
  <c r="C53" i="14"/>
  <c r="D53" i="14"/>
  <c r="C54" i="14"/>
  <c r="D54" i="14"/>
  <c r="C55" i="14"/>
  <c r="D55" i="14"/>
  <c r="C56" i="14"/>
  <c r="D56" i="14"/>
  <c r="C57" i="14"/>
  <c r="D57" i="14"/>
  <c r="C58" i="14"/>
  <c r="D58" i="14"/>
  <c r="C59" i="14"/>
  <c r="D59" i="14"/>
  <c r="C60" i="14"/>
  <c r="D60" i="14"/>
  <c r="C61" i="14"/>
  <c r="D61" i="14"/>
  <c r="C62" i="14"/>
  <c r="D62" i="14"/>
  <c r="C63" i="14"/>
  <c r="D63" i="14"/>
  <c r="C64" i="14"/>
  <c r="D64" i="14"/>
  <c r="C65" i="14"/>
  <c r="D65" i="14"/>
  <c r="C66" i="14"/>
  <c r="D66" i="14"/>
  <c r="C67" i="14"/>
  <c r="D67" i="14"/>
  <c r="C68" i="14"/>
  <c r="D68" i="14"/>
  <c r="C69" i="14"/>
  <c r="D69" i="14"/>
  <c r="C70" i="14"/>
  <c r="D70" i="14"/>
  <c r="C71" i="14"/>
  <c r="D71" i="14"/>
  <c r="C72" i="14"/>
  <c r="D72" i="14"/>
  <c r="C73" i="14"/>
  <c r="D73" i="14"/>
  <c r="D7" i="14"/>
  <c r="C7" i="14"/>
  <c r="AA7" i="2" l="1"/>
  <c r="Y84" i="8" l="1"/>
  <c r="Z84" i="8"/>
  <c r="G86" i="1" l="1"/>
  <c r="E8" i="2" s="1"/>
  <c r="G85" i="1"/>
  <c r="E42" i="2" s="1"/>
  <c r="G84" i="1"/>
  <c r="E49" i="2" s="1"/>
  <c r="G83" i="1"/>
  <c r="E33" i="2" s="1"/>
  <c r="G82" i="1"/>
  <c r="E35" i="2" s="1"/>
  <c r="G81" i="1"/>
  <c r="E79" i="2" s="1"/>
  <c r="G80" i="1"/>
  <c r="E70" i="2" s="1"/>
  <c r="G79" i="1"/>
  <c r="E18" i="2" s="1"/>
  <c r="G78" i="1"/>
  <c r="E65" i="2" s="1"/>
  <c r="G77" i="1"/>
  <c r="E26" i="2" s="1"/>
  <c r="G76" i="1"/>
  <c r="E23" i="2" s="1"/>
  <c r="G75" i="1"/>
  <c r="E14" i="2" s="1"/>
  <c r="G74" i="1"/>
  <c r="E20" i="2" s="1"/>
  <c r="G73" i="1"/>
  <c r="E74" i="2" s="1"/>
  <c r="G72" i="1"/>
  <c r="E51" i="2" s="1"/>
  <c r="G71" i="1"/>
  <c r="E77" i="2" s="1"/>
  <c r="G70" i="1"/>
  <c r="E60" i="2" s="1"/>
  <c r="G69" i="1"/>
  <c r="E41" i="2" s="1"/>
  <c r="G68" i="1"/>
  <c r="E82" i="2" s="1"/>
  <c r="G67" i="1"/>
  <c r="E50" i="2" s="1"/>
  <c r="G66" i="1"/>
  <c r="E66" i="2" s="1"/>
  <c r="G65" i="1"/>
  <c r="E69" i="2" s="1"/>
  <c r="G64" i="1"/>
  <c r="E67" i="2" s="1"/>
  <c r="G63" i="1"/>
  <c r="E47" i="2" s="1"/>
  <c r="G62" i="1"/>
  <c r="E80" i="2" s="1"/>
  <c r="G61" i="1"/>
  <c r="E71" i="2" s="1"/>
  <c r="G60" i="1"/>
  <c r="E55" i="2" s="1"/>
  <c r="G59" i="1"/>
  <c r="E43" i="2" s="1"/>
  <c r="G58" i="1"/>
  <c r="E36" i="2" s="1"/>
  <c r="G57" i="1"/>
  <c r="E64" i="2" s="1"/>
  <c r="G56" i="1"/>
  <c r="E73" i="2" s="1"/>
  <c r="G55" i="1"/>
  <c r="E48" i="2" s="1"/>
  <c r="G54" i="1"/>
  <c r="E30" i="2" s="1"/>
  <c r="G53" i="1"/>
  <c r="E15" i="2" s="1"/>
  <c r="G52" i="1"/>
  <c r="E13" i="2" s="1"/>
  <c r="G51" i="1"/>
  <c r="E22" i="2" s="1"/>
  <c r="G50" i="1"/>
  <c r="E62" i="2" s="1"/>
  <c r="G49" i="1"/>
  <c r="E45" i="2" s="1"/>
  <c r="G48" i="1"/>
  <c r="E32" i="2" s="1"/>
  <c r="G47" i="1"/>
  <c r="E28" i="2" s="1"/>
  <c r="G46" i="1"/>
  <c r="E25" i="2" s="1"/>
  <c r="G45" i="1"/>
  <c r="E63" i="2" s="1"/>
  <c r="G44" i="1"/>
  <c r="E9" i="2" s="1"/>
  <c r="G43" i="1"/>
  <c r="E56" i="2" s="1"/>
  <c r="G42" i="1"/>
  <c r="E40" i="2" s="1"/>
  <c r="G41" i="1"/>
  <c r="E34" i="2" s="1"/>
  <c r="G40" i="1"/>
  <c r="E17" i="2" s="1"/>
  <c r="G39" i="1"/>
  <c r="E24" i="2" s="1"/>
  <c r="G38" i="1"/>
  <c r="E68" i="2" s="1"/>
  <c r="G37" i="1"/>
  <c r="E75" i="2" s="1"/>
  <c r="G36" i="1"/>
  <c r="E37" i="2" s="1"/>
  <c r="G35" i="1"/>
  <c r="E10" i="2" s="1"/>
  <c r="G34" i="1"/>
  <c r="E11" i="2" s="1"/>
  <c r="G33" i="1"/>
  <c r="E12" i="2" s="1"/>
  <c r="G32" i="1"/>
  <c r="E72" i="2" s="1"/>
  <c r="G31" i="1"/>
  <c r="E53" i="2" s="1"/>
  <c r="G30" i="1"/>
  <c r="E57" i="2" s="1"/>
  <c r="G29" i="1"/>
  <c r="E58" i="2" s="1"/>
  <c r="G28" i="1"/>
  <c r="E19" i="2" s="1"/>
  <c r="G27" i="1"/>
  <c r="E29" i="2" s="1"/>
  <c r="G26" i="1"/>
  <c r="E46" i="2" s="1"/>
  <c r="G25" i="1"/>
  <c r="E31" i="2" s="1"/>
  <c r="G24" i="1"/>
  <c r="E61" i="2" s="1"/>
  <c r="G23" i="1"/>
  <c r="E85" i="2" s="1"/>
  <c r="G22" i="1"/>
  <c r="E39" i="2" s="1"/>
  <c r="G21" i="1"/>
  <c r="E27" i="2" s="1"/>
  <c r="G20" i="1"/>
  <c r="E16" i="2" s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H24" i="1" l="1"/>
  <c r="F61" i="2" s="1"/>
  <c r="H25" i="1"/>
  <c r="F31" i="2" s="1"/>
  <c r="H26" i="1"/>
  <c r="F46" i="2" s="1"/>
  <c r="H27" i="1"/>
  <c r="F29" i="2" s="1"/>
  <c r="H28" i="1"/>
  <c r="F19" i="2" s="1"/>
  <c r="H29" i="1"/>
  <c r="F58" i="2" s="1"/>
  <c r="H30" i="1"/>
  <c r="F57" i="2" s="1"/>
  <c r="H31" i="1"/>
  <c r="F53" i="2" s="1"/>
  <c r="H32" i="1"/>
  <c r="F72" i="2" s="1"/>
  <c r="H33" i="1"/>
  <c r="F12" i="2" s="1"/>
  <c r="H34" i="1"/>
  <c r="F11" i="2" s="1"/>
  <c r="H35" i="1"/>
  <c r="F10" i="2" s="1"/>
  <c r="H36" i="1"/>
  <c r="F37" i="2" s="1"/>
  <c r="H37" i="1"/>
  <c r="F75" i="2" s="1"/>
  <c r="H38" i="1"/>
  <c r="F68" i="2" s="1"/>
  <c r="H39" i="1"/>
  <c r="F24" i="2" s="1"/>
  <c r="H40" i="1"/>
  <c r="F17" i="2" s="1"/>
  <c r="H41" i="1"/>
  <c r="F34" i="2" s="1"/>
  <c r="H42" i="1"/>
  <c r="F40" i="2" s="1"/>
  <c r="H43" i="1"/>
  <c r="F56" i="2" s="1"/>
  <c r="H44" i="1"/>
  <c r="F9" i="2" s="1"/>
  <c r="H45" i="1"/>
  <c r="F63" i="2" s="1"/>
  <c r="H46" i="1"/>
  <c r="F25" i="2" s="1"/>
  <c r="H47" i="1"/>
  <c r="F28" i="2" s="1"/>
  <c r="H48" i="1"/>
  <c r="F32" i="2" s="1"/>
  <c r="H49" i="1"/>
  <c r="F45" i="2" s="1"/>
  <c r="H50" i="1"/>
  <c r="F62" i="2" s="1"/>
  <c r="H51" i="1"/>
  <c r="F22" i="2" s="1"/>
  <c r="H52" i="1"/>
  <c r="F13" i="2" s="1"/>
  <c r="H53" i="1"/>
  <c r="F15" i="2" s="1"/>
  <c r="H54" i="1"/>
  <c r="F30" i="2" s="1"/>
  <c r="H55" i="1"/>
  <c r="F48" i="2" s="1"/>
  <c r="H56" i="1"/>
  <c r="F73" i="2" s="1"/>
  <c r="H57" i="1"/>
  <c r="F64" i="2" s="1"/>
  <c r="H58" i="1"/>
  <c r="F36" i="2" s="1"/>
  <c r="H59" i="1"/>
  <c r="F43" i="2" s="1"/>
  <c r="H60" i="1"/>
  <c r="F55" i="2" s="1"/>
  <c r="H61" i="1"/>
  <c r="F71" i="2" s="1"/>
  <c r="H62" i="1"/>
  <c r="F80" i="2" s="1"/>
  <c r="H63" i="1"/>
  <c r="F47" i="2" s="1"/>
  <c r="H64" i="1"/>
  <c r="F67" i="2" s="1"/>
  <c r="H65" i="1"/>
  <c r="F69" i="2" s="1"/>
  <c r="H66" i="1"/>
  <c r="F66" i="2" s="1"/>
  <c r="H67" i="1"/>
  <c r="F50" i="2" s="1"/>
  <c r="H68" i="1"/>
  <c r="F82" i="2" s="1"/>
  <c r="H69" i="1"/>
  <c r="F41" i="2" s="1"/>
  <c r="H70" i="1"/>
  <c r="F60" i="2" s="1"/>
  <c r="H71" i="1"/>
  <c r="F77" i="2" s="1"/>
  <c r="H72" i="1"/>
  <c r="F51" i="2" s="1"/>
  <c r="H73" i="1"/>
  <c r="F74" i="2" s="1"/>
  <c r="H74" i="1"/>
  <c r="F20" i="2" s="1"/>
  <c r="H75" i="1"/>
  <c r="F14" i="2" s="1"/>
  <c r="H76" i="1"/>
  <c r="F23" i="2" s="1"/>
  <c r="H77" i="1"/>
  <c r="F26" i="2" s="1"/>
  <c r="H78" i="1"/>
  <c r="F65" i="2" s="1"/>
  <c r="H79" i="1"/>
  <c r="F18" i="2" s="1"/>
  <c r="H80" i="1"/>
  <c r="F70" i="2" s="1"/>
  <c r="H81" i="1"/>
  <c r="F79" i="2" s="1"/>
  <c r="H82" i="1"/>
  <c r="F35" i="2" s="1"/>
  <c r="H83" i="1"/>
  <c r="F33" i="2" s="1"/>
  <c r="H84" i="1"/>
  <c r="F49" i="2" s="1"/>
  <c r="H85" i="1"/>
  <c r="F42" i="2" s="1"/>
  <c r="H86" i="1"/>
  <c r="F8" i="2" s="1"/>
  <c r="H87" i="1"/>
  <c r="F38" i="2" s="1"/>
  <c r="H88" i="1"/>
  <c r="F81" i="2" s="1"/>
  <c r="H89" i="1"/>
  <c r="F76" i="2" s="1"/>
  <c r="H90" i="1"/>
  <c r="F54" i="2" s="1"/>
  <c r="H91" i="1"/>
  <c r="F52" i="2" s="1"/>
  <c r="H92" i="1"/>
  <c r="F59" i="2" s="1"/>
  <c r="H93" i="1"/>
  <c r="F83" i="2" s="1"/>
  <c r="H94" i="1"/>
  <c r="F21" i="2" s="1"/>
  <c r="H95" i="1"/>
  <c r="F84" i="2" s="1"/>
  <c r="H96" i="1"/>
  <c r="F78" i="2" s="1"/>
  <c r="H97" i="1"/>
  <c r="F44" i="2" s="1"/>
  <c r="H23" i="1"/>
  <c r="F85" i="2" s="1"/>
  <c r="H22" i="1"/>
  <c r="F39" i="2" s="1"/>
  <c r="H21" i="1"/>
  <c r="F27" i="2" s="1"/>
  <c r="H20" i="1"/>
  <c r="F16" i="2" s="1"/>
  <c r="D9" i="1"/>
  <c r="D21" i="1" l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20" i="1"/>
  <c r="M12" i="14" l="1"/>
  <c r="M14" i="14"/>
  <c r="M16" i="14"/>
  <c r="M18" i="14"/>
  <c r="M20" i="14"/>
  <c r="M22" i="14"/>
  <c r="M24" i="14"/>
  <c r="M10" i="14" l="1"/>
  <c r="M8" i="14"/>
  <c r="I28" i="14"/>
  <c r="I26" i="14"/>
  <c r="I24" i="14"/>
  <c r="I22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I73" i="14"/>
  <c r="I71" i="14"/>
  <c r="I69" i="14"/>
  <c r="I67" i="14"/>
  <c r="I65" i="14"/>
  <c r="I63" i="14"/>
  <c r="I61" i="14"/>
  <c r="I59" i="14"/>
  <c r="I57" i="14"/>
  <c r="I55" i="14"/>
  <c r="I53" i="14"/>
  <c r="I51" i="14"/>
  <c r="I49" i="14"/>
  <c r="I47" i="14"/>
  <c r="I45" i="14"/>
  <c r="I43" i="14"/>
  <c r="I41" i="14"/>
  <c r="I39" i="14"/>
  <c r="I37" i="14"/>
  <c r="I35" i="14"/>
  <c r="I33" i="14"/>
  <c r="I31" i="14"/>
  <c r="I29" i="14"/>
  <c r="I27" i="14"/>
  <c r="I25" i="14"/>
  <c r="M73" i="14"/>
  <c r="M71" i="14"/>
  <c r="M69" i="14"/>
  <c r="M67" i="14"/>
  <c r="M65" i="14"/>
  <c r="M63" i="14"/>
  <c r="M61" i="14"/>
  <c r="M59" i="14"/>
  <c r="M57" i="14"/>
  <c r="M55" i="14"/>
  <c r="M53" i="14"/>
  <c r="M51" i="14"/>
  <c r="M49" i="14"/>
  <c r="M47" i="14"/>
  <c r="M45" i="14"/>
  <c r="M43" i="14"/>
  <c r="M41" i="14"/>
  <c r="M39" i="14"/>
  <c r="M37" i="14"/>
  <c r="M35" i="14"/>
  <c r="M33" i="14"/>
  <c r="M31" i="14"/>
  <c r="M29" i="14"/>
  <c r="M27" i="14"/>
  <c r="M25" i="14"/>
  <c r="M23" i="14"/>
  <c r="M21" i="14"/>
  <c r="M19" i="14"/>
  <c r="M17" i="14"/>
  <c r="M15" i="14"/>
  <c r="M13" i="14"/>
  <c r="M11" i="14"/>
  <c r="M9" i="14"/>
  <c r="E72" i="14"/>
  <c r="E70" i="14"/>
  <c r="E68" i="14"/>
  <c r="E66" i="14"/>
  <c r="E64" i="14"/>
  <c r="E62" i="14"/>
  <c r="E60" i="14"/>
  <c r="E58" i="14"/>
  <c r="E56" i="14"/>
  <c r="E54" i="14"/>
  <c r="E52" i="14"/>
  <c r="E50" i="14"/>
  <c r="E48" i="14"/>
  <c r="E46" i="14"/>
  <c r="E44" i="14"/>
  <c r="E42" i="14"/>
  <c r="E40" i="14"/>
  <c r="E38" i="14"/>
  <c r="E36" i="14"/>
  <c r="E34" i="14"/>
  <c r="E32" i="14"/>
  <c r="E30" i="14"/>
  <c r="E28" i="14"/>
  <c r="E26" i="14"/>
  <c r="E24" i="14"/>
  <c r="E22" i="14"/>
  <c r="E20" i="14"/>
  <c r="E18" i="14"/>
  <c r="E16" i="14"/>
  <c r="E14" i="14"/>
  <c r="E12" i="14"/>
  <c r="E10" i="14"/>
  <c r="E8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0" i="14"/>
  <c r="I18" i="14"/>
  <c r="I16" i="14"/>
  <c r="I14" i="14"/>
  <c r="I12" i="14"/>
  <c r="I10" i="14"/>
  <c r="I8" i="14"/>
  <c r="M7" i="14"/>
  <c r="E7" i="14"/>
  <c r="I7" i="14"/>
  <c r="I23" i="14"/>
  <c r="I21" i="14"/>
  <c r="I19" i="14"/>
  <c r="I17" i="14"/>
  <c r="I15" i="14"/>
  <c r="I13" i="14"/>
  <c r="I11" i="14"/>
  <c r="I9" i="14"/>
  <c r="E73" i="14"/>
  <c r="E71" i="14"/>
  <c r="E69" i="14"/>
  <c r="E67" i="14"/>
  <c r="E65" i="14"/>
  <c r="E63" i="14"/>
  <c r="E61" i="14"/>
  <c r="E59" i="14"/>
  <c r="E57" i="14"/>
  <c r="E55" i="14"/>
  <c r="E53" i="14"/>
  <c r="E51" i="14"/>
  <c r="E49" i="14"/>
  <c r="E47" i="14"/>
  <c r="E45" i="14"/>
  <c r="E43" i="14"/>
  <c r="E41" i="14"/>
  <c r="E39" i="14"/>
  <c r="E37" i="14"/>
  <c r="E35" i="14"/>
  <c r="E33" i="14"/>
  <c r="E31" i="14"/>
  <c r="E29" i="14"/>
  <c r="E27" i="14"/>
  <c r="E25" i="14"/>
  <c r="E23" i="14"/>
  <c r="E21" i="14"/>
  <c r="E19" i="14"/>
  <c r="E17" i="14"/>
  <c r="E15" i="14"/>
  <c r="E13" i="14"/>
  <c r="E11" i="14"/>
  <c r="E9" i="14"/>
  <c r="B9" i="3" l="1"/>
  <c r="B10" i="3"/>
  <c r="B11" i="3"/>
  <c r="B12" i="3"/>
  <c r="B8" i="3"/>
  <c r="D12" i="3"/>
  <c r="D11" i="3"/>
  <c r="C11" i="3"/>
  <c r="D9" i="3"/>
  <c r="D10" i="3"/>
  <c r="D8" i="3"/>
  <c r="D10" i="1" l="1"/>
  <c r="C12" i="3" s="1"/>
  <c r="D8" i="1"/>
  <c r="C10" i="3" s="1"/>
  <c r="D7" i="1"/>
  <c r="C9" i="3" s="1"/>
  <c r="D6" i="1"/>
  <c r="C8" i="3" s="1"/>
  <c r="D84" i="8" l="1"/>
  <c r="L84" i="8"/>
  <c r="Y86" i="8" s="1"/>
  <c r="M84" i="8"/>
  <c r="Z86" i="8" s="1"/>
  <c r="N84" i="8"/>
  <c r="O84" i="8"/>
  <c r="AM7" i="8" l="1"/>
  <c r="AN7" i="8"/>
  <c r="AO7" i="8"/>
  <c r="AP7" i="8"/>
  <c r="AY7" i="8" s="1"/>
  <c r="AQ7" i="8"/>
  <c r="AR7" i="8"/>
  <c r="AS7" i="8"/>
  <c r="AM8" i="8"/>
  <c r="AV8" i="8" s="1"/>
  <c r="AN8" i="8"/>
  <c r="AO8" i="8"/>
  <c r="AP8" i="8"/>
  <c r="AQ8" i="8"/>
  <c r="AZ8" i="8" s="1"/>
  <c r="AR8" i="8"/>
  <c r="AS8" i="8"/>
  <c r="AM9" i="8"/>
  <c r="AN9" i="8"/>
  <c r="AW9" i="8" s="1"/>
  <c r="AO9" i="8"/>
  <c r="AP9" i="8"/>
  <c r="AQ9" i="8"/>
  <c r="AR9" i="8"/>
  <c r="BA9" i="8" s="1"/>
  <c r="AS9" i="8"/>
  <c r="AM10" i="8"/>
  <c r="AN10" i="8"/>
  <c r="AO10" i="8"/>
  <c r="AX10" i="8" s="1"/>
  <c r="AP10" i="8"/>
  <c r="AQ10" i="8"/>
  <c r="AR10" i="8"/>
  <c r="AS10" i="8"/>
  <c r="BB10" i="8" s="1"/>
  <c r="AM11" i="8"/>
  <c r="AN11" i="8"/>
  <c r="AO11" i="8"/>
  <c r="AP11" i="8"/>
  <c r="AY11" i="8" s="1"/>
  <c r="AQ11" i="8"/>
  <c r="AR11" i="8"/>
  <c r="AS11" i="8"/>
  <c r="AM12" i="8"/>
  <c r="AV12" i="8" s="1"/>
  <c r="AN12" i="8"/>
  <c r="AO12" i="8"/>
  <c r="AP12" i="8"/>
  <c r="AQ12" i="8"/>
  <c r="AZ12" i="8" s="1"/>
  <c r="AR12" i="8"/>
  <c r="AS12" i="8"/>
  <c r="AM13" i="8"/>
  <c r="AN13" i="8"/>
  <c r="AW13" i="8" s="1"/>
  <c r="AO13" i="8"/>
  <c r="AP13" i="8"/>
  <c r="AQ13" i="8"/>
  <c r="AR13" i="8"/>
  <c r="BA13" i="8" s="1"/>
  <c r="AS13" i="8"/>
  <c r="AM14" i="8"/>
  <c r="AN14" i="8"/>
  <c r="AO14" i="8"/>
  <c r="AX14" i="8" s="1"/>
  <c r="AP14" i="8"/>
  <c r="AQ14" i="8"/>
  <c r="AR14" i="8"/>
  <c r="AS14" i="8"/>
  <c r="BB14" i="8" s="1"/>
  <c r="AM15" i="8"/>
  <c r="AN15" i="8"/>
  <c r="AO15" i="8"/>
  <c r="AP15" i="8"/>
  <c r="AY15" i="8" s="1"/>
  <c r="AQ15" i="8"/>
  <c r="AR15" i="8"/>
  <c r="AS15" i="8"/>
  <c r="AM16" i="8"/>
  <c r="AV16" i="8" s="1"/>
  <c r="AN16" i="8"/>
  <c r="AO16" i="8"/>
  <c r="AP16" i="8"/>
  <c r="AQ16" i="8"/>
  <c r="AZ16" i="8" s="1"/>
  <c r="AR16" i="8"/>
  <c r="AS16" i="8"/>
  <c r="AM17" i="8"/>
  <c r="AN17" i="8"/>
  <c r="AW17" i="8" s="1"/>
  <c r="AO17" i="8"/>
  <c r="AP17" i="8"/>
  <c r="AQ17" i="8"/>
  <c r="AR17" i="8"/>
  <c r="BA17" i="8" s="1"/>
  <c r="AS17" i="8"/>
  <c r="AM18" i="8"/>
  <c r="AN18" i="8"/>
  <c r="AO18" i="8"/>
  <c r="AX18" i="8" s="1"/>
  <c r="AP18" i="8"/>
  <c r="AQ18" i="8"/>
  <c r="AR18" i="8"/>
  <c r="AS18" i="8"/>
  <c r="BB18" i="8" s="1"/>
  <c r="AM19" i="8"/>
  <c r="AN19" i="8"/>
  <c r="AO19" i="8"/>
  <c r="AP19" i="8"/>
  <c r="AY19" i="8" s="1"/>
  <c r="AQ19" i="8"/>
  <c r="AR19" i="8"/>
  <c r="AS19" i="8"/>
  <c r="AM20" i="8"/>
  <c r="AV20" i="8" s="1"/>
  <c r="AN20" i="8"/>
  <c r="AO20" i="8"/>
  <c r="AP20" i="8"/>
  <c r="AQ20" i="8"/>
  <c r="AZ20" i="8" s="1"/>
  <c r="AR20" i="8"/>
  <c r="AS20" i="8"/>
  <c r="AM21" i="8"/>
  <c r="AN21" i="8"/>
  <c r="AW21" i="8" s="1"/>
  <c r="AO21" i="8"/>
  <c r="AP21" i="8"/>
  <c r="AQ21" i="8"/>
  <c r="AR21" i="8"/>
  <c r="BA21" i="8" s="1"/>
  <c r="AS21" i="8"/>
  <c r="AM22" i="8"/>
  <c r="AN22" i="8"/>
  <c r="AO22" i="8"/>
  <c r="AX22" i="8" s="1"/>
  <c r="AP22" i="8"/>
  <c r="AQ22" i="8"/>
  <c r="AR22" i="8"/>
  <c r="AS22" i="8"/>
  <c r="BB22" i="8" s="1"/>
  <c r="AM23" i="8"/>
  <c r="AN23" i="8"/>
  <c r="AO23" i="8"/>
  <c r="AP23" i="8"/>
  <c r="AY23" i="8" s="1"/>
  <c r="AQ23" i="8"/>
  <c r="AR23" i="8"/>
  <c r="AS23" i="8"/>
  <c r="AM24" i="8"/>
  <c r="AV24" i="8" s="1"/>
  <c r="AN24" i="8"/>
  <c r="AO24" i="8"/>
  <c r="AP24" i="8"/>
  <c r="AQ24" i="8"/>
  <c r="AZ24" i="8" s="1"/>
  <c r="AR24" i="8"/>
  <c r="AS24" i="8"/>
  <c r="AM25" i="8"/>
  <c r="AN25" i="8"/>
  <c r="AW25" i="8" s="1"/>
  <c r="AO25" i="8"/>
  <c r="AP25" i="8"/>
  <c r="AQ25" i="8"/>
  <c r="AR25" i="8"/>
  <c r="BA25" i="8" s="1"/>
  <c r="AS25" i="8"/>
  <c r="AM26" i="8"/>
  <c r="AN26" i="8"/>
  <c r="AO26" i="8"/>
  <c r="AX26" i="8" s="1"/>
  <c r="AP26" i="8"/>
  <c r="AQ26" i="8"/>
  <c r="AR26" i="8"/>
  <c r="AS26" i="8"/>
  <c r="BB26" i="8" s="1"/>
  <c r="AM27" i="8"/>
  <c r="AN27" i="8"/>
  <c r="AO27" i="8"/>
  <c r="AP27" i="8"/>
  <c r="AY27" i="8" s="1"/>
  <c r="AQ27" i="8"/>
  <c r="AR27" i="8"/>
  <c r="AS27" i="8"/>
  <c r="AM28" i="8"/>
  <c r="AV28" i="8" s="1"/>
  <c r="AN28" i="8"/>
  <c r="AO28" i="8"/>
  <c r="AP28" i="8"/>
  <c r="AY28" i="8" s="1"/>
  <c r="AQ28" i="8"/>
  <c r="AZ28" i="8" s="1"/>
  <c r="AR28" i="8"/>
  <c r="AS28" i="8"/>
  <c r="AM29" i="8"/>
  <c r="AV29" i="8" s="1"/>
  <c r="AN29" i="8"/>
  <c r="AW29" i="8" s="1"/>
  <c r="AO29" i="8"/>
  <c r="AP29" i="8"/>
  <c r="AQ29" i="8"/>
  <c r="AZ29" i="8" s="1"/>
  <c r="AR29" i="8"/>
  <c r="BA29" i="8" s="1"/>
  <c r="AS29" i="8"/>
  <c r="AM30" i="8"/>
  <c r="AN30" i="8"/>
  <c r="AW30" i="8" s="1"/>
  <c r="AO30" i="8"/>
  <c r="AX30" i="8" s="1"/>
  <c r="AP30" i="8"/>
  <c r="AQ30" i="8"/>
  <c r="AR30" i="8"/>
  <c r="BA30" i="8" s="1"/>
  <c r="AS30" i="8"/>
  <c r="BB30" i="8" s="1"/>
  <c r="AM31" i="8"/>
  <c r="AN31" i="8"/>
  <c r="AO31" i="8"/>
  <c r="AX31" i="8" s="1"/>
  <c r="AP31" i="8"/>
  <c r="AY31" i="8" s="1"/>
  <c r="AQ31" i="8"/>
  <c r="AR31" i="8"/>
  <c r="AS31" i="8"/>
  <c r="BB31" i="8" s="1"/>
  <c r="AM32" i="8"/>
  <c r="AV32" i="8" s="1"/>
  <c r="AN32" i="8"/>
  <c r="AO32" i="8"/>
  <c r="AP32" i="8"/>
  <c r="AY32" i="8" s="1"/>
  <c r="AQ32" i="8"/>
  <c r="AZ32" i="8" s="1"/>
  <c r="AR32" i="8"/>
  <c r="AS32" i="8"/>
  <c r="AM33" i="8"/>
  <c r="AV33" i="8" s="1"/>
  <c r="AN33" i="8"/>
  <c r="AW33" i="8" s="1"/>
  <c r="AO33" i="8"/>
  <c r="AP33" i="8"/>
  <c r="AQ33" i="8"/>
  <c r="AZ33" i="8" s="1"/>
  <c r="AR33" i="8"/>
  <c r="BA33" i="8" s="1"/>
  <c r="AS33" i="8"/>
  <c r="AM34" i="8"/>
  <c r="AN34" i="8"/>
  <c r="AW34" i="8" s="1"/>
  <c r="AO34" i="8"/>
  <c r="AX34" i="8" s="1"/>
  <c r="AP34" i="8"/>
  <c r="AQ34" i="8"/>
  <c r="AR34" i="8"/>
  <c r="BA34" i="8" s="1"/>
  <c r="AS34" i="8"/>
  <c r="BB34" i="8" s="1"/>
  <c r="AM35" i="8"/>
  <c r="AN35" i="8"/>
  <c r="AO35" i="8"/>
  <c r="AX35" i="8" s="1"/>
  <c r="AP35" i="8"/>
  <c r="AY35" i="8" s="1"/>
  <c r="AQ35" i="8"/>
  <c r="AR35" i="8"/>
  <c r="AS35" i="8"/>
  <c r="BB35" i="8" s="1"/>
  <c r="AM36" i="8"/>
  <c r="AV36" i="8" s="1"/>
  <c r="AN36" i="8"/>
  <c r="AO36" i="8"/>
  <c r="AP36" i="8"/>
  <c r="AY36" i="8" s="1"/>
  <c r="AQ36" i="8"/>
  <c r="AZ36" i="8" s="1"/>
  <c r="AR36" i="8"/>
  <c r="AS36" i="8"/>
  <c r="AM37" i="8"/>
  <c r="AV37" i="8" s="1"/>
  <c r="AN37" i="8"/>
  <c r="AW37" i="8" s="1"/>
  <c r="AO37" i="8"/>
  <c r="AP37" i="8"/>
  <c r="AQ37" i="8"/>
  <c r="AZ37" i="8" s="1"/>
  <c r="AR37" i="8"/>
  <c r="BA37" i="8" s="1"/>
  <c r="AS37" i="8"/>
  <c r="AM38" i="8"/>
  <c r="AN38" i="8"/>
  <c r="AW38" i="8" s="1"/>
  <c r="AO38" i="8"/>
  <c r="AX38" i="8" s="1"/>
  <c r="AP38" i="8"/>
  <c r="AQ38" i="8"/>
  <c r="AR38" i="8"/>
  <c r="BA38" i="8" s="1"/>
  <c r="AS38" i="8"/>
  <c r="BB38" i="8" s="1"/>
  <c r="AM39" i="8"/>
  <c r="AN39" i="8"/>
  <c r="AO39" i="8"/>
  <c r="AX39" i="8" s="1"/>
  <c r="AP39" i="8"/>
  <c r="AY39" i="8" s="1"/>
  <c r="AQ39" i="8"/>
  <c r="AR39" i="8"/>
  <c r="AS39" i="8"/>
  <c r="BB39" i="8" s="1"/>
  <c r="AM40" i="8"/>
  <c r="AV40" i="8" s="1"/>
  <c r="AN40" i="8"/>
  <c r="AO40" i="8"/>
  <c r="AP40" i="8"/>
  <c r="AY40" i="8" s="1"/>
  <c r="AQ40" i="8"/>
  <c r="AZ40" i="8" s="1"/>
  <c r="AR40" i="8"/>
  <c r="AS40" i="8"/>
  <c r="AM41" i="8"/>
  <c r="AV41" i="8" s="1"/>
  <c r="AN41" i="8"/>
  <c r="AW41" i="8" s="1"/>
  <c r="AO41" i="8"/>
  <c r="AP41" i="8"/>
  <c r="AQ41" i="8"/>
  <c r="AZ41" i="8" s="1"/>
  <c r="AR41" i="8"/>
  <c r="BA41" i="8" s="1"/>
  <c r="AS41" i="8"/>
  <c r="AM42" i="8"/>
  <c r="AN42" i="8"/>
  <c r="AW42" i="8" s="1"/>
  <c r="AO42" i="8"/>
  <c r="AX42" i="8" s="1"/>
  <c r="AP42" i="8"/>
  <c r="AY42" i="8" s="1"/>
  <c r="AQ42" i="8"/>
  <c r="AR42" i="8"/>
  <c r="BA42" i="8" s="1"/>
  <c r="AS42" i="8"/>
  <c r="BB42" i="8" s="1"/>
  <c r="AM43" i="8"/>
  <c r="AV43" i="8" s="1"/>
  <c r="AN43" i="8"/>
  <c r="AO43" i="8"/>
  <c r="AX43" i="8" s="1"/>
  <c r="AP43" i="8"/>
  <c r="AY43" i="8" s="1"/>
  <c r="AQ43" i="8"/>
  <c r="AZ43" i="8" s="1"/>
  <c r="AR43" i="8"/>
  <c r="AS43" i="8"/>
  <c r="BB43" i="8" s="1"/>
  <c r="AM44" i="8"/>
  <c r="AV44" i="8" s="1"/>
  <c r="AN44" i="8"/>
  <c r="AW44" i="8" s="1"/>
  <c r="AO44" i="8"/>
  <c r="AP44" i="8"/>
  <c r="AY44" i="8" s="1"/>
  <c r="AQ44" i="8"/>
  <c r="AZ44" i="8" s="1"/>
  <c r="AR44" i="8"/>
  <c r="BA44" i="8" s="1"/>
  <c r="AS44" i="8"/>
  <c r="AM45" i="8"/>
  <c r="AV45" i="8" s="1"/>
  <c r="AN45" i="8"/>
  <c r="AW45" i="8" s="1"/>
  <c r="AO45" i="8"/>
  <c r="AX45" i="8" s="1"/>
  <c r="AP45" i="8"/>
  <c r="AQ45" i="8"/>
  <c r="AZ45" i="8" s="1"/>
  <c r="AR45" i="8"/>
  <c r="BA45" i="8" s="1"/>
  <c r="AS45" i="8"/>
  <c r="BB45" i="8" s="1"/>
  <c r="AM46" i="8"/>
  <c r="AN46" i="8"/>
  <c r="AW46" i="8" s="1"/>
  <c r="AO46" i="8"/>
  <c r="AX46" i="8" s="1"/>
  <c r="AP46" i="8"/>
  <c r="AY46" i="8" s="1"/>
  <c r="AQ46" i="8"/>
  <c r="AR46" i="8"/>
  <c r="BA46" i="8" s="1"/>
  <c r="AS46" i="8"/>
  <c r="BB46" i="8" s="1"/>
  <c r="AM47" i="8"/>
  <c r="AV47" i="8" s="1"/>
  <c r="AN47" i="8"/>
  <c r="AO47" i="8"/>
  <c r="AX47" i="8" s="1"/>
  <c r="AP47" i="8"/>
  <c r="AY47" i="8" s="1"/>
  <c r="AQ47" i="8"/>
  <c r="AZ47" i="8" s="1"/>
  <c r="AR47" i="8"/>
  <c r="AS47" i="8"/>
  <c r="BB47" i="8" s="1"/>
  <c r="AM48" i="8"/>
  <c r="AV48" i="8" s="1"/>
  <c r="AN48" i="8"/>
  <c r="AW48" i="8" s="1"/>
  <c r="AO48" i="8"/>
  <c r="AP48" i="8"/>
  <c r="AY48" i="8" s="1"/>
  <c r="AQ48" i="8"/>
  <c r="AZ48" i="8" s="1"/>
  <c r="AR48" i="8"/>
  <c r="BA48" i="8" s="1"/>
  <c r="AS48" i="8"/>
  <c r="AM49" i="8"/>
  <c r="AV49" i="8" s="1"/>
  <c r="AN49" i="8"/>
  <c r="AW49" i="8" s="1"/>
  <c r="AO49" i="8"/>
  <c r="AX49" i="8" s="1"/>
  <c r="AP49" i="8"/>
  <c r="AQ49" i="8"/>
  <c r="AZ49" i="8" s="1"/>
  <c r="AR49" i="8"/>
  <c r="BA49" i="8" s="1"/>
  <c r="AS49" i="8"/>
  <c r="BB49" i="8" s="1"/>
  <c r="AM50" i="8"/>
  <c r="AN50" i="8"/>
  <c r="AW50" i="8" s="1"/>
  <c r="AO50" i="8"/>
  <c r="AX50" i="8" s="1"/>
  <c r="AP50" i="8"/>
  <c r="AY50" i="8" s="1"/>
  <c r="AQ50" i="8"/>
  <c r="AR50" i="8"/>
  <c r="BA50" i="8" s="1"/>
  <c r="AS50" i="8"/>
  <c r="BB50" i="8" s="1"/>
  <c r="AM51" i="8"/>
  <c r="AV51" i="8" s="1"/>
  <c r="AN51" i="8"/>
  <c r="AO51" i="8"/>
  <c r="AX51" i="8" s="1"/>
  <c r="AP51" i="8"/>
  <c r="AY51" i="8" s="1"/>
  <c r="AQ51" i="8"/>
  <c r="AZ51" i="8" s="1"/>
  <c r="AR51" i="8"/>
  <c r="AS51" i="8"/>
  <c r="BB51" i="8" s="1"/>
  <c r="AM52" i="8"/>
  <c r="AV52" i="8" s="1"/>
  <c r="AN52" i="8"/>
  <c r="AW52" i="8" s="1"/>
  <c r="AO52" i="8"/>
  <c r="AP52" i="8"/>
  <c r="AY52" i="8" s="1"/>
  <c r="AQ52" i="8"/>
  <c r="AZ52" i="8" s="1"/>
  <c r="AR52" i="8"/>
  <c r="BA52" i="8" s="1"/>
  <c r="AS52" i="8"/>
  <c r="AM53" i="8"/>
  <c r="AV53" i="8" s="1"/>
  <c r="AN53" i="8"/>
  <c r="AW53" i="8" s="1"/>
  <c r="AO53" i="8"/>
  <c r="AX53" i="8" s="1"/>
  <c r="AP53" i="8"/>
  <c r="AQ53" i="8"/>
  <c r="AZ53" i="8" s="1"/>
  <c r="AR53" i="8"/>
  <c r="BA53" i="8" s="1"/>
  <c r="AS53" i="8"/>
  <c r="BB53" i="8" s="1"/>
  <c r="AM54" i="8"/>
  <c r="AN54" i="8"/>
  <c r="AW54" i="8" s="1"/>
  <c r="AO54" i="8"/>
  <c r="AX54" i="8" s="1"/>
  <c r="AP54" i="8"/>
  <c r="AY54" i="8" s="1"/>
  <c r="AQ54" i="8"/>
  <c r="AR54" i="8"/>
  <c r="BA54" i="8" s="1"/>
  <c r="AS54" i="8"/>
  <c r="BB54" i="8" s="1"/>
  <c r="AM55" i="8"/>
  <c r="AV55" i="8" s="1"/>
  <c r="AN55" i="8"/>
  <c r="AO55" i="8"/>
  <c r="AX55" i="8" s="1"/>
  <c r="AP55" i="8"/>
  <c r="AY55" i="8" s="1"/>
  <c r="AQ55" i="8"/>
  <c r="AZ55" i="8" s="1"/>
  <c r="AR55" i="8"/>
  <c r="AS55" i="8"/>
  <c r="BB55" i="8" s="1"/>
  <c r="AM56" i="8"/>
  <c r="AV56" i="8" s="1"/>
  <c r="AN56" i="8"/>
  <c r="AW56" i="8" s="1"/>
  <c r="AO56" i="8"/>
  <c r="AP56" i="8"/>
  <c r="AY56" i="8" s="1"/>
  <c r="AQ56" i="8"/>
  <c r="AZ56" i="8" s="1"/>
  <c r="AR56" i="8"/>
  <c r="BA56" i="8" s="1"/>
  <c r="AS56" i="8"/>
  <c r="AM57" i="8"/>
  <c r="AV57" i="8" s="1"/>
  <c r="AN57" i="8"/>
  <c r="AW57" i="8" s="1"/>
  <c r="AO57" i="8"/>
  <c r="AX57" i="8" s="1"/>
  <c r="AP57" i="8"/>
  <c r="AQ57" i="8"/>
  <c r="AZ57" i="8" s="1"/>
  <c r="AR57" i="8"/>
  <c r="BA57" i="8" s="1"/>
  <c r="AS57" i="8"/>
  <c r="BB57" i="8" s="1"/>
  <c r="AM58" i="8"/>
  <c r="AN58" i="8"/>
  <c r="AW58" i="8" s="1"/>
  <c r="AO58" i="8"/>
  <c r="AX58" i="8" s="1"/>
  <c r="AP58" i="8"/>
  <c r="AY58" i="8" s="1"/>
  <c r="AQ58" i="8"/>
  <c r="AR58" i="8"/>
  <c r="BA58" i="8" s="1"/>
  <c r="AS58" i="8"/>
  <c r="BB58" i="8" s="1"/>
  <c r="AM59" i="8"/>
  <c r="AV59" i="8" s="1"/>
  <c r="AN59" i="8"/>
  <c r="AO59" i="8"/>
  <c r="AX59" i="8" s="1"/>
  <c r="AP59" i="8"/>
  <c r="AY59" i="8" s="1"/>
  <c r="AQ59" i="8"/>
  <c r="AZ59" i="8" s="1"/>
  <c r="AR59" i="8"/>
  <c r="AS59" i="8"/>
  <c r="BB59" i="8" s="1"/>
  <c r="AM60" i="8"/>
  <c r="AV60" i="8" s="1"/>
  <c r="AN60" i="8"/>
  <c r="AW60" i="8" s="1"/>
  <c r="AO60" i="8"/>
  <c r="AP60" i="8"/>
  <c r="AY60" i="8" s="1"/>
  <c r="AQ60" i="8"/>
  <c r="AZ60" i="8" s="1"/>
  <c r="AR60" i="8"/>
  <c r="BA60" i="8" s="1"/>
  <c r="AS60" i="8"/>
  <c r="AM61" i="8"/>
  <c r="AV61" i="8" s="1"/>
  <c r="AN61" i="8"/>
  <c r="AW61" i="8" s="1"/>
  <c r="AO61" i="8"/>
  <c r="AX61" i="8" s="1"/>
  <c r="AP61" i="8"/>
  <c r="AQ61" i="8"/>
  <c r="AZ61" i="8" s="1"/>
  <c r="AR61" i="8"/>
  <c r="BA61" i="8" s="1"/>
  <c r="AS61" i="8"/>
  <c r="BB61" i="8" s="1"/>
  <c r="AM62" i="8"/>
  <c r="AN62" i="8"/>
  <c r="AW62" i="8" s="1"/>
  <c r="AO62" i="8"/>
  <c r="AX62" i="8" s="1"/>
  <c r="AP62" i="8"/>
  <c r="AY62" i="8" s="1"/>
  <c r="AQ62" i="8"/>
  <c r="AR62" i="8"/>
  <c r="BA62" i="8" s="1"/>
  <c r="AS62" i="8"/>
  <c r="BB62" i="8" s="1"/>
  <c r="AM63" i="8"/>
  <c r="AV63" i="8" s="1"/>
  <c r="AN63" i="8"/>
  <c r="AO63" i="8"/>
  <c r="AX63" i="8" s="1"/>
  <c r="AP63" i="8"/>
  <c r="AY63" i="8" s="1"/>
  <c r="AQ63" i="8"/>
  <c r="AZ63" i="8" s="1"/>
  <c r="AR63" i="8"/>
  <c r="AS63" i="8"/>
  <c r="BB63" i="8" s="1"/>
  <c r="AM64" i="8"/>
  <c r="AV64" i="8" s="1"/>
  <c r="AN64" i="8"/>
  <c r="AW64" i="8" s="1"/>
  <c r="AO64" i="8"/>
  <c r="AP64" i="8"/>
  <c r="AY64" i="8" s="1"/>
  <c r="AQ64" i="8"/>
  <c r="AZ64" i="8" s="1"/>
  <c r="AR64" i="8"/>
  <c r="BA64" i="8" s="1"/>
  <c r="AS64" i="8"/>
  <c r="AM65" i="8"/>
  <c r="AV65" i="8" s="1"/>
  <c r="AN65" i="8"/>
  <c r="AW65" i="8" s="1"/>
  <c r="AO65" i="8"/>
  <c r="AX65" i="8" s="1"/>
  <c r="AP65" i="8"/>
  <c r="AQ65" i="8"/>
  <c r="AZ65" i="8" s="1"/>
  <c r="AR65" i="8"/>
  <c r="BA65" i="8" s="1"/>
  <c r="AS65" i="8"/>
  <c r="BB65" i="8" s="1"/>
  <c r="AM66" i="8"/>
  <c r="AN66" i="8"/>
  <c r="AW66" i="8" s="1"/>
  <c r="AO66" i="8"/>
  <c r="AX66" i="8" s="1"/>
  <c r="AP66" i="8"/>
  <c r="AY66" i="8" s="1"/>
  <c r="AQ66" i="8"/>
  <c r="AR66" i="8"/>
  <c r="BA66" i="8" s="1"/>
  <c r="AS66" i="8"/>
  <c r="BB66" i="8" s="1"/>
  <c r="AM67" i="8"/>
  <c r="AV67" i="8" s="1"/>
  <c r="AN67" i="8"/>
  <c r="AO67" i="8"/>
  <c r="AX67" i="8" s="1"/>
  <c r="AP67" i="8"/>
  <c r="AY67" i="8" s="1"/>
  <c r="AQ67" i="8"/>
  <c r="AZ67" i="8" s="1"/>
  <c r="AR67" i="8"/>
  <c r="AS67" i="8"/>
  <c r="BB67" i="8" s="1"/>
  <c r="AM68" i="8"/>
  <c r="AV68" i="8" s="1"/>
  <c r="AN68" i="8"/>
  <c r="AW68" i="8" s="1"/>
  <c r="AO68" i="8"/>
  <c r="AP68" i="8"/>
  <c r="AY68" i="8" s="1"/>
  <c r="AQ68" i="8"/>
  <c r="AZ68" i="8" s="1"/>
  <c r="AR68" i="8"/>
  <c r="BA68" i="8" s="1"/>
  <c r="AS68" i="8"/>
  <c r="AM69" i="8"/>
  <c r="AV69" i="8" s="1"/>
  <c r="AN69" i="8"/>
  <c r="AW69" i="8" s="1"/>
  <c r="AO69" i="8"/>
  <c r="AX69" i="8" s="1"/>
  <c r="AP69" i="8"/>
  <c r="AQ69" i="8"/>
  <c r="AZ69" i="8" s="1"/>
  <c r="AR69" i="8"/>
  <c r="BA69" i="8" s="1"/>
  <c r="AS69" i="8"/>
  <c r="BB69" i="8" s="1"/>
  <c r="AM70" i="8"/>
  <c r="AN70" i="8"/>
  <c r="AW70" i="8" s="1"/>
  <c r="AO70" i="8"/>
  <c r="AX70" i="8" s="1"/>
  <c r="AP70" i="8"/>
  <c r="AY70" i="8" s="1"/>
  <c r="AQ70" i="8"/>
  <c r="AR70" i="8"/>
  <c r="BA70" i="8" s="1"/>
  <c r="AS70" i="8"/>
  <c r="BB70" i="8" s="1"/>
  <c r="AM71" i="8"/>
  <c r="AV71" i="8" s="1"/>
  <c r="AN71" i="8"/>
  <c r="AO71" i="8"/>
  <c r="AX71" i="8" s="1"/>
  <c r="AP71" i="8"/>
  <c r="AY71" i="8" s="1"/>
  <c r="AQ71" i="8"/>
  <c r="AZ71" i="8" s="1"/>
  <c r="AR71" i="8"/>
  <c r="AS71" i="8"/>
  <c r="BB71" i="8" s="1"/>
  <c r="AM72" i="8"/>
  <c r="AV72" i="8" s="1"/>
  <c r="AN72" i="8"/>
  <c r="AW72" i="8" s="1"/>
  <c r="AO72" i="8"/>
  <c r="AP72" i="8"/>
  <c r="AY72" i="8" s="1"/>
  <c r="AQ72" i="8"/>
  <c r="AZ72" i="8" s="1"/>
  <c r="AR72" i="8"/>
  <c r="BA72" i="8" s="1"/>
  <c r="AS72" i="8"/>
  <c r="AM73" i="8"/>
  <c r="AV73" i="8" s="1"/>
  <c r="AN73" i="8"/>
  <c r="AW73" i="8" s="1"/>
  <c r="AO73" i="8"/>
  <c r="AX73" i="8" s="1"/>
  <c r="AP73" i="8"/>
  <c r="AQ73" i="8"/>
  <c r="AZ73" i="8" s="1"/>
  <c r="AR73" i="8"/>
  <c r="BA73" i="8" s="1"/>
  <c r="AS73" i="8"/>
  <c r="BB73" i="8" s="1"/>
  <c r="AM74" i="8"/>
  <c r="AN74" i="8"/>
  <c r="AW74" i="8" s="1"/>
  <c r="AO74" i="8"/>
  <c r="AX74" i="8" s="1"/>
  <c r="AP74" i="8"/>
  <c r="AY74" i="8" s="1"/>
  <c r="AQ74" i="8"/>
  <c r="AR74" i="8"/>
  <c r="BA74" i="8" s="1"/>
  <c r="AS74" i="8"/>
  <c r="BB74" i="8" s="1"/>
  <c r="AM75" i="8"/>
  <c r="AV75" i="8" s="1"/>
  <c r="AN75" i="8"/>
  <c r="AO75" i="8"/>
  <c r="AX75" i="8" s="1"/>
  <c r="AP75" i="8"/>
  <c r="AY75" i="8" s="1"/>
  <c r="AQ75" i="8"/>
  <c r="AZ75" i="8" s="1"/>
  <c r="AR75" i="8"/>
  <c r="AS75" i="8"/>
  <c r="BB75" i="8" s="1"/>
  <c r="AM76" i="8"/>
  <c r="AV76" i="8" s="1"/>
  <c r="AN76" i="8"/>
  <c r="AW76" i="8" s="1"/>
  <c r="AO76" i="8"/>
  <c r="AP76" i="8"/>
  <c r="AY76" i="8" s="1"/>
  <c r="AQ76" i="8"/>
  <c r="AZ76" i="8" s="1"/>
  <c r="AR76" i="8"/>
  <c r="BA76" i="8" s="1"/>
  <c r="AS76" i="8"/>
  <c r="AM77" i="8"/>
  <c r="AV77" i="8" s="1"/>
  <c r="AN77" i="8"/>
  <c r="AW77" i="8" s="1"/>
  <c r="AO77" i="8"/>
  <c r="AX77" i="8" s="1"/>
  <c r="AP77" i="8"/>
  <c r="AQ77" i="8"/>
  <c r="AZ77" i="8" s="1"/>
  <c r="AR77" i="8"/>
  <c r="BA77" i="8" s="1"/>
  <c r="AS77" i="8"/>
  <c r="BB77" i="8" s="1"/>
  <c r="AM78" i="8"/>
  <c r="AN78" i="8"/>
  <c r="AW78" i="8" s="1"/>
  <c r="AO78" i="8"/>
  <c r="AX78" i="8" s="1"/>
  <c r="AP78" i="8"/>
  <c r="AY78" i="8" s="1"/>
  <c r="AQ78" i="8"/>
  <c r="AR78" i="8"/>
  <c r="BA78" i="8" s="1"/>
  <c r="AS78" i="8"/>
  <c r="BB78" i="8" s="1"/>
  <c r="AM79" i="8"/>
  <c r="AV79" i="8" s="1"/>
  <c r="AN79" i="8"/>
  <c r="AO79" i="8"/>
  <c r="AX79" i="8" s="1"/>
  <c r="AP79" i="8"/>
  <c r="AY79" i="8" s="1"/>
  <c r="AQ79" i="8"/>
  <c r="AZ79" i="8" s="1"/>
  <c r="AR79" i="8"/>
  <c r="AS79" i="8"/>
  <c r="BB79" i="8" s="1"/>
  <c r="AM80" i="8"/>
  <c r="AV80" i="8" s="1"/>
  <c r="AN80" i="8"/>
  <c r="AW80" i="8" s="1"/>
  <c r="AO80" i="8"/>
  <c r="AP80" i="8"/>
  <c r="AY80" i="8" s="1"/>
  <c r="AQ80" i="8"/>
  <c r="AZ80" i="8" s="1"/>
  <c r="AR80" i="8"/>
  <c r="BA80" i="8" s="1"/>
  <c r="AS80" i="8"/>
  <c r="AM81" i="8"/>
  <c r="AV81" i="8" s="1"/>
  <c r="AN81" i="8"/>
  <c r="AW81" i="8" s="1"/>
  <c r="AO81" i="8"/>
  <c r="AX81" i="8" s="1"/>
  <c r="AP81" i="8"/>
  <c r="AQ81" i="8"/>
  <c r="AZ81" i="8" s="1"/>
  <c r="AR81" i="8"/>
  <c r="BA81" i="8" s="1"/>
  <c r="AS81" i="8"/>
  <c r="BB81" i="8" s="1"/>
  <c r="AM82" i="8"/>
  <c r="AN82" i="8"/>
  <c r="AW82" i="8" s="1"/>
  <c r="AO82" i="8"/>
  <c r="AX82" i="8" s="1"/>
  <c r="AP82" i="8"/>
  <c r="AY82" i="8" s="1"/>
  <c r="AQ82" i="8"/>
  <c r="AR82" i="8"/>
  <c r="BA82" i="8" s="1"/>
  <c r="AS82" i="8"/>
  <c r="BB82" i="8" s="1"/>
  <c r="AM83" i="8"/>
  <c r="AV83" i="8" s="1"/>
  <c r="AN83" i="8"/>
  <c r="AO83" i="8"/>
  <c r="AX83" i="8" s="1"/>
  <c r="AP83" i="8"/>
  <c r="AY83" i="8" s="1"/>
  <c r="AQ83" i="8"/>
  <c r="AZ83" i="8" s="1"/>
  <c r="AR83" i="8"/>
  <c r="AS83" i="8"/>
  <c r="BB83" i="8" s="1"/>
  <c r="AN6" i="8"/>
  <c r="AW6" i="8" s="1"/>
  <c r="AO6" i="8"/>
  <c r="AX6" i="8" s="1"/>
  <c r="AP6" i="8"/>
  <c r="AQ6" i="8"/>
  <c r="AZ6" i="8" s="1"/>
  <c r="AR6" i="8"/>
  <c r="AS6" i="8"/>
  <c r="BB6" i="8" s="1"/>
  <c r="AM6" i="8"/>
  <c r="AT84" i="8"/>
  <c r="AD7" i="8"/>
  <c r="AE7" i="8"/>
  <c r="AF7" i="8"/>
  <c r="AG7" i="8"/>
  <c r="AH7" i="8"/>
  <c r="AI7" i="8"/>
  <c r="AJ7" i="8"/>
  <c r="AD8" i="8"/>
  <c r="AE8" i="8"/>
  <c r="AF8" i="8"/>
  <c r="AG8" i="8"/>
  <c r="AH8" i="8"/>
  <c r="AI8" i="8"/>
  <c r="AJ8" i="8"/>
  <c r="AD9" i="8"/>
  <c r="AE9" i="8"/>
  <c r="AF9" i="8"/>
  <c r="AG9" i="8"/>
  <c r="AH9" i="8"/>
  <c r="AI9" i="8"/>
  <c r="AJ9" i="8"/>
  <c r="AD10" i="8"/>
  <c r="AE10" i="8"/>
  <c r="AF10" i="8"/>
  <c r="AG10" i="8"/>
  <c r="AH10" i="8"/>
  <c r="AI10" i="8"/>
  <c r="AJ10" i="8"/>
  <c r="AD11" i="8"/>
  <c r="AE11" i="8"/>
  <c r="AF11" i="8"/>
  <c r="AG11" i="8"/>
  <c r="AH11" i="8"/>
  <c r="AI11" i="8"/>
  <c r="AJ11" i="8"/>
  <c r="AD12" i="8"/>
  <c r="AE12" i="8"/>
  <c r="AF12" i="8"/>
  <c r="AG12" i="8"/>
  <c r="AH12" i="8"/>
  <c r="AI12" i="8"/>
  <c r="AJ12" i="8"/>
  <c r="AD13" i="8"/>
  <c r="AE13" i="8"/>
  <c r="AF13" i="8"/>
  <c r="AG13" i="8"/>
  <c r="AH13" i="8"/>
  <c r="AI13" i="8"/>
  <c r="AJ13" i="8"/>
  <c r="AD14" i="8"/>
  <c r="AE14" i="8"/>
  <c r="AF14" i="8"/>
  <c r="AG14" i="8"/>
  <c r="AH14" i="8"/>
  <c r="AI14" i="8"/>
  <c r="AJ14" i="8"/>
  <c r="AD15" i="8"/>
  <c r="AE15" i="8"/>
  <c r="AF15" i="8"/>
  <c r="AG15" i="8"/>
  <c r="AH15" i="8"/>
  <c r="AI15" i="8"/>
  <c r="AJ15" i="8"/>
  <c r="AD16" i="8"/>
  <c r="AE16" i="8"/>
  <c r="AF16" i="8"/>
  <c r="AG16" i="8"/>
  <c r="AH16" i="8"/>
  <c r="AI16" i="8"/>
  <c r="AJ16" i="8"/>
  <c r="AD17" i="8"/>
  <c r="AE17" i="8"/>
  <c r="AF17" i="8"/>
  <c r="AG17" i="8"/>
  <c r="AH17" i="8"/>
  <c r="AI17" i="8"/>
  <c r="AJ17" i="8"/>
  <c r="AD18" i="8"/>
  <c r="AE18" i="8"/>
  <c r="AF18" i="8"/>
  <c r="AG18" i="8"/>
  <c r="AH18" i="8"/>
  <c r="AI18" i="8"/>
  <c r="AJ18" i="8"/>
  <c r="AD19" i="8"/>
  <c r="AE19" i="8"/>
  <c r="AF19" i="8"/>
  <c r="AG19" i="8"/>
  <c r="AH19" i="8"/>
  <c r="AI19" i="8"/>
  <c r="AJ19" i="8"/>
  <c r="AD20" i="8"/>
  <c r="AE20" i="8"/>
  <c r="AF20" i="8"/>
  <c r="AG20" i="8"/>
  <c r="AH20" i="8"/>
  <c r="AI20" i="8"/>
  <c r="AJ20" i="8"/>
  <c r="AD21" i="8"/>
  <c r="AE21" i="8"/>
  <c r="AF21" i="8"/>
  <c r="AG21" i="8"/>
  <c r="AH21" i="8"/>
  <c r="AI21" i="8"/>
  <c r="AJ21" i="8"/>
  <c r="AD22" i="8"/>
  <c r="AE22" i="8"/>
  <c r="AF22" i="8"/>
  <c r="AG22" i="8"/>
  <c r="AH22" i="8"/>
  <c r="AI22" i="8"/>
  <c r="AJ22" i="8"/>
  <c r="AD23" i="8"/>
  <c r="AE23" i="8"/>
  <c r="AF23" i="8"/>
  <c r="AG23" i="8"/>
  <c r="AH23" i="8"/>
  <c r="AI23" i="8"/>
  <c r="AJ23" i="8"/>
  <c r="AD24" i="8"/>
  <c r="AE24" i="8"/>
  <c r="AF24" i="8"/>
  <c r="AG24" i="8"/>
  <c r="AH24" i="8"/>
  <c r="AI24" i="8"/>
  <c r="AJ24" i="8"/>
  <c r="AD25" i="8"/>
  <c r="AE25" i="8"/>
  <c r="AF25" i="8"/>
  <c r="AG25" i="8"/>
  <c r="AH25" i="8"/>
  <c r="AI25" i="8"/>
  <c r="AJ25" i="8"/>
  <c r="AD26" i="8"/>
  <c r="AE26" i="8"/>
  <c r="AF26" i="8"/>
  <c r="AG26" i="8"/>
  <c r="AH26" i="8"/>
  <c r="AI26" i="8"/>
  <c r="AJ26" i="8"/>
  <c r="AD27" i="8"/>
  <c r="AE27" i="8"/>
  <c r="AF27" i="8"/>
  <c r="AG27" i="8"/>
  <c r="AH27" i="8"/>
  <c r="AI27" i="8"/>
  <c r="AJ27" i="8"/>
  <c r="AD28" i="8"/>
  <c r="AE28" i="8"/>
  <c r="AF28" i="8"/>
  <c r="AG28" i="8"/>
  <c r="AH28" i="8"/>
  <c r="AI28" i="8"/>
  <c r="AJ28" i="8"/>
  <c r="AD29" i="8"/>
  <c r="AE29" i="8"/>
  <c r="AF29" i="8"/>
  <c r="AG29" i="8"/>
  <c r="AH29" i="8"/>
  <c r="AI29" i="8"/>
  <c r="AJ29" i="8"/>
  <c r="AD30" i="8"/>
  <c r="AE30" i="8"/>
  <c r="AF30" i="8"/>
  <c r="AG30" i="8"/>
  <c r="AH30" i="8"/>
  <c r="AI30" i="8"/>
  <c r="AJ30" i="8"/>
  <c r="AD31" i="8"/>
  <c r="AE31" i="8"/>
  <c r="AF31" i="8"/>
  <c r="AG31" i="8"/>
  <c r="AH31" i="8"/>
  <c r="AI31" i="8"/>
  <c r="AJ31" i="8"/>
  <c r="AD32" i="8"/>
  <c r="AE32" i="8"/>
  <c r="AF32" i="8"/>
  <c r="AG32" i="8"/>
  <c r="AH32" i="8"/>
  <c r="AI32" i="8"/>
  <c r="AJ32" i="8"/>
  <c r="AD33" i="8"/>
  <c r="AE33" i="8"/>
  <c r="AF33" i="8"/>
  <c r="AG33" i="8"/>
  <c r="AH33" i="8"/>
  <c r="AI33" i="8"/>
  <c r="AJ33" i="8"/>
  <c r="AD34" i="8"/>
  <c r="AE34" i="8"/>
  <c r="AF34" i="8"/>
  <c r="AG34" i="8"/>
  <c r="AH34" i="8"/>
  <c r="AI34" i="8"/>
  <c r="AJ34" i="8"/>
  <c r="AD35" i="8"/>
  <c r="AE35" i="8"/>
  <c r="AF35" i="8"/>
  <c r="AG35" i="8"/>
  <c r="AH35" i="8"/>
  <c r="AI35" i="8"/>
  <c r="AJ35" i="8"/>
  <c r="AD36" i="8"/>
  <c r="AE36" i="8"/>
  <c r="AF36" i="8"/>
  <c r="AG36" i="8"/>
  <c r="AH36" i="8"/>
  <c r="AI36" i="8"/>
  <c r="AJ36" i="8"/>
  <c r="AD37" i="8"/>
  <c r="AE37" i="8"/>
  <c r="AF37" i="8"/>
  <c r="AG37" i="8"/>
  <c r="AH37" i="8"/>
  <c r="AI37" i="8"/>
  <c r="AJ37" i="8"/>
  <c r="AD38" i="8"/>
  <c r="AE38" i="8"/>
  <c r="AF38" i="8"/>
  <c r="AG38" i="8"/>
  <c r="AH38" i="8"/>
  <c r="AI38" i="8"/>
  <c r="AJ38" i="8"/>
  <c r="AD39" i="8"/>
  <c r="AE39" i="8"/>
  <c r="AF39" i="8"/>
  <c r="AG39" i="8"/>
  <c r="AH39" i="8"/>
  <c r="AI39" i="8"/>
  <c r="AJ39" i="8"/>
  <c r="AD40" i="8"/>
  <c r="AE40" i="8"/>
  <c r="AF40" i="8"/>
  <c r="AG40" i="8"/>
  <c r="AH40" i="8"/>
  <c r="AI40" i="8"/>
  <c r="AJ40" i="8"/>
  <c r="AD41" i="8"/>
  <c r="AE41" i="8"/>
  <c r="AF41" i="8"/>
  <c r="AG41" i="8"/>
  <c r="AH41" i="8"/>
  <c r="AI41" i="8"/>
  <c r="AJ41" i="8"/>
  <c r="AD42" i="8"/>
  <c r="AE42" i="8"/>
  <c r="AF42" i="8"/>
  <c r="AG42" i="8"/>
  <c r="AH42" i="8"/>
  <c r="AI42" i="8"/>
  <c r="AJ42" i="8"/>
  <c r="AD43" i="8"/>
  <c r="AE43" i="8"/>
  <c r="AF43" i="8"/>
  <c r="AG43" i="8"/>
  <c r="AH43" i="8"/>
  <c r="AI43" i="8"/>
  <c r="AJ43" i="8"/>
  <c r="AD44" i="8"/>
  <c r="AE44" i="8"/>
  <c r="AF44" i="8"/>
  <c r="AG44" i="8"/>
  <c r="AH44" i="8"/>
  <c r="AI44" i="8"/>
  <c r="AJ44" i="8"/>
  <c r="AD45" i="8"/>
  <c r="AE45" i="8"/>
  <c r="AF45" i="8"/>
  <c r="AG45" i="8"/>
  <c r="AH45" i="8"/>
  <c r="AI45" i="8"/>
  <c r="AJ45" i="8"/>
  <c r="AD46" i="8"/>
  <c r="AE46" i="8"/>
  <c r="AF46" i="8"/>
  <c r="AG46" i="8"/>
  <c r="AH46" i="8"/>
  <c r="AI46" i="8"/>
  <c r="AJ46" i="8"/>
  <c r="AD47" i="8"/>
  <c r="AE47" i="8"/>
  <c r="AF47" i="8"/>
  <c r="AG47" i="8"/>
  <c r="AH47" i="8"/>
  <c r="AI47" i="8"/>
  <c r="AJ47" i="8"/>
  <c r="AD48" i="8"/>
  <c r="AE48" i="8"/>
  <c r="AF48" i="8"/>
  <c r="AG48" i="8"/>
  <c r="AH48" i="8"/>
  <c r="AI48" i="8"/>
  <c r="AJ48" i="8"/>
  <c r="AD49" i="8"/>
  <c r="AE49" i="8"/>
  <c r="AF49" i="8"/>
  <c r="AG49" i="8"/>
  <c r="AH49" i="8"/>
  <c r="AI49" i="8"/>
  <c r="AJ49" i="8"/>
  <c r="AD50" i="8"/>
  <c r="AE50" i="8"/>
  <c r="AF50" i="8"/>
  <c r="AG50" i="8"/>
  <c r="AH50" i="8"/>
  <c r="AI50" i="8"/>
  <c r="AJ50" i="8"/>
  <c r="AD51" i="8"/>
  <c r="AE51" i="8"/>
  <c r="AF51" i="8"/>
  <c r="AG51" i="8"/>
  <c r="AH51" i="8"/>
  <c r="AI51" i="8"/>
  <c r="AJ51" i="8"/>
  <c r="AD52" i="8"/>
  <c r="AE52" i="8"/>
  <c r="AF52" i="8"/>
  <c r="AG52" i="8"/>
  <c r="AH52" i="8"/>
  <c r="AI52" i="8"/>
  <c r="AJ52" i="8"/>
  <c r="AD53" i="8"/>
  <c r="AE53" i="8"/>
  <c r="AF53" i="8"/>
  <c r="AG53" i="8"/>
  <c r="AH53" i="8"/>
  <c r="AI53" i="8"/>
  <c r="AJ53" i="8"/>
  <c r="AD54" i="8"/>
  <c r="AE54" i="8"/>
  <c r="AF54" i="8"/>
  <c r="AG54" i="8"/>
  <c r="AH54" i="8"/>
  <c r="AI54" i="8"/>
  <c r="AJ54" i="8"/>
  <c r="AD55" i="8"/>
  <c r="AE55" i="8"/>
  <c r="AF55" i="8"/>
  <c r="AG55" i="8"/>
  <c r="AH55" i="8"/>
  <c r="AI55" i="8"/>
  <c r="AJ55" i="8"/>
  <c r="AD56" i="8"/>
  <c r="AE56" i="8"/>
  <c r="AF56" i="8"/>
  <c r="AG56" i="8"/>
  <c r="AH56" i="8"/>
  <c r="AI56" i="8"/>
  <c r="AJ56" i="8"/>
  <c r="AD57" i="8"/>
  <c r="AE57" i="8"/>
  <c r="AF57" i="8"/>
  <c r="AG57" i="8"/>
  <c r="AH57" i="8"/>
  <c r="AI57" i="8"/>
  <c r="AJ57" i="8"/>
  <c r="AD58" i="8"/>
  <c r="AE58" i="8"/>
  <c r="AF58" i="8"/>
  <c r="AG58" i="8"/>
  <c r="AH58" i="8"/>
  <c r="AI58" i="8"/>
  <c r="AJ58" i="8"/>
  <c r="AD59" i="8"/>
  <c r="AE59" i="8"/>
  <c r="AF59" i="8"/>
  <c r="AG59" i="8"/>
  <c r="AH59" i="8"/>
  <c r="AI59" i="8"/>
  <c r="AJ59" i="8"/>
  <c r="AD60" i="8"/>
  <c r="AE60" i="8"/>
  <c r="AF60" i="8"/>
  <c r="AG60" i="8"/>
  <c r="AH60" i="8"/>
  <c r="AI60" i="8"/>
  <c r="AJ60" i="8"/>
  <c r="AD61" i="8"/>
  <c r="AE61" i="8"/>
  <c r="AF61" i="8"/>
  <c r="AG61" i="8"/>
  <c r="AH61" i="8"/>
  <c r="AI61" i="8"/>
  <c r="AJ61" i="8"/>
  <c r="AD62" i="8"/>
  <c r="AE62" i="8"/>
  <c r="AF62" i="8"/>
  <c r="AG62" i="8"/>
  <c r="AH62" i="8"/>
  <c r="AI62" i="8"/>
  <c r="AJ62" i="8"/>
  <c r="AD63" i="8"/>
  <c r="AE63" i="8"/>
  <c r="AF63" i="8"/>
  <c r="AG63" i="8"/>
  <c r="AH63" i="8"/>
  <c r="AI63" i="8"/>
  <c r="AJ63" i="8"/>
  <c r="AD64" i="8"/>
  <c r="AE64" i="8"/>
  <c r="AF64" i="8"/>
  <c r="AG64" i="8"/>
  <c r="AH64" i="8"/>
  <c r="AI64" i="8"/>
  <c r="AJ64" i="8"/>
  <c r="AD65" i="8"/>
  <c r="AE65" i="8"/>
  <c r="AF65" i="8"/>
  <c r="AG65" i="8"/>
  <c r="AH65" i="8"/>
  <c r="AI65" i="8"/>
  <c r="AJ65" i="8"/>
  <c r="AD66" i="8"/>
  <c r="AE66" i="8"/>
  <c r="AF66" i="8"/>
  <c r="AG66" i="8"/>
  <c r="AH66" i="8"/>
  <c r="AI66" i="8"/>
  <c r="AJ66" i="8"/>
  <c r="AD67" i="8"/>
  <c r="AE67" i="8"/>
  <c r="AF67" i="8"/>
  <c r="AG67" i="8"/>
  <c r="AH67" i="8"/>
  <c r="AI67" i="8"/>
  <c r="AJ67" i="8"/>
  <c r="AD68" i="8"/>
  <c r="AE68" i="8"/>
  <c r="AF68" i="8"/>
  <c r="AG68" i="8"/>
  <c r="AH68" i="8"/>
  <c r="AI68" i="8"/>
  <c r="AJ68" i="8"/>
  <c r="AD69" i="8"/>
  <c r="AE69" i="8"/>
  <c r="AF69" i="8"/>
  <c r="AG69" i="8"/>
  <c r="AH69" i="8"/>
  <c r="AI69" i="8"/>
  <c r="AJ69" i="8"/>
  <c r="AD70" i="8"/>
  <c r="AE70" i="8"/>
  <c r="AF70" i="8"/>
  <c r="AG70" i="8"/>
  <c r="AH70" i="8"/>
  <c r="AI70" i="8"/>
  <c r="AJ70" i="8"/>
  <c r="AD71" i="8"/>
  <c r="AE71" i="8"/>
  <c r="AF71" i="8"/>
  <c r="AG71" i="8"/>
  <c r="AH71" i="8"/>
  <c r="AI71" i="8"/>
  <c r="AJ71" i="8"/>
  <c r="AD72" i="8"/>
  <c r="AE72" i="8"/>
  <c r="AF72" i="8"/>
  <c r="AG72" i="8"/>
  <c r="AH72" i="8"/>
  <c r="AI72" i="8"/>
  <c r="AJ72" i="8"/>
  <c r="AD73" i="8"/>
  <c r="AE73" i="8"/>
  <c r="AF73" i="8"/>
  <c r="AG73" i="8"/>
  <c r="AH73" i="8"/>
  <c r="AI73" i="8"/>
  <c r="AJ73" i="8"/>
  <c r="AD74" i="8"/>
  <c r="AE74" i="8"/>
  <c r="AF74" i="8"/>
  <c r="AG74" i="8"/>
  <c r="AH74" i="8"/>
  <c r="AI74" i="8"/>
  <c r="AJ74" i="8"/>
  <c r="AD75" i="8"/>
  <c r="AE75" i="8"/>
  <c r="AF75" i="8"/>
  <c r="AG75" i="8"/>
  <c r="AH75" i="8"/>
  <c r="AI75" i="8"/>
  <c r="AJ75" i="8"/>
  <c r="AD76" i="8"/>
  <c r="AE76" i="8"/>
  <c r="AF76" i="8"/>
  <c r="AG76" i="8"/>
  <c r="AH76" i="8"/>
  <c r="AI76" i="8"/>
  <c r="AJ76" i="8"/>
  <c r="AD77" i="8"/>
  <c r="AE77" i="8"/>
  <c r="AF77" i="8"/>
  <c r="AG77" i="8"/>
  <c r="AH77" i="8"/>
  <c r="AI77" i="8"/>
  <c r="AJ77" i="8"/>
  <c r="AD78" i="8"/>
  <c r="AE78" i="8"/>
  <c r="AF78" i="8"/>
  <c r="AG78" i="8"/>
  <c r="AH78" i="8"/>
  <c r="AI78" i="8"/>
  <c r="AJ78" i="8"/>
  <c r="AD79" i="8"/>
  <c r="AE79" i="8"/>
  <c r="AF79" i="8"/>
  <c r="AG79" i="8"/>
  <c r="AH79" i="8"/>
  <c r="AI79" i="8"/>
  <c r="AJ79" i="8"/>
  <c r="AD80" i="8"/>
  <c r="AE80" i="8"/>
  <c r="AF80" i="8"/>
  <c r="AG80" i="8"/>
  <c r="AH80" i="8"/>
  <c r="AI80" i="8"/>
  <c r="AJ80" i="8"/>
  <c r="AD81" i="8"/>
  <c r="AE81" i="8"/>
  <c r="AF81" i="8"/>
  <c r="AG81" i="8"/>
  <c r="AH81" i="8"/>
  <c r="AI81" i="8"/>
  <c r="AJ81" i="8"/>
  <c r="AD82" i="8"/>
  <c r="AE82" i="8"/>
  <c r="AF82" i="8"/>
  <c r="AG82" i="8"/>
  <c r="AH82" i="8"/>
  <c r="AI82" i="8"/>
  <c r="AJ82" i="8"/>
  <c r="AD83" i="8"/>
  <c r="AE83" i="8"/>
  <c r="AF83" i="8"/>
  <c r="AG83" i="8"/>
  <c r="AH83" i="8"/>
  <c r="AI83" i="8"/>
  <c r="AJ83" i="8"/>
  <c r="AE6" i="8"/>
  <c r="AF6" i="8"/>
  <c r="AG6" i="8"/>
  <c r="AH6" i="8"/>
  <c r="AI6" i="8"/>
  <c r="AJ6" i="8"/>
  <c r="AD6" i="8"/>
  <c r="AK84" i="8"/>
  <c r="C13" i="1"/>
  <c r="C12" i="1"/>
  <c r="C11" i="1"/>
  <c r="BB27" i="8" l="1"/>
  <c r="AX27" i="8"/>
  <c r="BA26" i="8"/>
  <c r="AW26" i="8"/>
  <c r="AZ25" i="8"/>
  <c r="AV25" i="8"/>
  <c r="AY24" i="8"/>
  <c r="BB23" i="8"/>
  <c r="AX23" i="8"/>
  <c r="BA22" i="8"/>
  <c r="AW22" i="8"/>
  <c r="AZ21" i="8"/>
  <c r="AV21" i="8"/>
  <c r="AY20" i="8"/>
  <c r="BB19" i="8"/>
  <c r="AX19" i="8"/>
  <c r="BA18" i="8"/>
  <c r="AW18" i="8"/>
  <c r="AZ17" i="8"/>
  <c r="AV17" i="8"/>
  <c r="AY16" i="8"/>
  <c r="BB15" i="8"/>
  <c r="AX15" i="8"/>
  <c r="BA14" i="8"/>
  <c r="AW14" i="8"/>
  <c r="AZ13" i="8"/>
  <c r="AV13" i="8"/>
  <c r="AY12" i="8"/>
  <c r="BB11" i="8"/>
  <c r="AX11" i="8"/>
  <c r="BA10" i="8"/>
  <c r="AW10" i="8"/>
  <c r="AZ9" i="8"/>
  <c r="AV9" i="8"/>
  <c r="AY8" i="8"/>
  <c r="BB7" i="8"/>
  <c r="AX7" i="8"/>
  <c r="AR84" i="8"/>
  <c r="BA6" i="8"/>
  <c r="AV6" i="8"/>
  <c r="AY6" i="8"/>
  <c r="BA83" i="8"/>
  <c r="AW83" i="8"/>
  <c r="AZ82" i="8"/>
  <c r="AV82" i="8"/>
  <c r="AY81" i="8"/>
  <c r="BB80" i="8"/>
  <c r="AX80" i="8"/>
  <c r="BA79" i="8"/>
  <c r="AW79" i="8"/>
  <c r="AZ78" i="8"/>
  <c r="AV78" i="8"/>
  <c r="AY77" i="8"/>
  <c r="BB76" i="8"/>
  <c r="AX76" i="8"/>
  <c r="BA75" i="8"/>
  <c r="AW75" i="8"/>
  <c r="AZ74" i="8"/>
  <c r="AV74" i="8"/>
  <c r="AY73" i="8"/>
  <c r="BB72" i="8"/>
  <c r="AX72" i="8"/>
  <c r="BA71" i="8"/>
  <c r="AW71" i="8"/>
  <c r="AZ70" i="8"/>
  <c r="AV70" i="8"/>
  <c r="AY69" i="8"/>
  <c r="BB68" i="8"/>
  <c r="AX68" i="8"/>
  <c r="BA67" i="8"/>
  <c r="AW67" i="8"/>
  <c r="AZ66" i="8"/>
  <c r="AV66" i="8"/>
  <c r="AY65" i="8"/>
  <c r="BB64" i="8"/>
  <c r="AX64" i="8"/>
  <c r="BA63" i="8"/>
  <c r="AW63" i="8"/>
  <c r="AZ62" i="8"/>
  <c r="AV62" i="8"/>
  <c r="AY61" i="8"/>
  <c r="BB60" i="8"/>
  <c r="AX60" i="8"/>
  <c r="BA59" i="8"/>
  <c r="AW59" i="8"/>
  <c r="AZ58" i="8"/>
  <c r="AV58" i="8"/>
  <c r="AY57" i="8"/>
  <c r="BB56" i="8"/>
  <c r="AX56" i="8"/>
  <c r="BA55" i="8"/>
  <c r="AW55" i="8"/>
  <c r="AZ54" i="8"/>
  <c r="AV54" i="8"/>
  <c r="AY53" i="8"/>
  <c r="BB52" i="8"/>
  <c r="AX52" i="8"/>
  <c r="BA51" i="8"/>
  <c r="AW51" i="8"/>
  <c r="AZ50" i="8"/>
  <c r="AV50" i="8"/>
  <c r="AY49" i="8"/>
  <c r="BB48" i="8"/>
  <c r="AX48" i="8"/>
  <c r="BA47" i="8"/>
  <c r="AW47" i="8"/>
  <c r="AZ46" i="8"/>
  <c r="AV46" i="8"/>
  <c r="AY45" i="8"/>
  <c r="BB44" i="8"/>
  <c r="AX44" i="8"/>
  <c r="BA43" i="8"/>
  <c r="AW43" i="8"/>
  <c r="AZ42" i="8"/>
  <c r="AV42" i="8"/>
  <c r="AY41" i="8"/>
  <c r="BB40" i="8"/>
  <c r="AX40" i="8"/>
  <c r="BA39" i="8"/>
  <c r="AW39" i="8"/>
  <c r="AZ38" i="8"/>
  <c r="AV38" i="8"/>
  <c r="AY37" i="8"/>
  <c r="BB36" i="8"/>
  <c r="AX36" i="8"/>
  <c r="BA35" i="8"/>
  <c r="AW35" i="8"/>
  <c r="AZ34" i="8"/>
  <c r="AV34" i="8"/>
  <c r="AY33" i="8"/>
  <c r="BB32" i="8"/>
  <c r="AX32" i="8"/>
  <c r="BA31" i="8"/>
  <c r="AW31" i="8"/>
  <c r="AZ30" i="8"/>
  <c r="AV30" i="8"/>
  <c r="AY29" i="8"/>
  <c r="BB28" i="8"/>
  <c r="AX28" i="8"/>
  <c r="BA27" i="8"/>
  <c r="AW27" i="8"/>
  <c r="AZ26" i="8"/>
  <c r="AV26" i="8"/>
  <c r="AY25" i="8"/>
  <c r="BB24" i="8"/>
  <c r="AX24" i="8"/>
  <c r="BA23" i="8"/>
  <c r="AW23" i="8"/>
  <c r="AZ22" i="8"/>
  <c r="AV22" i="8"/>
  <c r="AY21" i="8"/>
  <c r="BB20" i="8"/>
  <c r="AX20" i="8"/>
  <c r="BA19" i="8"/>
  <c r="AW19" i="8"/>
  <c r="AZ18" i="8"/>
  <c r="AV18" i="8"/>
  <c r="AY17" i="8"/>
  <c r="BB16" i="8"/>
  <c r="AX16" i="8"/>
  <c r="BA15" i="8"/>
  <c r="AW15" i="8"/>
  <c r="AZ14" i="8"/>
  <c r="AV14" i="8"/>
  <c r="AY13" i="8"/>
  <c r="BB12" i="8"/>
  <c r="AX12" i="8"/>
  <c r="BA11" i="8"/>
  <c r="AW11" i="8"/>
  <c r="AZ10" i="8"/>
  <c r="AV10" i="8"/>
  <c r="AY9" i="8"/>
  <c r="BB8" i="8"/>
  <c r="AX8" i="8"/>
  <c r="BA7" i="8"/>
  <c r="AW7" i="8"/>
  <c r="BB41" i="8"/>
  <c r="AX41" i="8"/>
  <c r="BA40" i="8"/>
  <c r="AW40" i="8"/>
  <c r="AZ39" i="8"/>
  <c r="AV39" i="8"/>
  <c r="AY38" i="8"/>
  <c r="BB37" i="8"/>
  <c r="AX37" i="8"/>
  <c r="BA36" i="8"/>
  <c r="AW36" i="8"/>
  <c r="AZ35" i="8"/>
  <c r="AV35" i="8"/>
  <c r="AY34" i="8"/>
  <c r="BB33" i="8"/>
  <c r="AX33" i="8"/>
  <c r="BA32" i="8"/>
  <c r="AW32" i="8"/>
  <c r="AZ31" i="8"/>
  <c r="AV31" i="8"/>
  <c r="AY30" i="8"/>
  <c r="BB29" i="8"/>
  <c r="AX29" i="8"/>
  <c r="BA28" i="8"/>
  <c r="AW28" i="8"/>
  <c r="AZ27" i="8"/>
  <c r="AV27" i="8"/>
  <c r="AY26" i="8"/>
  <c r="BB25" i="8"/>
  <c r="AX25" i="8"/>
  <c r="BA24" i="8"/>
  <c r="AW24" i="8"/>
  <c r="AZ23" i="8"/>
  <c r="AV23" i="8"/>
  <c r="AY22" i="8"/>
  <c r="BB21" i="8"/>
  <c r="AX21" i="8"/>
  <c r="BA20" i="8"/>
  <c r="AW20" i="8"/>
  <c r="AZ19" i="8"/>
  <c r="AV19" i="8"/>
  <c r="AY18" i="8"/>
  <c r="BB17" i="8"/>
  <c r="AX17" i="8"/>
  <c r="BA16" i="8"/>
  <c r="AW16" i="8"/>
  <c r="AZ15" i="8"/>
  <c r="AV15" i="8"/>
  <c r="AY14" i="8"/>
  <c r="BB13" i="8"/>
  <c r="AX13" i="8"/>
  <c r="BA12" i="8"/>
  <c r="AW12" i="8"/>
  <c r="AZ11" i="8"/>
  <c r="AV11" i="8"/>
  <c r="AY10" i="8"/>
  <c r="BB9" i="8"/>
  <c r="AX9" i="8"/>
  <c r="BA8" i="8"/>
  <c r="AW8" i="8"/>
  <c r="AZ7" i="8"/>
  <c r="AV7" i="8"/>
  <c r="AS84" i="8"/>
  <c r="BB84" i="8" s="1"/>
  <c r="AE84" i="8"/>
  <c r="AJ84" i="8"/>
  <c r="J22" i="1"/>
  <c r="AQ84" i="8"/>
  <c r="AO84" i="8"/>
  <c r="AN84" i="8"/>
  <c r="AM84" i="8"/>
  <c r="AP84" i="8"/>
  <c r="AF84" i="8"/>
  <c r="AI84" i="8"/>
  <c r="AD84" i="8"/>
  <c r="AG84" i="8"/>
  <c r="I22" i="1"/>
  <c r="I20" i="1"/>
  <c r="J97" i="1"/>
  <c r="J93" i="1"/>
  <c r="J89" i="1"/>
  <c r="J85" i="1"/>
  <c r="J81" i="1"/>
  <c r="J77" i="1"/>
  <c r="J73" i="1"/>
  <c r="J69" i="1"/>
  <c r="J65" i="1"/>
  <c r="J61" i="1"/>
  <c r="J57" i="1"/>
  <c r="J53" i="1"/>
  <c r="J49" i="1"/>
  <c r="J45" i="1"/>
  <c r="J41" i="1"/>
  <c r="J37" i="1"/>
  <c r="J33" i="1"/>
  <c r="J29" i="1"/>
  <c r="J23" i="1"/>
  <c r="J20" i="1"/>
  <c r="I97" i="1"/>
  <c r="I95" i="1"/>
  <c r="I93" i="1"/>
  <c r="I91" i="1"/>
  <c r="I89" i="1"/>
  <c r="I87" i="1"/>
  <c r="I85" i="1"/>
  <c r="I83" i="1"/>
  <c r="I81" i="1"/>
  <c r="I79" i="1"/>
  <c r="I77" i="1"/>
  <c r="I75" i="1"/>
  <c r="I73" i="1"/>
  <c r="I71" i="1"/>
  <c r="I69" i="1"/>
  <c r="I67" i="1"/>
  <c r="I65" i="1"/>
  <c r="I63" i="1"/>
  <c r="I61" i="1"/>
  <c r="I59" i="1"/>
  <c r="I57" i="1"/>
  <c r="I55" i="1"/>
  <c r="I53" i="1"/>
  <c r="I51" i="1"/>
  <c r="I49" i="1"/>
  <c r="I47" i="1"/>
  <c r="I45" i="1"/>
  <c r="I43" i="1"/>
  <c r="I41" i="1"/>
  <c r="I39" i="1"/>
  <c r="I37" i="1"/>
  <c r="I35" i="1"/>
  <c r="I33" i="1"/>
  <c r="I31" i="1"/>
  <c r="I29" i="1"/>
  <c r="I27" i="1"/>
  <c r="I25" i="1"/>
  <c r="I23" i="1"/>
  <c r="J95" i="1"/>
  <c r="J91" i="1"/>
  <c r="J87" i="1"/>
  <c r="J83" i="1"/>
  <c r="J79" i="1"/>
  <c r="J75" i="1"/>
  <c r="J71" i="1"/>
  <c r="J67" i="1"/>
  <c r="J63" i="1"/>
  <c r="J59" i="1"/>
  <c r="J55" i="1"/>
  <c r="J51" i="1"/>
  <c r="J47" i="1"/>
  <c r="J43" i="1"/>
  <c r="J39" i="1"/>
  <c r="J35" i="1"/>
  <c r="J31" i="1"/>
  <c r="J27" i="1"/>
  <c r="J25" i="1"/>
  <c r="J21" i="1"/>
  <c r="J96" i="1"/>
  <c r="J94" i="1"/>
  <c r="J92" i="1"/>
  <c r="J90" i="1"/>
  <c r="J88" i="1"/>
  <c r="J86" i="1"/>
  <c r="J84" i="1"/>
  <c r="J82" i="1"/>
  <c r="J80" i="1"/>
  <c r="J78" i="1"/>
  <c r="J76" i="1"/>
  <c r="J74" i="1"/>
  <c r="J72" i="1"/>
  <c r="J70" i="1"/>
  <c r="J68" i="1"/>
  <c r="J66" i="1"/>
  <c r="J64" i="1"/>
  <c r="J62" i="1"/>
  <c r="J60" i="1"/>
  <c r="J58" i="1"/>
  <c r="J56" i="1"/>
  <c r="J54" i="1"/>
  <c r="J52" i="1"/>
  <c r="J50" i="1"/>
  <c r="J48" i="1"/>
  <c r="J46" i="1"/>
  <c r="J44" i="1"/>
  <c r="J42" i="1"/>
  <c r="J40" i="1"/>
  <c r="J38" i="1"/>
  <c r="J36" i="1"/>
  <c r="J34" i="1"/>
  <c r="J32" i="1"/>
  <c r="J30" i="1"/>
  <c r="J28" i="1"/>
  <c r="J26" i="1"/>
  <c r="J24" i="1"/>
  <c r="I21" i="1"/>
  <c r="I96" i="1"/>
  <c r="I94" i="1"/>
  <c r="I92" i="1"/>
  <c r="I90" i="1"/>
  <c r="I88" i="1"/>
  <c r="I86" i="1"/>
  <c r="I84" i="1"/>
  <c r="I82" i="1"/>
  <c r="I80" i="1"/>
  <c r="I78" i="1"/>
  <c r="I76" i="1"/>
  <c r="I74" i="1"/>
  <c r="I72" i="1"/>
  <c r="I70" i="1"/>
  <c r="I68" i="1"/>
  <c r="I66" i="1"/>
  <c r="I64" i="1"/>
  <c r="I62" i="1"/>
  <c r="I60" i="1"/>
  <c r="I58" i="1"/>
  <c r="I56" i="1"/>
  <c r="I54" i="1"/>
  <c r="I52" i="1"/>
  <c r="I50" i="1"/>
  <c r="I48" i="1"/>
  <c r="I46" i="1"/>
  <c r="I44" i="1"/>
  <c r="I42" i="1"/>
  <c r="I40" i="1"/>
  <c r="I38" i="1"/>
  <c r="I36" i="1"/>
  <c r="I34" i="1"/>
  <c r="I32" i="1"/>
  <c r="I30" i="1"/>
  <c r="I28" i="1"/>
  <c r="I26" i="1"/>
  <c r="I24" i="1"/>
  <c r="AH84" i="8"/>
  <c r="AX84" i="8" l="1"/>
  <c r="AY84" i="8"/>
  <c r="AZ84" i="8"/>
  <c r="AV84" i="8"/>
  <c r="BA84" i="8"/>
  <c r="AW84" i="8"/>
  <c r="L20" i="1"/>
  <c r="J98" i="1"/>
  <c r="I98" i="1"/>
  <c r="B9" i="7" l="1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" i="7"/>
  <c r="B8" i="7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6" i="9"/>
  <c r="B73" i="9" l="1"/>
  <c r="B74" i="9"/>
  <c r="B75" i="9"/>
  <c r="B76" i="9"/>
  <c r="B77" i="9"/>
  <c r="B78" i="9"/>
  <c r="B79" i="9"/>
  <c r="B80" i="9"/>
  <c r="B81" i="9"/>
  <c r="B82" i="9"/>
  <c r="B83" i="9"/>
  <c r="U84" i="8"/>
  <c r="U86" i="8" s="1"/>
  <c r="I84" i="8"/>
  <c r="V84" i="8"/>
  <c r="V86" i="8" s="1"/>
  <c r="J84" i="8"/>
  <c r="W84" i="8"/>
  <c r="W86" i="8" s="1"/>
  <c r="K84" i="8"/>
  <c r="X84" i="8"/>
  <c r="X86" i="8" s="1"/>
  <c r="H84" i="8"/>
  <c r="T84" i="8"/>
  <c r="T86" i="8" s="1"/>
  <c r="G84" i="8"/>
  <c r="S84" i="8"/>
  <c r="F84" i="8"/>
  <c r="R84" i="8"/>
  <c r="R86" i="8" s="1"/>
  <c r="E84" i="8"/>
  <c r="Q84" i="8"/>
  <c r="Q86" i="8" s="1"/>
  <c r="S86" i="8" l="1"/>
  <c r="Q83" i="9"/>
  <c r="P83" i="9"/>
  <c r="O83" i="9"/>
  <c r="N83" i="9"/>
  <c r="Q79" i="9"/>
  <c r="P79" i="9"/>
  <c r="O79" i="9"/>
  <c r="N79" i="9"/>
  <c r="Q75" i="9"/>
  <c r="P75" i="9"/>
  <c r="O75" i="9"/>
  <c r="N75" i="9"/>
  <c r="Q81" i="9"/>
  <c r="P81" i="9"/>
  <c r="O81" i="9"/>
  <c r="N81" i="9"/>
  <c r="Q77" i="9"/>
  <c r="P77" i="9"/>
  <c r="O77" i="9"/>
  <c r="N77" i="9"/>
  <c r="Q73" i="9"/>
  <c r="P73" i="9"/>
  <c r="O73" i="9"/>
  <c r="N73" i="9"/>
  <c r="Q82" i="9"/>
  <c r="P82" i="9"/>
  <c r="O82" i="9"/>
  <c r="N82" i="9"/>
  <c r="Q78" i="9"/>
  <c r="P78" i="9"/>
  <c r="O78" i="9"/>
  <c r="N78" i="9"/>
  <c r="Q74" i="9"/>
  <c r="P74" i="9"/>
  <c r="O74" i="9"/>
  <c r="N74" i="9"/>
  <c r="Q80" i="9"/>
  <c r="P80" i="9"/>
  <c r="O80" i="9"/>
  <c r="N80" i="9"/>
  <c r="Q76" i="9"/>
  <c r="P76" i="9"/>
  <c r="O76" i="9"/>
  <c r="N76" i="9"/>
  <c r="E83" i="9"/>
  <c r="I83" i="9"/>
  <c r="L84" i="14" s="1"/>
  <c r="K83" i="9"/>
  <c r="L83" i="9"/>
  <c r="H84" i="14" s="1"/>
  <c r="F83" i="9"/>
  <c r="J83" i="9"/>
  <c r="D83" i="9"/>
  <c r="G83" i="9"/>
  <c r="E75" i="9"/>
  <c r="I75" i="9"/>
  <c r="L76" i="14" s="1"/>
  <c r="K75" i="9"/>
  <c r="L75" i="9"/>
  <c r="H76" i="14" s="1"/>
  <c r="F75" i="9"/>
  <c r="J75" i="9"/>
  <c r="D75" i="9"/>
  <c r="G75" i="9"/>
  <c r="E82" i="9"/>
  <c r="I82" i="9"/>
  <c r="L83" i="14" s="1"/>
  <c r="D82" i="9"/>
  <c r="K82" i="9"/>
  <c r="L82" i="9"/>
  <c r="H83" i="14" s="1"/>
  <c r="F82" i="9"/>
  <c r="J82" i="9"/>
  <c r="G82" i="9"/>
  <c r="E78" i="9"/>
  <c r="I78" i="9"/>
  <c r="L79" i="14" s="1"/>
  <c r="D78" i="9"/>
  <c r="K78" i="9"/>
  <c r="L78" i="9"/>
  <c r="H79" i="14" s="1"/>
  <c r="F78" i="9"/>
  <c r="J78" i="9"/>
  <c r="G78" i="9"/>
  <c r="E74" i="9"/>
  <c r="I74" i="9"/>
  <c r="L75" i="14" s="1"/>
  <c r="D74" i="9"/>
  <c r="K74" i="9"/>
  <c r="L74" i="9"/>
  <c r="H75" i="14" s="1"/>
  <c r="F74" i="9"/>
  <c r="J74" i="9"/>
  <c r="G74" i="9"/>
  <c r="E79" i="9"/>
  <c r="I79" i="9"/>
  <c r="L80" i="14" s="1"/>
  <c r="K79" i="9"/>
  <c r="L79" i="9"/>
  <c r="H80" i="14" s="1"/>
  <c r="F79" i="9"/>
  <c r="J79" i="9"/>
  <c r="D79" i="9"/>
  <c r="G79" i="9"/>
  <c r="E81" i="9"/>
  <c r="I81" i="9"/>
  <c r="L82" i="14" s="1"/>
  <c r="K81" i="9"/>
  <c r="L81" i="9"/>
  <c r="H82" i="14" s="1"/>
  <c r="D81" i="9"/>
  <c r="F81" i="9"/>
  <c r="J81" i="9"/>
  <c r="G81" i="9"/>
  <c r="E77" i="9"/>
  <c r="I77" i="9"/>
  <c r="L78" i="14" s="1"/>
  <c r="K77" i="9"/>
  <c r="L77" i="9"/>
  <c r="F77" i="9"/>
  <c r="J77" i="9"/>
  <c r="G77" i="9"/>
  <c r="D77" i="9"/>
  <c r="E73" i="9"/>
  <c r="I73" i="9"/>
  <c r="L74" i="14" s="1"/>
  <c r="K73" i="9"/>
  <c r="F73" i="9"/>
  <c r="J73" i="9"/>
  <c r="G73" i="9"/>
  <c r="D73" i="9"/>
  <c r="L73" i="9"/>
  <c r="E80" i="9"/>
  <c r="I80" i="9"/>
  <c r="L81" i="14" s="1"/>
  <c r="K80" i="9"/>
  <c r="D80" i="9"/>
  <c r="L80" i="9"/>
  <c r="H81" i="14" s="1"/>
  <c r="F80" i="9"/>
  <c r="J80" i="9"/>
  <c r="G80" i="9"/>
  <c r="E76" i="9"/>
  <c r="I76" i="9"/>
  <c r="L77" i="14" s="1"/>
  <c r="K76" i="9"/>
  <c r="L76" i="9"/>
  <c r="F76" i="9"/>
  <c r="J76" i="9"/>
  <c r="G76" i="9"/>
  <c r="D76" i="9"/>
  <c r="C83" i="7"/>
  <c r="B83" i="7"/>
  <c r="C82" i="7"/>
  <c r="B82" i="7"/>
  <c r="C81" i="7"/>
  <c r="B81" i="7"/>
  <c r="C80" i="7"/>
  <c r="B80" i="7"/>
  <c r="C79" i="7"/>
  <c r="B79" i="7"/>
  <c r="C78" i="7"/>
  <c r="B78" i="7"/>
  <c r="C77" i="7"/>
  <c r="B77" i="7"/>
  <c r="C76" i="7"/>
  <c r="B76" i="7"/>
  <c r="C75" i="7"/>
  <c r="B75" i="7"/>
  <c r="C74" i="7"/>
  <c r="B74" i="7"/>
  <c r="C73" i="7"/>
  <c r="B73" i="7"/>
  <c r="H77" i="14" l="1"/>
  <c r="G90" i="1"/>
  <c r="E54" i="2" s="1"/>
  <c r="K77" i="14"/>
  <c r="G94" i="1"/>
  <c r="E21" i="2" s="1"/>
  <c r="K81" i="14"/>
  <c r="G88" i="1"/>
  <c r="E81" i="2" s="1"/>
  <c r="K75" i="14"/>
  <c r="G92" i="1"/>
  <c r="E59" i="2" s="1"/>
  <c r="K79" i="14"/>
  <c r="G96" i="1"/>
  <c r="E78" i="2" s="1"/>
  <c r="K83" i="14"/>
  <c r="G87" i="1"/>
  <c r="E38" i="2" s="1"/>
  <c r="K74" i="14"/>
  <c r="G91" i="1"/>
  <c r="E52" i="2" s="1"/>
  <c r="K78" i="14"/>
  <c r="G95" i="1"/>
  <c r="E84" i="2" s="1"/>
  <c r="K82" i="14"/>
  <c r="G89" i="1"/>
  <c r="E76" i="2" s="1"/>
  <c r="K76" i="14"/>
  <c r="G93" i="1"/>
  <c r="E83" i="2" s="1"/>
  <c r="K80" i="14"/>
  <c r="G97" i="1"/>
  <c r="E44" i="2" s="1"/>
  <c r="K84" i="14"/>
  <c r="H74" i="14"/>
  <c r="H78" i="14"/>
  <c r="E90" i="1"/>
  <c r="G77" i="14"/>
  <c r="I77" i="14" s="1"/>
  <c r="E94" i="1"/>
  <c r="G81" i="14"/>
  <c r="E88" i="1"/>
  <c r="G75" i="14"/>
  <c r="E92" i="1"/>
  <c r="G79" i="14"/>
  <c r="E96" i="1"/>
  <c r="G83" i="14"/>
  <c r="E87" i="1"/>
  <c r="G74" i="14"/>
  <c r="E91" i="1"/>
  <c r="G78" i="14"/>
  <c r="I78" i="14" s="1"/>
  <c r="E95" i="1"/>
  <c r="G82" i="14"/>
  <c r="E89" i="1"/>
  <c r="G76" i="14"/>
  <c r="E93" i="1"/>
  <c r="G80" i="14"/>
  <c r="E97" i="1"/>
  <c r="G84" i="14"/>
  <c r="I80" i="7"/>
  <c r="J80" i="7"/>
  <c r="H80" i="7"/>
  <c r="H74" i="7"/>
  <c r="I74" i="7"/>
  <c r="J74" i="7"/>
  <c r="J76" i="7"/>
  <c r="H76" i="7"/>
  <c r="I76" i="7"/>
  <c r="I78" i="7"/>
  <c r="H78" i="7"/>
  <c r="J78" i="7"/>
  <c r="J82" i="7"/>
  <c r="I82" i="7"/>
  <c r="H82" i="7"/>
  <c r="H73" i="7"/>
  <c r="J73" i="7"/>
  <c r="I73" i="7"/>
  <c r="H75" i="7"/>
  <c r="I75" i="7"/>
  <c r="J75" i="7"/>
  <c r="I77" i="7"/>
  <c r="J77" i="7"/>
  <c r="H77" i="7"/>
  <c r="I79" i="7"/>
  <c r="H79" i="7"/>
  <c r="J79" i="7"/>
  <c r="G81" i="7"/>
  <c r="I81" i="7"/>
  <c r="J81" i="7"/>
  <c r="H81" i="7"/>
  <c r="J83" i="7"/>
  <c r="H83" i="7"/>
  <c r="I83" i="7"/>
  <c r="M80" i="14"/>
  <c r="M75" i="14"/>
  <c r="M79" i="14"/>
  <c r="M83" i="14"/>
  <c r="M74" i="14"/>
  <c r="M76" i="14"/>
  <c r="I82" i="14"/>
  <c r="I80" i="14"/>
  <c r="I76" i="14"/>
  <c r="I84" i="14"/>
  <c r="M77" i="14"/>
  <c r="M81" i="14"/>
  <c r="M78" i="14"/>
  <c r="M82" i="14"/>
  <c r="M84" i="14"/>
  <c r="I81" i="14"/>
  <c r="I75" i="14"/>
  <c r="I79" i="14"/>
  <c r="I83" i="14"/>
  <c r="E83" i="7"/>
  <c r="E74" i="7"/>
  <c r="E76" i="7"/>
  <c r="E78" i="7"/>
  <c r="E80" i="7"/>
  <c r="E82" i="7"/>
  <c r="G73" i="7"/>
  <c r="G75" i="7"/>
  <c r="F77" i="7"/>
  <c r="F79" i="7"/>
  <c r="F81" i="7"/>
  <c r="G83" i="7"/>
  <c r="E73" i="7"/>
  <c r="E75" i="7"/>
  <c r="G76" i="7"/>
  <c r="E77" i="7"/>
  <c r="G78" i="7"/>
  <c r="G80" i="7"/>
  <c r="G82" i="7"/>
  <c r="F75" i="7"/>
  <c r="D76" i="7"/>
  <c r="D78" i="7"/>
  <c r="D80" i="7"/>
  <c r="D82" i="7"/>
  <c r="F83" i="7"/>
  <c r="D73" i="7"/>
  <c r="F74" i="7"/>
  <c r="D75" i="7"/>
  <c r="F76" i="7"/>
  <c r="D77" i="7"/>
  <c r="F78" i="7"/>
  <c r="D79" i="7"/>
  <c r="F80" i="7"/>
  <c r="D81" i="7"/>
  <c r="F82" i="7"/>
  <c r="D83" i="7"/>
  <c r="G74" i="7"/>
  <c r="E79" i="7"/>
  <c r="E81" i="7"/>
  <c r="F73" i="7"/>
  <c r="D74" i="7"/>
  <c r="G77" i="7"/>
  <c r="G79" i="7"/>
  <c r="I74" i="14" l="1"/>
  <c r="D76" i="14"/>
  <c r="D83" i="14"/>
  <c r="D81" i="14"/>
  <c r="D82" i="14"/>
  <c r="D84" i="14"/>
  <c r="D78" i="14"/>
  <c r="D74" i="14"/>
  <c r="D77" i="14"/>
  <c r="D75" i="14"/>
  <c r="D79" i="14"/>
  <c r="D80" i="14"/>
  <c r="D95" i="1"/>
  <c r="C82" i="14"/>
  <c r="D88" i="1"/>
  <c r="C75" i="14"/>
  <c r="E75" i="14" s="1"/>
  <c r="D94" i="1"/>
  <c r="C81" i="14"/>
  <c r="D89" i="1"/>
  <c r="C76" i="14"/>
  <c r="E76" i="14" s="1"/>
  <c r="D87" i="1"/>
  <c r="C74" i="14"/>
  <c r="D96" i="1"/>
  <c r="C83" i="14"/>
  <c r="E83" i="14" s="1"/>
  <c r="D97" i="1"/>
  <c r="C84" i="14"/>
  <c r="D92" i="1"/>
  <c r="C79" i="14"/>
  <c r="E79" i="14" s="1"/>
  <c r="D93" i="1"/>
  <c r="C80" i="14"/>
  <c r="D91" i="1"/>
  <c r="C78" i="14"/>
  <c r="D90" i="1"/>
  <c r="C77" i="14"/>
  <c r="M86" i="14"/>
  <c r="M6" i="14" s="1"/>
  <c r="E84" i="14"/>
  <c r="I86" i="14"/>
  <c r="I6" i="14" s="1"/>
  <c r="E78" i="14" l="1"/>
  <c r="E81" i="14"/>
  <c r="E82" i="14"/>
  <c r="E80" i="14"/>
  <c r="E74" i="14"/>
  <c r="E77" i="14"/>
  <c r="D34" i="2"/>
  <c r="AA34" i="2" s="1"/>
  <c r="D35" i="2"/>
  <c r="AA35" i="2" s="1"/>
  <c r="D36" i="2"/>
  <c r="AA36" i="2" s="1"/>
  <c r="D37" i="2"/>
  <c r="AA37" i="2" s="1"/>
  <c r="D38" i="2"/>
  <c r="AA38" i="2" s="1"/>
  <c r="D39" i="2"/>
  <c r="AA39" i="2" s="1"/>
  <c r="D40" i="2"/>
  <c r="AA40" i="2" s="1"/>
  <c r="D41" i="2"/>
  <c r="AA41" i="2" s="1"/>
  <c r="D42" i="2"/>
  <c r="AA42" i="2" s="1"/>
  <c r="D43" i="2"/>
  <c r="AA43" i="2" s="1"/>
  <c r="D44" i="2"/>
  <c r="AA44" i="2" s="1"/>
  <c r="D45" i="2"/>
  <c r="AA45" i="2" s="1"/>
  <c r="D46" i="2"/>
  <c r="AA46" i="2" s="1"/>
  <c r="D47" i="2"/>
  <c r="AA47" i="2" s="1"/>
  <c r="D48" i="2"/>
  <c r="AA48" i="2" s="1"/>
  <c r="D49" i="2"/>
  <c r="AA49" i="2" s="1"/>
  <c r="D50" i="2"/>
  <c r="AA50" i="2" s="1"/>
  <c r="D51" i="2"/>
  <c r="AA51" i="2" s="1"/>
  <c r="D52" i="2"/>
  <c r="AA52" i="2" s="1"/>
  <c r="D53" i="2"/>
  <c r="AA53" i="2" s="1"/>
  <c r="D54" i="2"/>
  <c r="AA54" i="2" s="1"/>
  <c r="D55" i="2"/>
  <c r="AA55" i="2" s="1"/>
  <c r="D56" i="2"/>
  <c r="AA56" i="2" s="1"/>
  <c r="D57" i="2"/>
  <c r="AA57" i="2" s="1"/>
  <c r="D58" i="2"/>
  <c r="AA58" i="2" s="1"/>
  <c r="D59" i="2"/>
  <c r="AA59" i="2" s="1"/>
  <c r="D60" i="2"/>
  <c r="AA60" i="2" s="1"/>
  <c r="D61" i="2"/>
  <c r="AA61" i="2" s="1"/>
  <c r="D62" i="2"/>
  <c r="AA62" i="2" s="1"/>
  <c r="D63" i="2"/>
  <c r="AA63" i="2" s="1"/>
  <c r="D64" i="2"/>
  <c r="AA64" i="2" s="1"/>
  <c r="D65" i="2"/>
  <c r="AA65" i="2" s="1"/>
  <c r="D66" i="2"/>
  <c r="AA66" i="2" s="1"/>
  <c r="D67" i="2"/>
  <c r="AA67" i="2" s="1"/>
  <c r="D68" i="2"/>
  <c r="AA68" i="2" s="1"/>
  <c r="D69" i="2"/>
  <c r="AA69" i="2" s="1"/>
  <c r="D70" i="2"/>
  <c r="AA70" i="2" s="1"/>
  <c r="D71" i="2"/>
  <c r="AA71" i="2" s="1"/>
  <c r="D72" i="2"/>
  <c r="AA72" i="2" s="1"/>
  <c r="D73" i="2"/>
  <c r="AA73" i="2" s="1"/>
  <c r="D74" i="2"/>
  <c r="AA74" i="2" s="1"/>
  <c r="D75" i="2"/>
  <c r="AA75" i="2" s="1"/>
  <c r="D76" i="2"/>
  <c r="AA76" i="2" s="1"/>
  <c r="D77" i="2"/>
  <c r="AA77" i="2" s="1"/>
  <c r="D78" i="2"/>
  <c r="AA78" i="2" s="1"/>
  <c r="D79" i="2"/>
  <c r="AA79" i="2" s="1"/>
  <c r="D80" i="2"/>
  <c r="AA80" i="2" s="1"/>
  <c r="D81" i="2"/>
  <c r="AA81" i="2" s="1"/>
  <c r="D82" i="2"/>
  <c r="AA82" i="2" s="1"/>
  <c r="D83" i="2"/>
  <c r="AA83" i="2" s="1"/>
  <c r="D84" i="2"/>
  <c r="AA84" i="2" s="1"/>
  <c r="D85" i="2"/>
  <c r="AA85" i="2" s="1"/>
  <c r="D10" i="2"/>
  <c r="AA10" i="2" s="1"/>
  <c r="D11" i="2"/>
  <c r="AA11" i="2" s="1"/>
  <c r="D12" i="2"/>
  <c r="AA12" i="2" s="1"/>
  <c r="D13" i="2"/>
  <c r="AA13" i="2" s="1"/>
  <c r="D14" i="2"/>
  <c r="AA14" i="2" s="1"/>
  <c r="D15" i="2"/>
  <c r="AA15" i="2" s="1"/>
  <c r="D16" i="2"/>
  <c r="AA16" i="2" s="1"/>
  <c r="D17" i="2"/>
  <c r="AA17" i="2" s="1"/>
  <c r="D18" i="2"/>
  <c r="AA18" i="2" s="1"/>
  <c r="D19" i="2"/>
  <c r="AA19" i="2" s="1"/>
  <c r="D20" i="2"/>
  <c r="AA20" i="2" s="1"/>
  <c r="D21" i="2"/>
  <c r="AA21" i="2" s="1"/>
  <c r="D22" i="2"/>
  <c r="AA22" i="2" s="1"/>
  <c r="D23" i="2"/>
  <c r="AA23" i="2" s="1"/>
  <c r="D24" i="2"/>
  <c r="AA24" i="2" s="1"/>
  <c r="D25" i="2"/>
  <c r="AA25" i="2" s="1"/>
  <c r="D26" i="2"/>
  <c r="AA26" i="2" s="1"/>
  <c r="D27" i="2"/>
  <c r="AA27" i="2" s="1"/>
  <c r="D28" i="2"/>
  <c r="AA28" i="2" s="1"/>
  <c r="D29" i="2"/>
  <c r="AA29" i="2" s="1"/>
  <c r="D30" i="2"/>
  <c r="AA30" i="2" s="1"/>
  <c r="D31" i="2"/>
  <c r="AA31" i="2" s="1"/>
  <c r="D32" i="2"/>
  <c r="AA32" i="2" s="1"/>
  <c r="D33" i="2"/>
  <c r="AA33" i="2" s="1"/>
  <c r="D9" i="2"/>
  <c r="AA9" i="2" s="1"/>
  <c r="D8" i="2"/>
  <c r="AA8" i="2" s="1"/>
  <c r="E86" i="14" l="1"/>
  <c r="E6" i="14" s="1"/>
  <c r="AB8" i="2"/>
  <c r="K87" i="1" l="1"/>
  <c r="K73" i="1"/>
  <c r="K57" i="1"/>
  <c r="K41" i="1"/>
  <c r="K25" i="1"/>
  <c r="K94" i="1"/>
  <c r="K90" i="1"/>
  <c r="K86" i="1"/>
  <c r="K82" i="1"/>
  <c r="K78" i="1"/>
  <c r="K74" i="1"/>
  <c r="K70" i="1"/>
  <c r="K66" i="1"/>
  <c r="K62" i="1"/>
  <c r="K58" i="1"/>
  <c r="K54" i="1"/>
  <c r="K50" i="1"/>
  <c r="K46" i="1"/>
  <c r="K42" i="1"/>
  <c r="K38" i="1"/>
  <c r="K34" i="1"/>
  <c r="K30" i="1"/>
  <c r="K26" i="1"/>
  <c r="K22" i="1"/>
  <c r="K83" i="1"/>
  <c r="K71" i="1"/>
  <c r="K67" i="1"/>
  <c r="K55" i="1"/>
  <c r="K51" i="1"/>
  <c r="K39" i="1"/>
  <c r="K35" i="1"/>
  <c r="K23" i="1"/>
  <c r="K56" i="1"/>
  <c r="K52" i="1"/>
  <c r="K48" i="1"/>
  <c r="K40" i="1"/>
  <c r="K36" i="1"/>
  <c r="K32" i="1"/>
  <c r="K24" i="1"/>
  <c r="K97" i="1"/>
  <c r="K93" i="1"/>
  <c r="K85" i="1"/>
  <c r="K81" i="1"/>
  <c r="K77" i="1"/>
  <c r="K69" i="1"/>
  <c r="K65" i="1"/>
  <c r="K61" i="1"/>
  <c r="K53" i="1"/>
  <c r="K49" i="1"/>
  <c r="K45" i="1"/>
  <c r="K37" i="1"/>
  <c r="K33" i="1"/>
  <c r="K29" i="1"/>
  <c r="K21" i="1"/>
  <c r="K95" i="1"/>
  <c r="K91" i="1"/>
  <c r="K79" i="1"/>
  <c r="K75" i="1"/>
  <c r="K63" i="1"/>
  <c r="K59" i="1"/>
  <c r="K47" i="1"/>
  <c r="K43" i="1"/>
  <c r="K31" i="1"/>
  <c r="K27" i="1"/>
  <c r="K92" i="1"/>
  <c r="K88" i="1"/>
  <c r="K76" i="1"/>
  <c r="K72" i="1"/>
  <c r="K89" i="1" l="1"/>
  <c r="K64" i="1"/>
  <c r="K80" i="1"/>
  <c r="K96" i="1"/>
  <c r="K68" i="1"/>
  <c r="K84" i="1"/>
  <c r="K28" i="1"/>
  <c r="K44" i="1"/>
  <c r="K60" i="1"/>
  <c r="AC16" i="2" l="1"/>
  <c r="AB16" i="2"/>
  <c r="F85" i="1"/>
  <c r="G42" i="2" s="1"/>
  <c r="F84" i="1"/>
  <c r="G49" i="2" s="1"/>
  <c r="F83" i="1"/>
  <c r="G33" i="2" s="1"/>
  <c r="F81" i="1"/>
  <c r="G79" i="2" s="1"/>
  <c r="F80" i="1"/>
  <c r="G70" i="2" s="1"/>
  <c r="F79" i="1"/>
  <c r="G18" i="2" s="1"/>
  <c r="F77" i="1"/>
  <c r="G26" i="2" s="1"/>
  <c r="F76" i="1"/>
  <c r="G23" i="2" s="1"/>
  <c r="F75" i="1"/>
  <c r="G14" i="2" s="1"/>
  <c r="F73" i="1"/>
  <c r="G74" i="2" s="1"/>
  <c r="F72" i="1"/>
  <c r="G51" i="2" s="1"/>
  <c r="F71" i="1"/>
  <c r="G77" i="2" s="1"/>
  <c r="F69" i="1"/>
  <c r="G41" i="2" s="1"/>
  <c r="F68" i="1"/>
  <c r="G82" i="2" s="1"/>
  <c r="F67" i="1"/>
  <c r="G50" i="2" s="1"/>
  <c r="F65" i="1"/>
  <c r="G69" i="2" s="1"/>
  <c r="F64" i="1"/>
  <c r="G67" i="2" s="1"/>
  <c r="F63" i="1"/>
  <c r="G47" i="2" s="1"/>
  <c r="F61" i="1"/>
  <c r="G71" i="2" s="1"/>
  <c r="F60" i="1"/>
  <c r="G55" i="2" s="1"/>
  <c r="F59" i="1"/>
  <c r="G43" i="2" s="1"/>
  <c r="F57" i="1"/>
  <c r="G64" i="2" s="1"/>
  <c r="F56" i="1"/>
  <c r="G73" i="2" s="1"/>
  <c r="F55" i="1"/>
  <c r="G48" i="2" s="1"/>
  <c r="F53" i="1"/>
  <c r="G15" i="2" s="1"/>
  <c r="F52" i="1"/>
  <c r="G13" i="2" s="1"/>
  <c r="F51" i="1"/>
  <c r="G22" i="2" s="1"/>
  <c r="F49" i="1"/>
  <c r="G45" i="2" s="1"/>
  <c r="F48" i="1"/>
  <c r="G32" i="2" s="1"/>
  <c r="F47" i="1"/>
  <c r="G28" i="2" s="1"/>
  <c r="F45" i="1"/>
  <c r="G63" i="2" s="1"/>
  <c r="F44" i="1"/>
  <c r="G9" i="2" s="1"/>
  <c r="F43" i="1"/>
  <c r="G56" i="2" s="1"/>
  <c r="F41" i="1"/>
  <c r="G34" i="2" s="1"/>
  <c r="F40" i="1"/>
  <c r="G17" i="2" s="1"/>
  <c r="F39" i="1"/>
  <c r="G24" i="2" s="1"/>
  <c r="F37" i="1"/>
  <c r="G75" i="2" s="1"/>
  <c r="F36" i="1"/>
  <c r="G37" i="2" s="1"/>
  <c r="F35" i="1"/>
  <c r="G10" i="2" s="1"/>
  <c r="F33" i="1"/>
  <c r="G12" i="2" s="1"/>
  <c r="F32" i="1"/>
  <c r="G72" i="2" s="1"/>
  <c r="F31" i="1"/>
  <c r="G53" i="2" s="1"/>
  <c r="F29" i="1"/>
  <c r="G58" i="2" s="1"/>
  <c r="F28" i="1"/>
  <c r="G19" i="2" s="1"/>
  <c r="F27" i="1"/>
  <c r="G29" i="2" s="1"/>
  <c r="F25" i="1"/>
  <c r="G31" i="2" s="1"/>
  <c r="F24" i="1"/>
  <c r="G61" i="2" s="1"/>
  <c r="F23" i="1"/>
  <c r="G85" i="2" s="1"/>
  <c r="F21" i="1"/>
  <c r="G27" i="2" s="1"/>
  <c r="F34" i="1" l="1"/>
  <c r="G11" i="2" s="1"/>
  <c r="F66" i="1"/>
  <c r="G66" i="2" s="1"/>
  <c r="F50" i="1"/>
  <c r="G62" i="2" s="1"/>
  <c r="F82" i="1"/>
  <c r="G35" i="2" s="1"/>
  <c r="F26" i="1"/>
  <c r="G46" i="2" s="1"/>
  <c r="F42" i="1"/>
  <c r="G40" i="2" s="1"/>
  <c r="F58" i="1"/>
  <c r="G36" i="2" s="1"/>
  <c r="F74" i="1"/>
  <c r="G20" i="2" s="1"/>
  <c r="F30" i="1"/>
  <c r="G57" i="2" s="1"/>
  <c r="F46" i="1"/>
  <c r="G25" i="2" s="1"/>
  <c r="F62" i="1"/>
  <c r="G80" i="2" s="1"/>
  <c r="F78" i="1"/>
  <c r="G65" i="2" s="1"/>
  <c r="F22" i="1"/>
  <c r="G39" i="2" s="1"/>
  <c r="F38" i="1"/>
  <c r="G68" i="2" s="1"/>
  <c r="F54" i="1"/>
  <c r="G30" i="2" s="1"/>
  <c r="F70" i="1"/>
  <c r="G60" i="2" s="1"/>
  <c r="F86" i="1"/>
  <c r="G8" i="2" s="1"/>
  <c r="G27" i="3"/>
  <c r="G28" i="3" s="1"/>
  <c r="F20" i="1" l="1"/>
  <c r="G16" i="2" s="1"/>
  <c r="F87" i="1"/>
  <c r="G38" i="2" s="1"/>
  <c r="F88" i="1"/>
  <c r="G81" i="2" s="1"/>
  <c r="F95" i="1"/>
  <c r="G84" i="2" s="1"/>
  <c r="F91" i="1"/>
  <c r="G52" i="2" s="1"/>
  <c r="F90" i="1"/>
  <c r="G54" i="2" s="1"/>
  <c r="F96" i="1"/>
  <c r="G78" i="2" s="1"/>
  <c r="F92" i="1"/>
  <c r="G59" i="2" s="1"/>
  <c r="F97" i="1" l="1"/>
  <c r="G44" i="2" s="1"/>
  <c r="F89" i="1"/>
  <c r="G76" i="2" s="1"/>
  <c r="F93" i="1"/>
  <c r="G83" i="2" s="1"/>
  <c r="F94" i="1"/>
  <c r="G21" i="2" s="1"/>
  <c r="R16" i="2"/>
  <c r="U8" i="2" s="1"/>
  <c r="Q6" i="3" l="1"/>
  <c r="AM86" i="2" l="1"/>
  <c r="Q85" i="3" s="1"/>
  <c r="D18" i="3" l="1"/>
  <c r="D17" i="3"/>
  <c r="R17" i="2" l="1"/>
  <c r="R15" i="2"/>
  <c r="W11" i="2" l="1"/>
  <c r="W15" i="2"/>
  <c r="W19" i="2"/>
  <c r="W23" i="2"/>
  <c r="W27" i="2"/>
  <c r="W31" i="2"/>
  <c r="W35" i="2"/>
  <c r="W39" i="2"/>
  <c r="W43" i="2"/>
  <c r="W47" i="2"/>
  <c r="W51" i="2"/>
  <c r="W55" i="2"/>
  <c r="W59" i="2"/>
  <c r="W63" i="2"/>
  <c r="W67" i="2"/>
  <c r="W71" i="2"/>
  <c r="W75" i="2"/>
  <c r="W79" i="2"/>
  <c r="W83" i="2"/>
  <c r="W17" i="2"/>
  <c r="W25" i="2"/>
  <c r="W33" i="2"/>
  <c r="W41" i="2"/>
  <c r="W49" i="2"/>
  <c r="W57" i="2"/>
  <c r="W65" i="2"/>
  <c r="W73" i="2"/>
  <c r="W77" i="2"/>
  <c r="W81" i="2"/>
  <c r="W12" i="2"/>
  <c r="W16" i="2"/>
  <c r="W20" i="2"/>
  <c r="W24" i="2"/>
  <c r="W28" i="2"/>
  <c r="W32" i="2"/>
  <c r="W36" i="2"/>
  <c r="W40" i="2"/>
  <c r="W44" i="2"/>
  <c r="W48" i="2"/>
  <c r="W52" i="2"/>
  <c r="W56" i="2"/>
  <c r="W60" i="2"/>
  <c r="W64" i="2"/>
  <c r="W68" i="2"/>
  <c r="W72" i="2"/>
  <c r="W76" i="2"/>
  <c r="W80" i="2"/>
  <c r="W84" i="2"/>
  <c r="W9" i="2"/>
  <c r="W13" i="2"/>
  <c r="W21" i="2"/>
  <c r="W29" i="2"/>
  <c r="W37" i="2"/>
  <c r="W45" i="2"/>
  <c r="W53" i="2"/>
  <c r="W61" i="2"/>
  <c r="W69" i="2"/>
  <c r="W85" i="2"/>
  <c r="W14" i="2"/>
  <c r="W30" i="2"/>
  <c r="W46" i="2"/>
  <c r="W62" i="2"/>
  <c r="W78" i="2"/>
  <c r="W18" i="2"/>
  <c r="W34" i="2"/>
  <c r="W50" i="2"/>
  <c r="W66" i="2"/>
  <c r="W82" i="2"/>
  <c r="W22" i="2"/>
  <c r="W38" i="2"/>
  <c r="W54" i="2"/>
  <c r="W70" i="2"/>
  <c r="W8" i="2"/>
  <c r="W10" i="2"/>
  <c r="W26" i="2"/>
  <c r="W42" i="2"/>
  <c r="W58" i="2"/>
  <c r="W74" i="2"/>
  <c r="U9" i="2"/>
  <c r="U13" i="2"/>
  <c r="U17" i="2"/>
  <c r="U21" i="2"/>
  <c r="U25" i="2"/>
  <c r="U29" i="2"/>
  <c r="U33" i="2"/>
  <c r="U37" i="2"/>
  <c r="U41" i="2"/>
  <c r="U45" i="2"/>
  <c r="U49" i="2"/>
  <c r="U53" i="2"/>
  <c r="U57" i="2"/>
  <c r="U61" i="2"/>
  <c r="U65" i="2"/>
  <c r="U69" i="2"/>
  <c r="U73" i="2"/>
  <c r="U77" i="2"/>
  <c r="U81" i="2"/>
  <c r="U85" i="2"/>
  <c r="U16" i="2"/>
  <c r="U80" i="2"/>
  <c r="U10" i="2"/>
  <c r="U14" i="2"/>
  <c r="U18" i="2"/>
  <c r="U22" i="2"/>
  <c r="U26" i="2"/>
  <c r="U30" i="2"/>
  <c r="U34" i="2"/>
  <c r="U38" i="2"/>
  <c r="U42" i="2"/>
  <c r="U46" i="2"/>
  <c r="U50" i="2"/>
  <c r="U54" i="2"/>
  <c r="U58" i="2"/>
  <c r="U62" i="2"/>
  <c r="U66" i="2"/>
  <c r="U70" i="2"/>
  <c r="U74" i="2"/>
  <c r="U78" i="2"/>
  <c r="U82" i="2"/>
  <c r="U20" i="2"/>
  <c r="U32" i="2"/>
  <c r="U44" i="2"/>
  <c r="U48" i="2"/>
  <c r="U56" i="2"/>
  <c r="U64" i="2"/>
  <c r="U72" i="2"/>
  <c r="U84" i="2"/>
  <c r="U11" i="2"/>
  <c r="U15" i="2"/>
  <c r="U19" i="2"/>
  <c r="U23" i="2"/>
  <c r="U27" i="2"/>
  <c r="U31" i="2"/>
  <c r="U35" i="2"/>
  <c r="U39" i="2"/>
  <c r="U43" i="2"/>
  <c r="U47" i="2"/>
  <c r="U51" i="2"/>
  <c r="U55" i="2"/>
  <c r="U59" i="2"/>
  <c r="U63" i="2"/>
  <c r="U67" i="2"/>
  <c r="U71" i="2"/>
  <c r="U75" i="2"/>
  <c r="U79" i="2"/>
  <c r="U83" i="2"/>
  <c r="U12" i="2"/>
  <c r="U24" i="2"/>
  <c r="U28" i="2"/>
  <c r="U36" i="2"/>
  <c r="U40" i="2"/>
  <c r="U52" i="2"/>
  <c r="U60" i="2"/>
  <c r="U68" i="2"/>
  <c r="U76" i="2"/>
  <c r="L98" i="1" l="1"/>
  <c r="AA86" i="2" l="1"/>
  <c r="D36" i="3" s="1"/>
  <c r="AN86" i="2" l="1"/>
  <c r="R85" i="3" s="1"/>
  <c r="M7" i="2"/>
  <c r="J7" i="2"/>
  <c r="L7" i="2"/>
  <c r="I7" i="2"/>
  <c r="K7" i="2"/>
  <c r="H7" i="2"/>
  <c r="AC53" i="2"/>
  <c r="AB53" i="2"/>
  <c r="AC77" i="2"/>
  <c r="AB77" i="2"/>
  <c r="AC84" i="2"/>
  <c r="AB84" i="2"/>
  <c r="AC24" i="2"/>
  <c r="AB24" i="2"/>
  <c r="AC83" i="2"/>
  <c r="AB83" i="2"/>
  <c r="AC58" i="2"/>
  <c r="AB58" i="2"/>
  <c r="AC57" i="2"/>
  <c r="AB57" i="2"/>
  <c r="AC47" i="2"/>
  <c r="AB47" i="2"/>
  <c r="AC76" i="2"/>
  <c r="AB76" i="2"/>
  <c r="AC81" i="2"/>
  <c r="AB81" i="2"/>
  <c r="AC40" i="2"/>
  <c r="AB40" i="2"/>
  <c r="AC8" i="2"/>
  <c r="AC59" i="2"/>
  <c r="AB59" i="2"/>
  <c r="AC51" i="2"/>
  <c r="AB51" i="2"/>
  <c r="AC35" i="2"/>
  <c r="AB35" i="2"/>
  <c r="AC38" i="2"/>
  <c r="AB38" i="2"/>
  <c r="AC80" i="2"/>
  <c r="AB80" i="2"/>
  <c r="AC69" i="2"/>
  <c r="AB69" i="2"/>
  <c r="AC28" i="2"/>
  <c r="AB28" i="2"/>
  <c r="AC60" i="2"/>
  <c r="AB60" i="2"/>
  <c r="AC27" i="2"/>
  <c r="AB27" i="2"/>
  <c r="AC30" i="2"/>
  <c r="AB30" i="2"/>
  <c r="AC17" i="2"/>
  <c r="AB17" i="2"/>
  <c r="AC26" i="2"/>
  <c r="AB26" i="2"/>
  <c r="AC74" i="2"/>
  <c r="AB74" i="2"/>
  <c r="AC56" i="2"/>
  <c r="AB56" i="2"/>
  <c r="AC78" i="2"/>
  <c r="AB78" i="2"/>
  <c r="AC52" i="2"/>
  <c r="AB52" i="2"/>
  <c r="AC54" i="2"/>
  <c r="AB54" i="2"/>
  <c r="AC82" i="2"/>
  <c r="AB82" i="2"/>
  <c r="AC64" i="2"/>
  <c r="AB64" i="2"/>
  <c r="AC67" i="2"/>
  <c r="AB67" i="2"/>
  <c r="AC66" i="2"/>
  <c r="AB66" i="2"/>
  <c r="AC71" i="2"/>
  <c r="AB71" i="2"/>
  <c r="AC45" i="2"/>
  <c r="AB45" i="2"/>
  <c r="AC79" i="2"/>
  <c r="AB79" i="2"/>
  <c r="AC70" i="2"/>
  <c r="AB70" i="2"/>
  <c r="AC44" i="2"/>
  <c r="AB44" i="2"/>
  <c r="AC36" i="2"/>
  <c r="AB36" i="2"/>
  <c r="AC33" i="2"/>
  <c r="AB33" i="2"/>
  <c r="AC62" i="2"/>
  <c r="AB62" i="2"/>
  <c r="AC75" i="2"/>
  <c r="AB75" i="2"/>
  <c r="AC43" i="2"/>
  <c r="AB43" i="2"/>
  <c r="AC21" i="2"/>
  <c r="AB21" i="2"/>
  <c r="AC15" i="2"/>
  <c r="AB15" i="2"/>
  <c r="AC13" i="2"/>
  <c r="AB13" i="2"/>
  <c r="AC19" i="2"/>
  <c r="AB19" i="2"/>
  <c r="AC63" i="2"/>
  <c r="AB63" i="2"/>
  <c r="AC42" i="2"/>
  <c r="AB42" i="2"/>
  <c r="AC29" i="2"/>
  <c r="AB29" i="2"/>
  <c r="AC34" i="2"/>
  <c r="AB34" i="2"/>
  <c r="AC32" i="2"/>
  <c r="AB32" i="2"/>
  <c r="AC61" i="2"/>
  <c r="AB61" i="2"/>
  <c r="AC9" i="2"/>
  <c r="AB9" i="2"/>
  <c r="AC48" i="2"/>
  <c r="AB48" i="2"/>
  <c r="AC39" i="2"/>
  <c r="AB39" i="2"/>
  <c r="AC23" i="2"/>
  <c r="AB23" i="2"/>
  <c r="AC14" i="2"/>
  <c r="AB14" i="2"/>
  <c r="AC18" i="2"/>
  <c r="AB18" i="2"/>
  <c r="AC68" i="2"/>
  <c r="AB68" i="2"/>
  <c r="AC73" i="2"/>
  <c r="AB73" i="2"/>
  <c r="AC37" i="2"/>
  <c r="AB37" i="2"/>
  <c r="AC10" i="2"/>
  <c r="AB10" i="2"/>
  <c r="AC11" i="2"/>
  <c r="AB11" i="2"/>
  <c r="AC12" i="2"/>
  <c r="AB12" i="2"/>
  <c r="AC72" i="2"/>
  <c r="AB72" i="2"/>
  <c r="AC46" i="2"/>
  <c r="AB46" i="2"/>
  <c r="AC50" i="2"/>
  <c r="AB50" i="2"/>
  <c r="AC49" i="2"/>
  <c r="AB49" i="2"/>
  <c r="AC20" i="2"/>
  <c r="AB20" i="2"/>
  <c r="AC31" i="2"/>
  <c r="AB31" i="2"/>
  <c r="AC55" i="2"/>
  <c r="AB55" i="2"/>
  <c r="AC25" i="2"/>
  <c r="AB25" i="2"/>
  <c r="AC65" i="2"/>
  <c r="AB65" i="2"/>
  <c r="AC85" i="2"/>
  <c r="AB85" i="2"/>
  <c r="AC41" i="2"/>
  <c r="AB41" i="2"/>
  <c r="AC22" i="2"/>
  <c r="AB22" i="2"/>
  <c r="L22" i="1" l="1"/>
  <c r="L24" i="1"/>
  <c r="L26" i="1"/>
  <c r="L28" i="1"/>
  <c r="L30" i="1"/>
  <c r="L32" i="1"/>
  <c r="L34" i="1"/>
  <c r="L36" i="1"/>
  <c r="L38" i="1"/>
  <c r="L40" i="1"/>
  <c r="L42" i="1"/>
  <c r="L44" i="1"/>
  <c r="L46" i="1"/>
  <c r="L48" i="1"/>
  <c r="L50" i="1"/>
  <c r="L52" i="1"/>
  <c r="L54" i="1"/>
  <c r="L56" i="1"/>
  <c r="L58" i="1"/>
  <c r="L60" i="1"/>
  <c r="L62" i="1"/>
  <c r="L64" i="1"/>
  <c r="L66" i="1"/>
  <c r="L68" i="1"/>
  <c r="L70" i="1"/>
  <c r="L72" i="1"/>
  <c r="L74" i="1"/>
  <c r="L76" i="1"/>
  <c r="L78" i="1"/>
  <c r="L80" i="1"/>
  <c r="L82" i="1"/>
  <c r="L84" i="1"/>
  <c r="L86" i="1"/>
  <c r="L88" i="1"/>
  <c r="L90" i="1"/>
  <c r="L92" i="1"/>
  <c r="L94" i="1"/>
  <c r="L21" i="1"/>
  <c r="L23" i="1"/>
  <c r="L25" i="1"/>
  <c r="L27" i="1"/>
  <c r="L29" i="1"/>
  <c r="L31" i="1"/>
  <c r="L33" i="1"/>
  <c r="L35" i="1"/>
  <c r="L37" i="1"/>
  <c r="L39" i="1"/>
  <c r="L41" i="1"/>
  <c r="L43" i="1"/>
  <c r="L45" i="1"/>
  <c r="L47" i="1"/>
  <c r="L49" i="1"/>
  <c r="L51" i="1"/>
  <c r="L53" i="1"/>
  <c r="L55" i="1"/>
  <c r="L57" i="1"/>
  <c r="L59" i="1"/>
  <c r="L61" i="1"/>
  <c r="L63" i="1"/>
  <c r="L65" i="1"/>
  <c r="L67" i="1"/>
  <c r="L69" i="1"/>
  <c r="L71" i="1"/>
  <c r="L73" i="1"/>
  <c r="L75" i="1"/>
  <c r="L77" i="1"/>
  <c r="L79" i="1"/>
  <c r="L81" i="1"/>
  <c r="L83" i="1"/>
  <c r="L85" i="1"/>
  <c r="L87" i="1"/>
  <c r="L89" i="1"/>
  <c r="L91" i="1"/>
  <c r="L93" i="1"/>
  <c r="L95" i="1"/>
  <c r="L97" i="1"/>
  <c r="L96" i="1"/>
  <c r="AD22" i="2"/>
  <c r="AD85" i="2"/>
  <c r="AD25" i="2"/>
  <c r="AD31" i="2"/>
  <c r="AD49" i="2"/>
  <c r="AD46" i="2"/>
  <c r="AD12" i="2"/>
  <c r="AD10" i="2"/>
  <c r="AD73" i="2"/>
  <c r="AD18" i="2"/>
  <c r="AD23" i="2"/>
  <c r="AD48" i="2"/>
  <c r="AD61" i="2"/>
  <c r="AD34" i="2"/>
  <c r="AD42" i="2"/>
  <c r="AD19" i="2"/>
  <c r="AD15" i="2"/>
  <c r="AD43" i="2"/>
  <c r="AD62" i="2"/>
  <c r="AD36" i="2"/>
  <c r="AD70" i="2"/>
  <c r="AD45" i="2"/>
  <c r="AD66" i="2"/>
  <c r="AD64" i="2"/>
  <c r="AD54" i="2"/>
  <c r="AD78" i="2"/>
  <c r="AD74" i="2"/>
  <c r="AD17" i="2"/>
  <c r="AD27" i="2"/>
  <c r="AD28" i="2"/>
  <c r="AD80" i="2"/>
  <c r="AD35" i="2"/>
  <c r="AD59" i="2"/>
  <c r="AD40" i="2"/>
  <c r="AD76" i="2"/>
  <c r="AD57" i="2"/>
  <c r="AD83" i="2"/>
  <c r="AD84" i="2"/>
  <c r="AD53" i="2"/>
  <c r="K20" i="1"/>
  <c r="AD41" i="2"/>
  <c r="AD55" i="2"/>
  <c r="AD20" i="2"/>
  <c r="AD50" i="2"/>
  <c r="AD72" i="2"/>
  <c r="AD11" i="2"/>
  <c r="AD37" i="2"/>
  <c r="AD68" i="2"/>
  <c r="AD14" i="2"/>
  <c r="AD39" i="2"/>
  <c r="AD9" i="2"/>
  <c r="AD32" i="2"/>
  <c r="AD29" i="2"/>
  <c r="AD63" i="2"/>
  <c r="AD13" i="2"/>
  <c r="AD21" i="2"/>
  <c r="AD75" i="2"/>
  <c r="AD33" i="2"/>
  <c r="AD44" i="2"/>
  <c r="AD79" i="2"/>
  <c r="AD71" i="2"/>
  <c r="AD67" i="2"/>
  <c r="AD82" i="2"/>
  <c r="AD52" i="2"/>
  <c r="AD56" i="2"/>
  <c r="AD26" i="2"/>
  <c r="AD30" i="2"/>
  <c r="AD60" i="2"/>
  <c r="AD69" i="2"/>
  <c r="AD38" i="2"/>
  <c r="AD51" i="2"/>
  <c r="AD8" i="2"/>
  <c r="AD81" i="2"/>
  <c r="AD47" i="2"/>
  <c r="AD65" i="2"/>
  <c r="AD58" i="2"/>
  <c r="AD24" i="2"/>
  <c r="AD77" i="2"/>
  <c r="AD16" i="2" l="1"/>
  <c r="K98" i="1"/>
  <c r="AM35" i="2" l="1"/>
  <c r="Q34" i="3" s="1"/>
  <c r="AM67" i="2"/>
  <c r="Q66" i="3" s="1"/>
  <c r="AM40" i="2"/>
  <c r="Q39" i="3" s="1"/>
  <c r="AM9" i="2"/>
  <c r="Q8" i="3" s="1"/>
  <c r="AM73" i="2"/>
  <c r="Q72" i="3" s="1"/>
  <c r="AM70" i="2"/>
  <c r="Q69" i="3" s="1"/>
  <c r="AM46" i="2"/>
  <c r="Q45" i="3" s="1"/>
  <c r="AM55" i="2"/>
  <c r="Q54" i="3" s="1"/>
  <c r="AM28" i="2"/>
  <c r="Q27" i="3" s="1"/>
  <c r="AM76" i="2"/>
  <c r="Q75" i="3" s="1"/>
  <c r="AM29" i="2"/>
  <c r="Q28" i="3" s="1"/>
  <c r="AM77" i="2"/>
  <c r="Q76" i="3" s="1"/>
  <c r="AM82" i="2"/>
  <c r="Q81" i="3" s="1"/>
  <c r="AM18" i="2"/>
  <c r="Q17" i="3" s="1"/>
  <c r="AM66" i="2"/>
  <c r="Q65" i="3" s="1"/>
  <c r="AM19" i="2"/>
  <c r="Q18" i="3" s="1"/>
  <c r="AM83" i="2"/>
  <c r="Q82" i="3" s="1"/>
  <c r="AM56" i="2"/>
  <c r="Q55" i="3" s="1"/>
  <c r="AM25" i="2"/>
  <c r="Q24" i="3" s="1"/>
  <c r="AM57" i="2"/>
  <c r="Q56" i="3" s="1"/>
  <c r="AM14" i="2"/>
  <c r="Q13" i="3" s="1"/>
  <c r="AM30" i="2"/>
  <c r="Q29" i="3" s="1"/>
  <c r="AM39" i="2"/>
  <c r="Q38" i="3" s="1"/>
  <c r="AM71" i="2"/>
  <c r="Q70" i="3" s="1"/>
  <c r="AM44" i="2"/>
  <c r="Q43" i="3" s="1"/>
  <c r="AM13" i="2"/>
  <c r="Q12" i="3" s="1"/>
  <c r="AM45" i="2"/>
  <c r="Q44" i="3" s="1"/>
  <c r="AM50" i="2"/>
  <c r="Q49" i="3" s="1"/>
  <c r="AM11" i="2"/>
  <c r="Q10" i="3" s="1"/>
  <c r="AM27" i="2"/>
  <c r="Q26" i="3" s="1"/>
  <c r="AM43" i="2"/>
  <c r="Q42" i="3" s="1"/>
  <c r="AM59" i="2"/>
  <c r="Q58" i="3" s="1"/>
  <c r="AM75" i="2"/>
  <c r="Q74" i="3" s="1"/>
  <c r="AM16" i="2"/>
  <c r="Q15" i="3" s="1"/>
  <c r="AM32" i="2"/>
  <c r="Q31" i="3" s="1"/>
  <c r="AM48" i="2"/>
  <c r="Q47" i="3" s="1"/>
  <c r="AM64" i="2"/>
  <c r="Q63" i="3" s="1"/>
  <c r="AM80" i="2"/>
  <c r="Q79" i="3" s="1"/>
  <c r="AM17" i="2"/>
  <c r="Q16" i="3" s="1"/>
  <c r="AM33" i="2"/>
  <c r="Q32" i="3" s="1"/>
  <c r="AM49" i="2"/>
  <c r="Q48" i="3" s="1"/>
  <c r="AM65" i="2"/>
  <c r="Q64" i="3" s="1"/>
  <c r="AM81" i="2"/>
  <c r="Q80" i="3" s="1"/>
  <c r="AM22" i="2"/>
  <c r="Q21" i="3" s="1"/>
  <c r="AM38" i="2"/>
  <c r="Q37" i="3" s="1"/>
  <c r="AM54" i="2"/>
  <c r="Q53" i="3" s="1"/>
  <c r="AM74" i="2"/>
  <c r="Q73" i="3" s="1"/>
  <c r="AM51" i="2"/>
  <c r="Q50" i="3" s="1"/>
  <c r="AM24" i="2"/>
  <c r="Q23" i="3" s="1"/>
  <c r="AM72" i="2"/>
  <c r="Q71" i="3" s="1"/>
  <c r="AM41" i="2"/>
  <c r="Q40" i="3" s="1"/>
  <c r="AM62" i="2"/>
  <c r="Q61" i="3" s="1"/>
  <c r="AM23" i="2"/>
  <c r="Q22" i="3" s="1"/>
  <c r="AM12" i="2"/>
  <c r="Q11" i="3" s="1"/>
  <c r="AM60" i="2"/>
  <c r="Q59" i="3" s="1"/>
  <c r="AM61" i="2"/>
  <c r="Q60" i="3" s="1"/>
  <c r="AM34" i="2"/>
  <c r="Q33" i="3" s="1"/>
  <c r="AM15" i="2"/>
  <c r="Q14" i="3" s="1"/>
  <c r="AM31" i="2"/>
  <c r="Q30" i="3" s="1"/>
  <c r="AM47" i="2"/>
  <c r="Q46" i="3" s="1"/>
  <c r="AM63" i="2"/>
  <c r="Q62" i="3" s="1"/>
  <c r="AM79" i="2"/>
  <c r="Q78" i="3" s="1"/>
  <c r="AM20" i="2"/>
  <c r="Q19" i="3" s="1"/>
  <c r="AM36" i="2"/>
  <c r="Q35" i="3" s="1"/>
  <c r="AM52" i="2"/>
  <c r="Q51" i="3" s="1"/>
  <c r="AM68" i="2"/>
  <c r="Q67" i="3" s="1"/>
  <c r="AM84" i="2"/>
  <c r="Q83" i="3" s="1"/>
  <c r="AM21" i="2"/>
  <c r="Q20" i="3" s="1"/>
  <c r="AM37" i="2"/>
  <c r="Q36" i="3" s="1"/>
  <c r="AM53" i="2"/>
  <c r="Q52" i="3" s="1"/>
  <c r="AM69" i="2"/>
  <c r="Q68" i="3" s="1"/>
  <c r="AM85" i="2"/>
  <c r="Q84" i="3" s="1"/>
  <c r="AM10" i="2"/>
  <c r="Q9" i="3" s="1"/>
  <c r="AM26" i="2"/>
  <c r="Q25" i="3" s="1"/>
  <c r="AM42" i="2"/>
  <c r="Q41" i="3" s="1"/>
  <c r="AM58" i="2"/>
  <c r="Q57" i="3" s="1"/>
  <c r="AM78" i="2"/>
  <c r="Q77" i="3" s="1"/>
  <c r="AM8" i="2"/>
  <c r="Q7" i="3" s="1"/>
  <c r="AC86" i="2"/>
  <c r="C49" i="3" s="1"/>
  <c r="AB86" i="2"/>
  <c r="AD86" i="2"/>
  <c r="C50" i="3" s="1"/>
  <c r="C51" i="3" l="1"/>
  <c r="D50" i="3" s="1"/>
  <c r="D49" i="3"/>
  <c r="D51" i="3" s="1"/>
  <c r="AC88" i="2"/>
  <c r="F92" i="2"/>
  <c r="G93" i="2"/>
  <c r="G92" i="2"/>
  <c r="E93" i="2"/>
  <c r="E92" i="2"/>
  <c r="F93" i="2"/>
  <c r="G91" i="2"/>
  <c r="E91" i="2"/>
  <c r="F91" i="2"/>
  <c r="G90" i="2"/>
  <c r="G87" i="2"/>
  <c r="G88" i="2"/>
  <c r="F90" i="2"/>
  <c r="F87" i="2"/>
  <c r="E88" i="2"/>
  <c r="E90" i="2"/>
  <c r="E87" i="2"/>
  <c r="F88" i="2"/>
  <c r="H8" i="2" l="1"/>
  <c r="J9" i="2"/>
  <c r="J66" i="2"/>
  <c r="H34" i="2"/>
  <c r="I10" i="2"/>
  <c r="J69" i="2"/>
  <c r="J14" i="2"/>
  <c r="J49" i="2"/>
  <c r="I12" i="2"/>
  <c r="H50" i="2"/>
  <c r="I74" i="2"/>
  <c r="H51" i="2"/>
  <c r="H31" i="2"/>
  <c r="J60" i="2"/>
  <c r="J44" i="2"/>
  <c r="J58" i="2"/>
  <c r="I85" i="2"/>
  <c r="H74" i="2"/>
  <c r="I61" i="2"/>
  <c r="H79" i="2"/>
  <c r="H23" i="2"/>
  <c r="H21" i="2"/>
  <c r="I58" i="2"/>
  <c r="I83" i="2"/>
  <c r="J81" i="2"/>
  <c r="J45" i="2"/>
  <c r="J32" i="2"/>
  <c r="J59" i="2"/>
  <c r="I44" i="2"/>
  <c r="H46" i="2"/>
  <c r="I32" i="2"/>
  <c r="H59" i="2"/>
  <c r="H68" i="2"/>
  <c r="H32" i="2"/>
  <c r="H9" i="2"/>
  <c r="I45" i="2"/>
  <c r="I65" i="2"/>
  <c r="I48" i="2"/>
  <c r="I81" i="2"/>
  <c r="J65" i="2"/>
  <c r="J31" i="2"/>
  <c r="J82" i="2"/>
  <c r="H70" i="2"/>
  <c r="I29" i="2"/>
  <c r="I80" i="2"/>
  <c r="I24" i="2"/>
  <c r="H55" i="2"/>
  <c r="H64" i="2"/>
  <c r="H11" i="2"/>
  <c r="H35" i="2"/>
  <c r="I31" i="2"/>
  <c r="H62" i="2"/>
  <c r="H76" i="2"/>
  <c r="H24" i="2"/>
  <c r="I42" i="2"/>
  <c r="J16" i="2"/>
  <c r="J70" i="2"/>
  <c r="J78" i="2"/>
  <c r="J21" i="2"/>
  <c r="I9" i="2"/>
  <c r="I66" i="2"/>
  <c r="I16" i="2"/>
  <c r="H60" i="2"/>
  <c r="J57" i="2"/>
  <c r="J76" i="2"/>
  <c r="J46" i="2"/>
  <c r="J64" i="2"/>
  <c r="I64" i="2"/>
  <c r="H27" i="2"/>
  <c r="I40" i="2"/>
  <c r="H63" i="2"/>
  <c r="H72" i="2"/>
  <c r="H17" i="2"/>
  <c r="H20" i="2"/>
  <c r="I63" i="2"/>
  <c r="I54" i="2"/>
  <c r="J47" i="2"/>
  <c r="J24" i="2"/>
  <c r="J84" i="2"/>
  <c r="I46" i="2"/>
  <c r="I50" i="2"/>
  <c r="I73" i="2"/>
  <c r="H81" i="2"/>
  <c r="H14" i="2"/>
  <c r="H52" i="2"/>
  <c r="H22" i="2"/>
  <c r="H85" i="2"/>
  <c r="I35" i="2"/>
  <c r="I82" i="2"/>
  <c r="I30" i="2"/>
  <c r="I27" i="2"/>
  <c r="J35" i="2"/>
  <c r="J56" i="2"/>
  <c r="I49" i="2"/>
  <c r="I53" i="2"/>
  <c r="I47" i="2"/>
  <c r="H69" i="2"/>
  <c r="H37" i="2"/>
  <c r="H48" i="2"/>
  <c r="H36" i="2"/>
  <c r="I68" i="2"/>
  <c r="I15" i="2"/>
  <c r="H83" i="2"/>
  <c r="H44" i="2"/>
  <c r="I60" i="2"/>
  <c r="I26" i="2"/>
  <c r="J63" i="2"/>
  <c r="J73" i="2"/>
  <c r="J29" i="2"/>
  <c r="J68" i="2"/>
  <c r="J71" i="2"/>
  <c r="J8" i="2"/>
  <c r="J25" i="2"/>
  <c r="J48" i="2"/>
  <c r="J43" i="2"/>
  <c r="J54" i="2"/>
  <c r="J62" i="2"/>
  <c r="J83" i="2"/>
  <c r="J74" i="2"/>
  <c r="J51" i="2"/>
  <c r="J20" i="2"/>
  <c r="J22" i="2"/>
  <c r="J11" i="2"/>
  <c r="J36" i="2"/>
  <c r="J13" i="2"/>
  <c r="J79" i="2"/>
  <c r="J27" i="2"/>
  <c r="J18" i="2"/>
  <c r="J72" i="2"/>
  <c r="J75" i="2"/>
  <c r="J15" i="2"/>
  <c r="J37" i="2"/>
  <c r="H54" i="2"/>
  <c r="I72" i="2"/>
  <c r="I41" i="2"/>
  <c r="H57" i="2"/>
  <c r="H43" i="2"/>
  <c r="J80" i="2"/>
  <c r="J53" i="2"/>
  <c r="J23" i="2"/>
  <c r="J26" i="2"/>
  <c r="I79" i="2"/>
  <c r="I62" i="2"/>
  <c r="I13" i="2"/>
  <c r="H47" i="2"/>
  <c r="H56" i="2"/>
  <c r="H42" i="2"/>
  <c r="H13" i="2"/>
  <c r="I39" i="2"/>
  <c r="I57" i="2"/>
  <c r="J28" i="2"/>
  <c r="J50" i="2"/>
  <c r="J52" i="2"/>
  <c r="H33" i="2"/>
  <c r="H82" i="2"/>
  <c r="I25" i="2"/>
  <c r="H45" i="2"/>
  <c r="H65" i="2"/>
  <c r="H30" i="2"/>
  <c r="H40" i="2"/>
  <c r="I76" i="2"/>
  <c r="I19" i="2"/>
  <c r="I34" i="2"/>
  <c r="I14" i="2"/>
  <c r="I77" i="2"/>
  <c r="J12" i="2"/>
  <c r="J34" i="2"/>
  <c r="J85" i="2"/>
  <c r="I78" i="2"/>
  <c r="H78" i="2"/>
  <c r="I17" i="2"/>
  <c r="H16" i="2"/>
  <c r="H61" i="2"/>
  <c r="H28" i="2"/>
  <c r="H29" i="2"/>
  <c r="I52" i="2"/>
  <c r="I75" i="2"/>
  <c r="H77" i="2"/>
  <c r="H39" i="2"/>
  <c r="I43" i="2"/>
  <c r="I69" i="2"/>
  <c r="J19" i="2"/>
  <c r="J42" i="2"/>
  <c r="J33" i="2"/>
  <c r="I36" i="2"/>
  <c r="I37" i="2"/>
  <c r="I8" i="2"/>
  <c r="H67" i="2"/>
  <c r="H26" i="2"/>
  <c r="J55" i="2"/>
  <c r="J40" i="2"/>
  <c r="J10" i="2"/>
  <c r="I20" i="2"/>
  <c r="I21" i="2"/>
  <c r="I33" i="2"/>
  <c r="H53" i="2"/>
  <c r="H73" i="2"/>
  <c r="H12" i="2"/>
  <c r="H15" i="2"/>
  <c r="I84" i="2"/>
  <c r="I23" i="2"/>
  <c r="I38" i="2"/>
  <c r="J39" i="2"/>
  <c r="J77" i="2"/>
  <c r="J41" i="2"/>
  <c r="J17" i="2"/>
  <c r="I51" i="2"/>
  <c r="H58" i="2"/>
  <c r="I56" i="2"/>
  <c r="H75" i="2"/>
  <c r="H84" i="2"/>
  <c r="H18" i="2"/>
  <c r="H38" i="2"/>
  <c r="I70" i="2"/>
  <c r="I59" i="2"/>
  <c r="I18" i="2"/>
  <c r="H19" i="2"/>
  <c r="J67" i="2"/>
  <c r="J61" i="2"/>
  <c r="J30" i="2"/>
  <c r="J38" i="2"/>
  <c r="I28" i="2"/>
  <c r="H66" i="2"/>
  <c r="I71" i="2"/>
  <c r="H71" i="2"/>
  <c r="H80" i="2"/>
  <c r="H10" i="2"/>
  <c r="H41" i="2"/>
  <c r="I67" i="2"/>
  <c r="I55" i="2"/>
  <c r="H49" i="2"/>
  <c r="H25" i="2"/>
  <c r="I11" i="2"/>
  <c r="I22" i="2"/>
  <c r="G89" i="2"/>
  <c r="E89" i="2"/>
  <c r="F89" i="2"/>
  <c r="H87" i="2" l="1"/>
  <c r="H92" i="2"/>
  <c r="H88" i="2"/>
  <c r="K8" i="2" s="1"/>
  <c r="H91" i="2"/>
  <c r="H90" i="2"/>
  <c r="H93" i="2"/>
  <c r="I88" i="2"/>
  <c r="I92" i="2"/>
  <c r="I91" i="2"/>
  <c r="I87" i="2"/>
  <c r="L8" i="2" s="1"/>
  <c r="I90" i="2"/>
  <c r="I93" i="2"/>
  <c r="J87" i="2"/>
  <c r="J90" i="2"/>
  <c r="J93" i="2"/>
  <c r="J92" i="2"/>
  <c r="J88" i="2"/>
  <c r="J91" i="2"/>
  <c r="M9" i="2" l="1"/>
  <c r="L71" i="2"/>
  <c r="J89" i="2"/>
  <c r="M81" i="2"/>
  <c r="L80" i="2"/>
  <c r="M47" i="2"/>
  <c r="L68" i="2"/>
  <c r="M62" i="2"/>
  <c r="M26" i="2"/>
  <c r="L77" i="2"/>
  <c r="L51" i="2"/>
  <c r="M30" i="2"/>
  <c r="L61" i="2"/>
  <c r="L24" i="2"/>
  <c r="L40" i="2"/>
  <c r="L49" i="2"/>
  <c r="M48" i="2"/>
  <c r="M75" i="2"/>
  <c r="L57" i="2"/>
  <c r="L58" i="2"/>
  <c r="L31" i="2"/>
  <c r="L63" i="2"/>
  <c r="M63" i="2"/>
  <c r="M11" i="2"/>
  <c r="M53" i="2"/>
  <c r="L78" i="2"/>
  <c r="L20" i="2"/>
  <c r="M38" i="2"/>
  <c r="L70" i="2"/>
  <c r="M10" i="2"/>
  <c r="L12" i="2"/>
  <c r="L45" i="2"/>
  <c r="L9" i="2"/>
  <c r="L46" i="2"/>
  <c r="M73" i="2"/>
  <c r="M36" i="2"/>
  <c r="L13" i="2"/>
  <c r="M12" i="2"/>
  <c r="L21" i="2"/>
  <c r="L22" i="2"/>
  <c r="M66" i="2"/>
  <c r="L44" i="2"/>
  <c r="M70" i="2"/>
  <c r="L50" i="2"/>
  <c r="L60" i="2"/>
  <c r="M20" i="2"/>
  <c r="L39" i="2"/>
  <c r="M34" i="2"/>
  <c r="M40" i="2"/>
  <c r="L59" i="2"/>
  <c r="M14" i="2"/>
  <c r="M45" i="2"/>
  <c r="M78" i="2"/>
  <c r="M24" i="2"/>
  <c r="L15" i="2"/>
  <c r="M83" i="2"/>
  <c r="L72" i="2"/>
  <c r="L19" i="2"/>
  <c r="M32" i="2"/>
  <c r="L42" i="2"/>
  <c r="M84" i="2"/>
  <c r="M71" i="2"/>
  <c r="M27" i="2"/>
  <c r="L62" i="2"/>
  <c r="L75" i="2"/>
  <c r="L23" i="2"/>
  <c r="L67" i="2"/>
  <c r="L55" i="2"/>
  <c r="M77" i="2"/>
  <c r="L85" i="2"/>
  <c r="M65" i="2"/>
  <c r="M57" i="2"/>
  <c r="L35" i="2"/>
  <c r="M8" i="2"/>
  <c r="M18" i="2"/>
  <c r="M50" i="2"/>
  <c r="M19" i="2"/>
  <c r="L38" i="2"/>
  <c r="L52" i="2"/>
  <c r="I89" i="2"/>
  <c r="K83" i="2"/>
  <c r="K79" i="2"/>
  <c r="K75" i="2"/>
  <c r="K71" i="2"/>
  <c r="K67" i="2"/>
  <c r="K63" i="2"/>
  <c r="K59" i="2"/>
  <c r="K55" i="2"/>
  <c r="K51" i="2"/>
  <c r="K47" i="2"/>
  <c r="K43" i="2"/>
  <c r="K39" i="2"/>
  <c r="K35" i="2"/>
  <c r="K23" i="2"/>
  <c r="K11" i="2"/>
  <c r="K82" i="2"/>
  <c r="K78" i="2"/>
  <c r="K74" i="2"/>
  <c r="K70" i="2"/>
  <c r="K66" i="2"/>
  <c r="K62" i="2"/>
  <c r="K58" i="2"/>
  <c r="K54" i="2"/>
  <c r="K50" i="2"/>
  <c r="K46" i="2"/>
  <c r="K42" i="2"/>
  <c r="K38" i="2"/>
  <c r="K34" i="2"/>
  <c r="K30" i="2"/>
  <c r="K26" i="2"/>
  <c r="K22" i="2"/>
  <c r="K18" i="2"/>
  <c r="K14" i="2"/>
  <c r="K10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27" i="2"/>
  <c r="K15" i="2"/>
  <c r="K84" i="2"/>
  <c r="K80" i="2"/>
  <c r="K76" i="2"/>
  <c r="K72" i="2"/>
  <c r="K68" i="2"/>
  <c r="K64" i="2"/>
  <c r="K60" i="2"/>
  <c r="K56" i="2"/>
  <c r="K52" i="2"/>
  <c r="K48" i="2"/>
  <c r="K44" i="2"/>
  <c r="K40" i="2"/>
  <c r="K36" i="2"/>
  <c r="K32" i="2"/>
  <c r="K28" i="2"/>
  <c r="K24" i="2"/>
  <c r="K20" i="2"/>
  <c r="K16" i="2"/>
  <c r="K12" i="2"/>
  <c r="K31" i="2"/>
  <c r="K19" i="2"/>
  <c r="H89" i="2"/>
  <c r="M69" i="2"/>
  <c r="L65" i="2"/>
  <c r="L66" i="2"/>
  <c r="L82" i="2"/>
  <c r="M29" i="2"/>
  <c r="M13" i="2"/>
  <c r="M52" i="2"/>
  <c r="L17" i="2"/>
  <c r="L33" i="2"/>
  <c r="M61" i="2"/>
  <c r="L74" i="2"/>
  <c r="L48" i="2"/>
  <c r="L16" i="2"/>
  <c r="L73" i="2"/>
  <c r="L26" i="2"/>
  <c r="M22" i="2"/>
  <c r="M80" i="2"/>
  <c r="M49" i="2"/>
  <c r="L32" i="2"/>
  <c r="M21" i="2"/>
  <c r="L27" i="2"/>
  <c r="M43" i="2"/>
  <c r="M15" i="2"/>
  <c r="M28" i="2"/>
  <c r="L69" i="2"/>
  <c r="M41" i="2"/>
  <c r="L11" i="2"/>
  <c r="M85" i="2"/>
  <c r="L18" i="2"/>
  <c r="L83" i="2"/>
  <c r="L29" i="2"/>
  <c r="L64" i="2"/>
  <c r="M35" i="2"/>
  <c r="M54" i="2"/>
  <c r="M37" i="2"/>
  <c r="L25" i="2"/>
  <c r="L37" i="2"/>
  <c r="M67" i="2"/>
  <c r="L84" i="2"/>
  <c r="M60" i="2"/>
  <c r="M31" i="2"/>
  <c r="M76" i="2"/>
  <c r="M56" i="2"/>
  <c r="M25" i="2"/>
  <c r="M72" i="2"/>
  <c r="L76" i="2"/>
  <c r="M42" i="2"/>
  <c r="M39" i="2"/>
  <c r="L43" i="2"/>
  <c r="M44" i="2"/>
  <c r="M82" i="2"/>
  <c r="M46" i="2"/>
  <c r="L30" i="2"/>
  <c r="M68" i="2"/>
  <c r="M79" i="2"/>
  <c r="L79" i="2"/>
  <c r="M58" i="2"/>
  <c r="L81" i="2"/>
  <c r="M64" i="2"/>
  <c r="L53" i="2"/>
  <c r="M74" i="2"/>
  <c r="L41" i="2"/>
  <c r="L34" i="2"/>
  <c r="L36" i="2"/>
  <c r="L56" i="2"/>
  <c r="M17" i="2"/>
  <c r="M33" i="2"/>
  <c r="L10" i="2"/>
  <c r="M59" i="2"/>
  <c r="M16" i="2"/>
  <c r="L54" i="2"/>
  <c r="L47" i="2"/>
  <c r="M51" i="2"/>
  <c r="M23" i="2"/>
  <c r="L14" i="2"/>
  <c r="M55" i="2"/>
  <c r="L28" i="2"/>
  <c r="N21" i="2" l="1"/>
  <c r="N18" i="2"/>
  <c r="N50" i="2"/>
  <c r="N77" i="2"/>
  <c r="N28" i="2"/>
  <c r="N39" i="2"/>
  <c r="N22" i="2"/>
  <c r="N27" i="2"/>
  <c r="N85" i="2"/>
  <c r="N38" i="2"/>
  <c r="N55" i="2"/>
  <c r="N33" i="2"/>
  <c r="N34" i="2"/>
  <c r="N64" i="2"/>
  <c r="N79" i="2"/>
  <c r="N82" i="2"/>
  <c r="N42" i="2"/>
  <c r="N37" i="2"/>
  <c r="N11" i="2"/>
  <c r="N15" i="2"/>
  <c r="N32" i="2"/>
  <c r="N26" i="2"/>
  <c r="N80" i="2"/>
  <c r="N57" i="2"/>
  <c r="N63" i="2"/>
  <c r="N71" i="2"/>
  <c r="N17" i="2"/>
  <c r="N81" i="2"/>
  <c r="N67" i="2"/>
  <c r="N83" i="2"/>
  <c r="N43" i="2"/>
  <c r="N49" i="2"/>
  <c r="N65" i="2"/>
  <c r="N31" i="2"/>
  <c r="N45" i="2"/>
  <c r="N62" i="2"/>
  <c r="N70" i="2"/>
  <c r="N59" i="2"/>
  <c r="N12" i="2"/>
  <c r="N24" i="2"/>
  <c r="N8" i="2"/>
  <c r="N23" i="2"/>
  <c r="N73" i="2"/>
  <c r="N20" i="2"/>
  <c r="N78" i="2"/>
  <c r="N16" i="2"/>
  <c r="N44" i="2"/>
  <c r="N75" i="2"/>
  <c r="N76" i="2"/>
  <c r="N14" i="2"/>
  <c r="N84" i="2"/>
  <c r="N56" i="2"/>
  <c r="N52" i="2"/>
  <c r="N51" i="2"/>
  <c r="N25" i="2"/>
  <c r="N53" i="2"/>
  <c r="N58" i="2"/>
  <c r="N30" i="2"/>
  <c r="N46" i="2"/>
  <c r="N35" i="2"/>
  <c r="N72" i="2"/>
  <c r="N40" i="2"/>
  <c r="N60" i="2"/>
  <c r="N19" i="2"/>
  <c r="N47" i="2"/>
  <c r="L93" i="2"/>
  <c r="K87" i="2"/>
  <c r="N61" i="2"/>
  <c r="N48" i="2"/>
  <c r="N68" i="2"/>
  <c r="K91" i="2"/>
  <c r="K88" i="2"/>
  <c r="K90" i="2"/>
  <c r="N13" i="2"/>
  <c r="N54" i="2"/>
  <c r="N29" i="2"/>
  <c r="N66" i="2"/>
  <c r="K93" i="2"/>
  <c r="N41" i="2"/>
  <c r="N74" i="2"/>
  <c r="M88" i="2"/>
  <c r="L87" i="2"/>
  <c r="L90" i="2"/>
  <c r="M90" i="2"/>
  <c r="M91" i="2"/>
  <c r="L92" i="2"/>
  <c r="K92" i="2"/>
  <c r="N9" i="2"/>
  <c r="L91" i="2"/>
  <c r="N36" i="2"/>
  <c r="M93" i="2"/>
  <c r="M92" i="2"/>
  <c r="L88" i="2"/>
  <c r="M87" i="2"/>
  <c r="N10" i="2"/>
  <c r="N69" i="2"/>
  <c r="L89" i="2" l="1"/>
  <c r="K89" i="2"/>
  <c r="M89" i="2"/>
  <c r="N92" i="2"/>
  <c r="N87" i="2"/>
  <c r="N91" i="2"/>
  <c r="N90" i="2"/>
  <c r="O39" i="2" s="1"/>
  <c r="N93" i="2"/>
  <c r="N88" i="2"/>
  <c r="T39" i="2" l="1"/>
  <c r="V39" i="2" s="1"/>
  <c r="X39" i="2" s="1"/>
  <c r="Z39" i="2"/>
  <c r="N89" i="2"/>
  <c r="O71" i="2"/>
  <c r="O81" i="2"/>
  <c r="O47" i="2"/>
  <c r="O54" i="2"/>
  <c r="O12" i="2"/>
  <c r="O31" i="2"/>
  <c r="O82" i="2"/>
  <c r="O10" i="2"/>
  <c r="O68" i="2"/>
  <c r="O15" i="2"/>
  <c r="O72" i="2"/>
  <c r="O69" i="2"/>
  <c r="O59" i="2"/>
  <c r="O75" i="2"/>
  <c r="O27" i="2"/>
  <c r="O56" i="2"/>
  <c r="O49" i="2"/>
  <c r="O23" i="2"/>
  <c r="O76" i="2"/>
  <c r="O61" i="2"/>
  <c r="O26" i="2"/>
  <c r="O25" i="2"/>
  <c r="O42" i="2"/>
  <c r="O29" i="2"/>
  <c r="O33" i="2"/>
  <c r="O30" i="2"/>
  <c r="O43" i="2"/>
  <c r="O22" i="2"/>
  <c r="O63" i="2"/>
  <c r="O28" i="2"/>
  <c r="O77" i="2"/>
  <c r="O70" i="2"/>
  <c r="O34" i="2"/>
  <c r="O32" i="2"/>
  <c r="O80" i="2"/>
  <c r="O13" i="2"/>
  <c r="O84" i="2"/>
  <c r="O55" i="2"/>
  <c r="O24" i="2"/>
  <c r="O35" i="2"/>
  <c r="O20" i="2"/>
  <c r="O67" i="2"/>
  <c r="O40" i="2"/>
  <c r="O45" i="2"/>
  <c r="O60" i="2"/>
  <c r="O79" i="2"/>
  <c r="O50" i="2"/>
  <c r="O11" i="2"/>
  <c r="O17" i="2"/>
  <c r="O48" i="2"/>
  <c r="O53" i="2"/>
  <c r="O16" i="2"/>
  <c r="O62" i="2"/>
  <c r="O38" i="2"/>
  <c r="O41" i="2"/>
  <c r="O21" i="2"/>
  <c r="O64" i="2"/>
  <c r="O52" i="2"/>
  <c r="O85" i="2"/>
  <c r="O73" i="2"/>
  <c r="O65" i="2"/>
  <c r="O46" i="2"/>
  <c r="O14" i="2"/>
  <c r="O66" i="2"/>
  <c r="O78" i="2"/>
  <c r="O58" i="2"/>
  <c r="O37" i="2"/>
  <c r="O51" i="2"/>
  <c r="O9" i="2"/>
  <c r="O36" i="2"/>
  <c r="O83" i="2"/>
  <c r="O8" i="2"/>
  <c r="T8" i="2" s="1"/>
  <c r="O57" i="2"/>
  <c r="O19" i="2"/>
  <c r="O18" i="2"/>
  <c r="O74" i="2"/>
  <c r="O44" i="2"/>
  <c r="T74" i="2" l="1"/>
  <c r="V74" i="2" s="1"/>
  <c r="X74" i="2" s="1"/>
  <c r="Z74" i="2"/>
  <c r="Z66" i="2"/>
  <c r="T66" i="2"/>
  <c r="V66" i="2" s="1"/>
  <c r="X66" i="2" s="1"/>
  <c r="Z16" i="2"/>
  <c r="T16" i="2"/>
  <c r="V16" i="2" s="1"/>
  <c r="X16" i="2" s="1"/>
  <c r="Z35" i="2"/>
  <c r="T35" i="2"/>
  <c r="V35" i="2" s="1"/>
  <c r="X35" i="2" s="1"/>
  <c r="T61" i="2"/>
  <c r="V61" i="2" s="1"/>
  <c r="X61" i="2" s="1"/>
  <c r="Z61" i="2"/>
  <c r="Z18" i="2"/>
  <c r="T18" i="2"/>
  <c r="V18" i="2" s="1"/>
  <c r="X18" i="2" s="1"/>
  <c r="Z83" i="2"/>
  <c r="T83" i="2"/>
  <c r="V83" i="2" s="1"/>
  <c r="X83" i="2" s="1"/>
  <c r="T37" i="2"/>
  <c r="V37" i="2" s="1"/>
  <c r="X37" i="2" s="1"/>
  <c r="Z37" i="2"/>
  <c r="Z14" i="2"/>
  <c r="T14" i="2"/>
  <c r="V14" i="2" s="1"/>
  <c r="X14" i="2" s="1"/>
  <c r="Z85" i="2"/>
  <c r="T85" i="2"/>
  <c r="V85" i="2" s="1"/>
  <c r="X85" i="2" s="1"/>
  <c r="Z41" i="2"/>
  <c r="T41" i="2"/>
  <c r="V41" i="2" s="1"/>
  <c r="X41" i="2" s="1"/>
  <c r="T53" i="2"/>
  <c r="V53" i="2" s="1"/>
  <c r="X53" i="2" s="1"/>
  <c r="Z53" i="2"/>
  <c r="Z50" i="2"/>
  <c r="T50" i="2"/>
  <c r="V50" i="2" s="1"/>
  <c r="X50" i="2" s="1"/>
  <c r="Z40" i="2"/>
  <c r="T40" i="2"/>
  <c r="V40" i="2" s="1"/>
  <c r="X40" i="2" s="1"/>
  <c r="T24" i="2"/>
  <c r="V24" i="2" s="1"/>
  <c r="X24" i="2" s="1"/>
  <c r="Z24" i="2"/>
  <c r="Z80" i="2"/>
  <c r="T80" i="2"/>
  <c r="V80" i="2" s="1"/>
  <c r="X80" i="2" s="1"/>
  <c r="Z77" i="2"/>
  <c r="T77" i="2"/>
  <c r="V77" i="2" s="1"/>
  <c r="X77" i="2" s="1"/>
  <c r="T43" i="2"/>
  <c r="V43" i="2" s="1"/>
  <c r="X43" i="2" s="1"/>
  <c r="Z43" i="2"/>
  <c r="T42" i="2"/>
  <c r="V42" i="2" s="1"/>
  <c r="X42" i="2" s="1"/>
  <c r="Z42" i="2"/>
  <c r="Z76" i="2"/>
  <c r="T76" i="2"/>
  <c r="V76" i="2" s="1"/>
  <c r="X76" i="2" s="1"/>
  <c r="T27" i="2"/>
  <c r="V27" i="2" s="1"/>
  <c r="X27" i="2" s="1"/>
  <c r="Z27" i="2"/>
  <c r="Z72" i="2"/>
  <c r="T72" i="2"/>
  <c r="V72" i="2" s="1"/>
  <c r="X72" i="2" s="1"/>
  <c r="Z82" i="2"/>
  <c r="T82" i="2"/>
  <c r="V82" i="2" s="1"/>
  <c r="X82" i="2" s="1"/>
  <c r="Z47" i="2"/>
  <c r="T47" i="2"/>
  <c r="V47" i="2" s="1"/>
  <c r="X47" i="2" s="1"/>
  <c r="Z51" i="2"/>
  <c r="T51" i="2"/>
  <c r="V51" i="2" s="1"/>
  <c r="X51" i="2" s="1"/>
  <c r="T21" i="2"/>
  <c r="V21" i="2" s="1"/>
  <c r="X21" i="2" s="1"/>
  <c r="Z21" i="2"/>
  <c r="Z45" i="2"/>
  <c r="T45" i="2"/>
  <c r="V45" i="2" s="1"/>
  <c r="X45" i="2" s="1"/>
  <c r="T70" i="2"/>
  <c r="V70" i="2" s="1"/>
  <c r="X70" i="2" s="1"/>
  <c r="Z70" i="2"/>
  <c r="T29" i="2"/>
  <c r="V29" i="2" s="1"/>
  <c r="X29" i="2" s="1"/>
  <c r="Z29" i="2"/>
  <c r="T10" i="2"/>
  <c r="V10" i="2" s="1"/>
  <c r="X10" i="2" s="1"/>
  <c r="Z10" i="2"/>
  <c r="Z19" i="2"/>
  <c r="T19" i="2"/>
  <c r="V19" i="2" s="1"/>
  <c r="X19" i="2" s="1"/>
  <c r="Z46" i="2"/>
  <c r="T46" i="2"/>
  <c r="V46" i="2" s="1"/>
  <c r="X46" i="2" s="1"/>
  <c r="Z48" i="2"/>
  <c r="T48" i="2"/>
  <c r="V48" i="2" s="1"/>
  <c r="X48" i="2" s="1"/>
  <c r="T55" i="2"/>
  <c r="V55" i="2" s="1"/>
  <c r="X55" i="2" s="1"/>
  <c r="Z55" i="2"/>
  <c r="Z32" i="2"/>
  <c r="T32" i="2"/>
  <c r="V32" i="2" s="1"/>
  <c r="X32" i="2" s="1"/>
  <c r="Z28" i="2"/>
  <c r="T28" i="2"/>
  <c r="V28" i="2" s="1"/>
  <c r="X28" i="2" s="1"/>
  <c r="Z30" i="2"/>
  <c r="T30" i="2"/>
  <c r="V30" i="2" s="1"/>
  <c r="X30" i="2" s="1"/>
  <c r="Z25" i="2"/>
  <c r="T25" i="2"/>
  <c r="V25" i="2" s="1"/>
  <c r="X25" i="2" s="1"/>
  <c r="T23" i="2"/>
  <c r="V23" i="2" s="1"/>
  <c r="X23" i="2" s="1"/>
  <c r="Z23" i="2"/>
  <c r="T75" i="2"/>
  <c r="V75" i="2" s="1"/>
  <c r="X75" i="2" s="1"/>
  <c r="Z75" i="2"/>
  <c r="Z15" i="2"/>
  <c r="T15" i="2"/>
  <c r="V15" i="2" s="1"/>
  <c r="X15" i="2" s="1"/>
  <c r="Z31" i="2"/>
  <c r="T31" i="2"/>
  <c r="V31" i="2" s="1"/>
  <c r="X31" i="2" s="1"/>
  <c r="T81" i="2"/>
  <c r="V81" i="2" s="1"/>
  <c r="X81" i="2" s="1"/>
  <c r="Z81" i="2"/>
  <c r="V8" i="2"/>
  <c r="X8" i="2" s="1"/>
  <c r="Z8" i="2"/>
  <c r="Z73" i="2"/>
  <c r="T73" i="2"/>
  <c r="V73" i="2" s="1"/>
  <c r="X73" i="2" s="1"/>
  <c r="Z11" i="2"/>
  <c r="T11" i="2"/>
  <c r="V11" i="2" s="1"/>
  <c r="X11" i="2" s="1"/>
  <c r="Z13" i="2"/>
  <c r="T13" i="2"/>
  <c r="V13" i="2" s="1"/>
  <c r="X13" i="2" s="1"/>
  <c r="T22" i="2"/>
  <c r="V22" i="2" s="1"/>
  <c r="X22" i="2" s="1"/>
  <c r="Z22" i="2"/>
  <c r="Z56" i="2"/>
  <c r="T56" i="2"/>
  <c r="V56" i="2" s="1"/>
  <c r="X56" i="2" s="1"/>
  <c r="T69" i="2"/>
  <c r="V69" i="2" s="1"/>
  <c r="X69" i="2" s="1"/>
  <c r="Z69" i="2"/>
  <c r="T54" i="2"/>
  <c r="V54" i="2" s="1"/>
  <c r="X54" i="2" s="1"/>
  <c r="Z54" i="2"/>
  <c r="Z36" i="2"/>
  <c r="T36" i="2"/>
  <c r="V36" i="2" s="1"/>
  <c r="X36" i="2" s="1"/>
  <c r="T58" i="2"/>
  <c r="V58" i="2" s="1"/>
  <c r="X58" i="2" s="1"/>
  <c r="Z58" i="2"/>
  <c r="T52" i="2"/>
  <c r="V52" i="2" s="1"/>
  <c r="X52" i="2" s="1"/>
  <c r="Z52" i="2"/>
  <c r="T38" i="2"/>
  <c r="V38" i="2" s="1"/>
  <c r="X38" i="2" s="1"/>
  <c r="Z38" i="2"/>
  <c r="Z79" i="2"/>
  <c r="T79" i="2"/>
  <c r="V79" i="2" s="1"/>
  <c r="X79" i="2" s="1"/>
  <c r="Z67" i="2"/>
  <c r="T67" i="2"/>
  <c r="V67" i="2" s="1"/>
  <c r="X67" i="2" s="1"/>
  <c r="Z44" i="2"/>
  <c r="T44" i="2"/>
  <c r="V44" i="2" s="1"/>
  <c r="X44" i="2" s="1"/>
  <c r="Z57" i="2"/>
  <c r="T57" i="2"/>
  <c r="V57" i="2" s="1"/>
  <c r="X57" i="2" s="1"/>
  <c r="Z9" i="2"/>
  <c r="T9" i="2"/>
  <c r="V9" i="2" s="1"/>
  <c r="X9" i="2" s="1"/>
  <c r="Z78" i="2"/>
  <c r="T78" i="2"/>
  <c r="V78" i="2" s="1"/>
  <c r="X78" i="2" s="1"/>
  <c r="Z65" i="2"/>
  <c r="T65" i="2"/>
  <c r="V65" i="2" s="1"/>
  <c r="X65" i="2" s="1"/>
  <c r="T64" i="2"/>
  <c r="V64" i="2" s="1"/>
  <c r="X64" i="2" s="1"/>
  <c r="Z64" i="2"/>
  <c r="Z62" i="2"/>
  <c r="T62" i="2"/>
  <c r="V62" i="2" s="1"/>
  <c r="X62" i="2" s="1"/>
  <c r="Z17" i="2"/>
  <c r="T17" i="2"/>
  <c r="V17" i="2" s="1"/>
  <c r="X17" i="2" s="1"/>
  <c r="T60" i="2"/>
  <c r="V60" i="2" s="1"/>
  <c r="X60" i="2" s="1"/>
  <c r="Z60" i="2"/>
  <c r="Z20" i="2"/>
  <c r="T20" i="2"/>
  <c r="V20" i="2" s="1"/>
  <c r="X20" i="2" s="1"/>
  <c r="Z84" i="2"/>
  <c r="T84" i="2"/>
  <c r="V84" i="2" s="1"/>
  <c r="X84" i="2" s="1"/>
  <c r="Z34" i="2"/>
  <c r="T34" i="2"/>
  <c r="V34" i="2" s="1"/>
  <c r="X34" i="2" s="1"/>
  <c r="Z63" i="2"/>
  <c r="T63" i="2"/>
  <c r="V63" i="2" s="1"/>
  <c r="X63" i="2" s="1"/>
  <c r="Z33" i="2"/>
  <c r="T33" i="2"/>
  <c r="V33" i="2" s="1"/>
  <c r="X33" i="2" s="1"/>
  <c r="T26" i="2"/>
  <c r="V26" i="2" s="1"/>
  <c r="X26" i="2" s="1"/>
  <c r="Z26" i="2"/>
  <c r="T49" i="2"/>
  <c r="V49" i="2" s="1"/>
  <c r="X49" i="2" s="1"/>
  <c r="Z49" i="2"/>
  <c r="T59" i="2"/>
  <c r="V59" i="2" s="1"/>
  <c r="X59" i="2" s="1"/>
  <c r="Z59" i="2"/>
  <c r="Z68" i="2"/>
  <c r="T68" i="2"/>
  <c r="V68" i="2" s="1"/>
  <c r="X68" i="2" s="1"/>
  <c r="T12" i="2"/>
  <c r="V12" i="2" s="1"/>
  <c r="X12" i="2" s="1"/>
  <c r="Z12" i="2"/>
  <c r="T71" i="2"/>
  <c r="V71" i="2" s="1"/>
  <c r="X71" i="2" s="1"/>
  <c r="Z71" i="2"/>
  <c r="AO39" i="2"/>
  <c r="AE39" i="2"/>
  <c r="B55" i="2"/>
  <c r="B51" i="2"/>
  <c r="B9" i="2"/>
  <c r="B77" i="2"/>
  <c r="B61" i="2"/>
  <c r="B42" i="2"/>
  <c r="B62" i="2"/>
  <c r="B24" i="2"/>
  <c r="B63" i="2"/>
  <c r="B19" i="2"/>
  <c r="B84" i="2"/>
  <c r="B28" i="2"/>
  <c r="B68" i="2"/>
  <c r="B36" i="2"/>
  <c r="B32" i="2"/>
  <c r="B60" i="2"/>
  <c r="B44" i="2"/>
  <c r="B66" i="2"/>
  <c r="B13" i="2"/>
  <c r="B76" i="2"/>
  <c r="B75" i="2"/>
  <c r="B8" i="2"/>
  <c r="B59" i="2"/>
  <c r="B50" i="2"/>
  <c r="B72" i="2"/>
  <c r="B27" i="2"/>
  <c r="B15" i="2"/>
  <c r="B11" i="2"/>
  <c r="B53" i="2"/>
  <c r="B43" i="2"/>
  <c r="B12" i="2"/>
  <c r="B71" i="2"/>
  <c r="B30" i="2"/>
  <c r="B21" i="2"/>
  <c r="B64" i="2"/>
  <c r="B65" i="2"/>
  <c r="B70" i="2"/>
  <c r="B10" i="2"/>
  <c r="B41" i="2"/>
  <c r="B14" i="2"/>
  <c r="B83" i="2"/>
  <c r="B35" i="2"/>
  <c r="B17" i="2"/>
  <c r="B85" i="2"/>
  <c r="B39" i="2"/>
  <c r="B54" i="2"/>
  <c r="B58" i="2"/>
  <c r="B38" i="2"/>
  <c r="B20" i="2"/>
  <c r="B80" i="2"/>
  <c r="B73" i="2"/>
  <c r="B48" i="2"/>
  <c r="B45" i="2"/>
  <c r="B78" i="2"/>
  <c r="B18" i="2"/>
  <c r="B67" i="2"/>
  <c r="B82" i="2"/>
  <c r="B56" i="2"/>
  <c r="B22" i="2"/>
  <c r="B37" i="2"/>
  <c r="B52" i="2"/>
  <c r="B47" i="2"/>
  <c r="B49" i="2"/>
  <c r="B33" i="2"/>
  <c r="B57" i="2"/>
  <c r="B79" i="2"/>
  <c r="B69" i="2"/>
  <c r="B46" i="2"/>
  <c r="B23" i="2"/>
  <c r="B25" i="2"/>
  <c r="B29" i="2"/>
  <c r="B34" i="2"/>
  <c r="B31" i="2"/>
  <c r="B74" i="2"/>
  <c r="B16" i="2"/>
  <c r="B26" i="2"/>
  <c r="B81" i="2"/>
  <c r="B40" i="2"/>
  <c r="O88" i="2"/>
  <c r="O90" i="2"/>
  <c r="O87" i="2"/>
  <c r="O93" i="2"/>
  <c r="O92" i="2"/>
  <c r="O91" i="2"/>
  <c r="AQ70" i="2" l="1"/>
  <c r="AS70" i="2" s="1"/>
  <c r="AE8" i="2"/>
  <c r="AO81" i="2"/>
  <c r="AE81" i="2"/>
  <c r="AO15" i="2"/>
  <c r="AE15" i="2"/>
  <c r="AO23" i="2"/>
  <c r="AE23" i="2"/>
  <c r="AO30" i="2"/>
  <c r="AE30" i="2"/>
  <c r="AO32" i="2"/>
  <c r="AE32" i="2"/>
  <c r="AO67" i="2"/>
  <c r="AE67" i="2"/>
  <c r="AO48" i="2"/>
  <c r="AE48" i="2"/>
  <c r="AO52" i="2"/>
  <c r="AE52" i="2"/>
  <c r="AO58" i="2"/>
  <c r="AE58" i="2"/>
  <c r="AO19" i="2"/>
  <c r="AE19" i="2"/>
  <c r="AO82" i="2"/>
  <c r="AE82" i="2"/>
  <c r="AO27" i="2"/>
  <c r="AE27" i="2"/>
  <c r="AO42" i="2"/>
  <c r="AE42" i="2"/>
  <c r="AO77" i="2"/>
  <c r="AE77" i="2"/>
  <c r="AO24" i="2"/>
  <c r="AE24" i="2"/>
  <c r="AO50" i="2"/>
  <c r="AE50" i="2"/>
  <c r="AO41" i="2"/>
  <c r="AE41" i="2"/>
  <c r="AO14" i="2"/>
  <c r="AE14" i="2"/>
  <c r="AO83" i="2"/>
  <c r="AE83" i="2"/>
  <c r="AO54" i="2"/>
  <c r="AE54" i="2"/>
  <c r="AO69" i="2"/>
  <c r="AE69" i="2"/>
  <c r="AO61" i="2"/>
  <c r="AE61" i="2"/>
  <c r="AO22" i="2"/>
  <c r="AE22" i="2"/>
  <c r="AO13" i="2"/>
  <c r="AE13" i="2"/>
  <c r="AO45" i="2"/>
  <c r="AE45" i="2"/>
  <c r="AO16" i="2"/>
  <c r="AE16" i="2"/>
  <c r="AO73" i="2"/>
  <c r="AE73" i="2"/>
  <c r="AO51" i="2"/>
  <c r="AE51" i="2"/>
  <c r="AO74" i="2"/>
  <c r="AE74" i="2"/>
  <c r="AO12" i="2"/>
  <c r="AE12" i="2"/>
  <c r="AO59" i="2"/>
  <c r="AE59" i="2"/>
  <c r="AO26" i="2"/>
  <c r="AE26" i="2"/>
  <c r="AO63" i="2"/>
  <c r="AE63" i="2"/>
  <c r="AO84" i="2"/>
  <c r="AE84" i="2"/>
  <c r="AO60" i="2"/>
  <c r="AE60" i="2"/>
  <c r="AO62" i="2"/>
  <c r="AE62" i="2"/>
  <c r="AO65" i="2"/>
  <c r="AE65" i="2"/>
  <c r="AO9" i="2"/>
  <c r="AE9" i="2"/>
  <c r="AO44" i="2"/>
  <c r="AE44" i="2"/>
  <c r="AO31" i="2"/>
  <c r="AE31" i="2"/>
  <c r="AO75" i="2"/>
  <c r="AE75" i="2"/>
  <c r="AO25" i="2"/>
  <c r="AE25" i="2"/>
  <c r="AO28" i="2"/>
  <c r="AE28" i="2"/>
  <c r="AO55" i="2"/>
  <c r="AE55" i="2"/>
  <c r="AO79" i="2"/>
  <c r="AE79" i="2"/>
  <c r="AO38" i="2"/>
  <c r="AE38" i="2"/>
  <c r="AO46" i="2"/>
  <c r="AE46" i="2"/>
  <c r="AO36" i="2"/>
  <c r="AE36" i="2"/>
  <c r="AO47" i="2"/>
  <c r="AE47" i="2"/>
  <c r="AO72" i="2"/>
  <c r="AE72" i="2"/>
  <c r="AO76" i="2"/>
  <c r="AE76" i="2"/>
  <c r="AO43" i="2"/>
  <c r="AE43" i="2"/>
  <c r="AO80" i="2"/>
  <c r="AE80" i="2"/>
  <c r="AO40" i="2"/>
  <c r="AE40" i="2"/>
  <c r="AO53" i="2"/>
  <c r="AE53" i="2"/>
  <c r="AO85" i="2"/>
  <c r="AE85" i="2"/>
  <c r="AO37" i="2"/>
  <c r="AE37" i="2"/>
  <c r="AO18" i="2"/>
  <c r="AE18" i="2"/>
  <c r="AO10" i="2"/>
  <c r="AE10" i="2"/>
  <c r="AO56" i="2"/>
  <c r="AE56" i="2"/>
  <c r="AO29" i="2"/>
  <c r="AE29" i="2"/>
  <c r="AO70" i="2"/>
  <c r="AE70" i="2"/>
  <c r="AO35" i="2"/>
  <c r="AE35" i="2"/>
  <c r="AO11" i="2"/>
  <c r="AE11" i="2"/>
  <c r="AO21" i="2"/>
  <c r="AE21" i="2"/>
  <c r="AO66" i="2"/>
  <c r="AE66" i="2"/>
  <c r="AO8" i="2"/>
  <c r="AO71" i="2"/>
  <c r="AE71" i="2"/>
  <c r="AO68" i="2"/>
  <c r="AE68" i="2"/>
  <c r="AO49" i="2"/>
  <c r="AE49" i="2"/>
  <c r="AO33" i="2"/>
  <c r="AE33" i="2"/>
  <c r="AO34" i="2"/>
  <c r="AE34" i="2"/>
  <c r="AO20" i="2"/>
  <c r="AE20" i="2"/>
  <c r="AO17" i="2"/>
  <c r="AE17" i="2"/>
  <c r="AO64" i="2"/>
  <c r="AE64" i="2"/>
  <c r="AO78" i="2"/>
  <c r="AE78" i="2"/>
  <c r="AO57" i="2"/>
  <c r="AE57" i="2"/>
  <c r="O89" i="2"/>
  <c r="S55" i="3" l="1"/>
  <c r="S84" i="3"/>
  <c r="S54" i="3"/>
  <c r="S83" i="3"/>
  <c r="S50" i="3"/>
  <c r="S60" i="3"/>
  <c r="S53" i="3"/>
  <c r="S66" i="3"/>
  <c r="S56" i="3"/>
  <c r="S65" i="3"/>
  <c r="S69" i="3"/>
  <c r="S77" i="3"/>
  <c r="S67" i="3"/>
  <c r="S52" i="3"/>
  <c r="S79" i="3"/>
  <c r="S75" i="3"/>
  <c r="S74" i="3"/>
  <c r="S64" i="3"/>
  <c r="S58" i="3"/>
  <c r="S73" i="3"/>
  <c r="S82" i="3"/>
  <c r="S57" i="3"/>
  <c r="S7" i="3"/>
  <c r="AG57" i="2"/>
  <c r="AQ106" i="2"/>
  <c r="AS106" i="2" s="1"/>
  <c r="AG78" i="2"/>
  <c r="AI78" i="2" s="1"/>
  <c r="AQ148" i="2"/>
  <c r="AS148" i="2" s="1"/>
  <c r="AQ90" i="2"/>
  <c r="AS90" i="2" s="1"/>
  <c r="AQ134" i="2"/>
  <c r="AS134" i="2" s="1"/>
  <c r="AQ120" i="2"/>
  <c r="AS120" i="2" s="1"/>
  <c r="AQ32" i="2"/>
  <c r="AS32" i="2" s="1"/>
  <c r="AQ58" i="2"/>
  <c r="AS58" i="2" s="1"/>
  <c r="AG68" i="2"/>
  <c r="AI68" i="2" s="1"/>
  <c r="AQ128" i="2"/>
  <c r="AS128" i="2" s="1"/>
  <c r="AG66" i="2"/>
  <c r="AI66" i="2" s="1"/>
  <c r="AQ124" i="2"/>
  <c r="AS124" i="2" s="1"/>
  <c r="AQ14" i="2"/>
  <c r="AS14" i="2" s="1"/>
  <c r="AQ132" i="2"/>
  <c r="AS132" i="2" s="1"/>
  <c r="AF56" i="2"/>
  <c r="AH56" i="2" s="1"/>
  <c r="AQ104" i="2"/>
  <c r="AS104" i="2" s="1"/>
  <c r="AQ28" i="2"/>
  <c r="AS28" i="2" s="1"/>
  <c r="AF85" i="2"/>
  <c r="AQ72" i="2"/>
  <c r="AS72" i="2" s="1"/>
  <c r="AQ78" i="2"/>
  <c r="AS78" i="2" s="1"/>
  <c r="AQ136" i="2"/>
  <c r="AS136" i="2" s="1"/>
  <c r="AQ64" i="2"/>
  <c r="AS64" i="2" s="1"/>
  <c r="AQ68" i="2"/>
  <c r="AS68" i="2" s="1"/>
  <c r="AQ102" i="2"/>
  <c r="AS102" i="2" s="1"/>
  <c r="AQ42" i="2"/>
  <c r="AS42" i="2" s="1"/>
  <c r="AQ54" i="2"/>
  <c r="AS54" i="2" s="1"/>
  <c r="AQ10" i="2"/>
  <c r="AS10" i="2" s="1"/>
  <c r="AQ116" i="2"/>
  <c r="AS116" i="2" s="1"/>
  <c r="AG84" i="2"/>
  <c r="AQ44" i="2"/>
  <c r="AS44" i="2" s="1"/>
  <c r="AQ16" i="2"/>
  <c r="AS16" i="2" s="1"/>
  <c r="AF51" i="2"/>
  <c r="AH51" i="2" s="1"/>
  <c r="AJ51" i="2" s="1"/>
  <c r="AQ94" i="2"/>
  <c r="AS94" i="2" s="1"/>
  <c r="AQ24" i="2"/>
  <c r="AS24" i="2" s="1"/>
  <c r="AQ18" i="2"/>
  <c r="AS18" i="2" s="1"/>
  <c r="AG61" i="2"/>
  <c r="AI61" i="2" s="1"/>
  <c r="AQ114" i="2"/>
  <c r="AS114" i="2" s="1"/>
  <c r="AF54" i="2"/>
  <c r="AQ100" i="2"/>
  <c r="AS100" i="2" s="1"/>
  <c r="AQ20" i="2"/>
  <c r="AS20" i="2" s="1"/>
  <c r="AQ92" i="2"/>
  <c r="AS92" i="2" s="1"/>
  <c r="AQ146" i="2"/>
  <c r="AS146" i="2" s="1"/>
  <c r="AQ46" i="2"/>
  <c r="AS46" i="2" s="1"/>
  <c r="AQ30" i="2"/>
  <c r="AS30" i="2" s="1"/>
  <c r="AQ96" i="2"/>
  <c r="AS96" i="2" s="1"/>
  <c r="AQ126" i="2"/>
  <c r="AS126" i="2" s="1"/>
  <c r="AQ52" i="2"/>
  <c r="AS52" i="2" s="1"/>
  <c r="AQ22" i="2"/>
  <c r="AS22" i="2" s="1"/>
  <c r="AQ8" i="2"/>
  <c r="AS8" i="2" s="1"/>
  <c r="AQ26" i="2"/>
  <c r="AS26" i="2" s="1"/>
  <c r="AQ60" i="2"/>
  <c r="AS60" i="2" s="1"/>
  <c r="AQ34" i="2"/>
  <c r="AS34" i="2" s="1"/>
  <c r="AQ62" i="2"/>
  <c r="AS62" i="2" s="1"/>
  <c r="AQ50" i="2"/>
  <c r="AS50" i="2" s="1"/>
  <c r="AQ12" i="2"/>
  <c r="AS12" i="2" s="1"/>
  <c r="AQ66" i="2"/>
  <c r="AS66" i="2" s="1"/>
  <c r="AF53" i="2"/>
  <c r="AH53" i="2" s="1"/>
  <c r="AQ98" i="2"/>
  <c r="AS98" i="2" s="1"/>
  <c r="AG80" i="2"/>
  <c r="AI80" i="2" s="1"/>
  <c r="AQ152" i="2"/>
  <c r="AS152" i="2" s="1"/>
  <c r="AG76" i="2"/>
  <c r="AI76" i="2" s="1"/>
  <c r="AQ144" i="2"/>
  <c r="AS144" i="2" s="1"/>
  <c r="AQ86" i="2"/>
  <c r="AS86" i="2" s="1"/>
  <c r="AQ84" i="2"/>
  <c r="AS84" i="2" s="1"/>
  <c r="AQ150" i="2"/>
  <c r="AS150" i="2" s="1"/>
  <c r="AQ48" i="2"/>
  <c r="AS48" i="2" s="1"/>
  <c r="AF75" i="2"/>
  <c r="AH75" i="2" s="1"/>
  <c r="AQ142" i="2"/>
  <c r="AS142" i="2" s="1"/>
  <c r="AQ80" i="2"/>
  <c r="AS80" i="2" s="1"/>
  <c r="AQ122" i="2"/>
  <c r="AS122" i="2" s="1"/>
  <c r="AQ112" i="2"/>
  <c r="AS112" i="2" s="1"/>
  <c r="AQ118" i="2"/>
  <c r="AS118" i="2" s="1"/>
  <c r="AF59" i="2"/>
  <c r="AH59" i="2" s="1"/>
  <c r="AQ110" i="2"/>
  <c r="AS110" i="2" s="1"/>
  <c r="AQ140" i="2"/>
  <c r="AS140" i="2" s="1"/>
  <c r="AQ138" i="2"/>
  <c r="AS138" i="2" s="1"/>
  <c r="AQ82" i="2"/>
  <c r="AS82" i="2" s="1"/>
  <c r="AQ36" i="2"/>
  <c r="AS36" i="2" s="1"/>
  <c r="AQ130" i="2"/>
  <c r="AS130" i="2" s="1"/>
  <c r="AG83" i="2"/>
  <c r="AI83" i="2" s="1"/>
  <c r="AQ74" i="2"/>
  <c r="AS74" i="2" s="1"/>
  <c r="AQ40" i="2"/>
  <c r="AS40" i="2" s="1"/>
  <c r="AQ76" i="2"/>
  <c r="AS76" i="2" s="1"/>
  <c r="AQ108" i="2"/>
  <c r="AS108" i="2" s="1"/>
  <c r="AQ88" i="2"/>
  <c r="AS88" i="2" s="1"/>
  <c r="AQ56" i="2"/>
  <c r="AS56" i="2" s="1"/>
  <c r="AQ38" i="2"/>
  <c r="AS38" i="2" s="1"/>
  <c r="AQ154" i="2"/>
  <c r="AS154" i="2" s="1"/>
  <c r="AR70" i="2"/>
  <c r="AF8" i="2"/>
  <c r="AF66" i="2"/>
  <c r="AF80" i="2"/>
  <c r="AF57" i="2"/>
  <c r="AG65" i="2"/>
  <c r="AI65" i="2" s="1"/>
  <c r="AF83" i="2"/>
  <c r="AF74" i="2"/>
  <c r="AG53" i="2"/>
  <c r="AI53" i="2" s="1"/>
  <c r="AF78" i="2"/>
  <c r="AG85" i="2"/>
  <c r="AI85" i="2" s="1"/>
  <c r="AG59" i="2"/>
  <c r="AI59" i="2" s="1"/>
  <c r="AG56" i="2"/>
  <c r="AI56" i="2" s="1"/>
  <c r="AF65" i="2"/>
  <c r="AG74" i="2"/>
  <c r="AI74" i="2" s="1"/>
  <c r="AG70" i="2"/>
  <c r="AI70" i="2" s="1"/>
  <c r="AF67" i="2"/>
  <c r="AG54" i="2"/>
  <c r="AI54" i="2" s="1"/>
  <c r="AF68" i="2"/>
  <c r="AF58" i="2"/>
  <c r="AG58" i="2"/>
  <c r="AI58" i="2" s="1"/>
  <c r="AG8" i="2"/>
  <c r="AG55" i="2"/>
  <c r="AI55" i="2" s="1"/>
  <c r="AG75" i="2"/>
  <c r="AI75" i="2" s="1"/>
  <c r="AG51" i="2"/>
  <c r="AI51" i="2" s="1"/>
  <c r="AF61" i="2"/>
  <c r="AG67" i="2"/>
  <c r="AI67" i="2" s="1"/>
  <c r="AF70" i="2"/>
  <c r="AF84" i="2"/>
  <c r="AF76" i="2"/>
  <c r="AF55" i="2"/>
  <c r="AI57" i="2"/>
  <c r="AI84" i="2"/>
  <c r="AR144" i="2" l="1"/>
  <c r="AR16" i="2"/>
  <c r="AR140" i="2"/>
  <c r="AR82" i="2"/>
  <c r="AR84" i="2"/>
  <c r="AR130" i="2"/>
  <c r="AR48" i="2"/>
  <c r="AR104" i="2"/>
  <c r="AH70" i="2"/>
  <c r="AJ70" i="2" s="1"/>
  <c r="AT133" i="2"/>
  <c r="AV133" i="2" s="1"/>
  <c r="AT109" i="2"/>
  <c r="AV109" i="2" s="1"/>
  <c r="AH74" i="2"/>
  <c r="AJ74" i="2" s="1"/>
  <c r="AT141" i="2"/>
  <c r="AV141" i="2" s="1"/>
  <c r="AH80" i="2"/>
  <c r="AJ80" i="2" s="1"/>
  <c r="AT153" i="2"/>
  <c r="AV153" i="2" s="1"/>
  <c r="AT101" i="2"/>
  <c r="AV101" i="2" s="1"/>
  <c r="AH54" i="2"/>
  <c r="AR38" i="2"/>
  <c r="AR88" i="2"/>
  <c r="AR40" i="2"/>
  <c r="AR118" i="2"/>
  <c r="AR122" i="2"/>
  <c r="AR142" i="2"/>
  <c r="AR66" i="2"/>
  <c r="AR50" i="2"/>
  <c r="AR34" i="2"/>
  <c r="AR26" i="2"/>
  <c r="AR22" i="2"/>
  <c r="AR126" i="2"/>
  <c r="AR30" i="2"/>
  <c r="AR146" i="2"/>
  <c r="AR20" i="2"/>
  <c r="AR18" i="2"/>
  <c r="AR94" i="2"/>
  <c r="AR10" i="2"/>
  <c r="AR42" i="2"/>
  <c r="AR68" i="2"/>
  <c r="AR136" i="2"/>
  <c r="AR72" i="2"/>
  <c r="AT105" i="2"/>
  <c r="AV105" i="2" s="1"/>
  <c r="AR14" i="2"/>
  <c r="AR58" i="2"/>
  <c r="AR120" i="2"/>
  <c r="AR90" i="2"/>
  <c r="AT145" i="2"/>
  <c r="AV145" i="2" s="1"/>
  <c r="AT115" i="2"/>
  <c r="AV115" i="2" s="1"/>
  <c r="AT123" i="2"/>
  <c r="AV123" i="2" s="1"/>
  <c r="AT149" i="2"/>
  <c r="AV149" i="2" s="1"/>
  <c r="AH8" i="2"/>
  <c r="AJ8" i="2" s="1"/>
  <c r="AT9" i="2"/>
  <c r="AV9" i="2" s="1"/>
  <c r="AR36" i="2"/>
  <c r="AR138" i="2"/>
  <c r="AR110" i="2"/>
  <c r="AT143" i="2"/>
  <c r="AV143" i="2" s="1"/>
  <c r="AR150" i="2"/>
  <c r="AR86" i="2"/>
  <c r="AR98" i="2"/>
  <c r="AR114" i="2"/>
  <c r="AT95" i="2"/>
  <c r="AV95" i="2" s="1"/>
  <c r="AR44" i="2"/>
  <c r="AR28" i="2"/>
  <c r="AR128" i="2"/>
  <c r="AR106" i="2"/>
  <c r="AT103" i="2"/>
  <c r="AV103" i="2" s="1"/>
  <c r="AT129" i="2"/>
  <c r="AV129" i="2" s="1"/>
  <c r="AH83" i="2"/>
  <c r="AJ83" i="2" s="1"/>
  <c r="AT125" i="2"/>
  <c r="AV125" i="2" s="1"/>
  <c r="AH85" i="2"/>
  <c r="AJ85" i="2" s="1"/>
  <c r="AH67" i="2"/>
  <c r="AJ67" i="2" s="1"/>
  <c r="AT127" i="2"/>
  <c r="AV127" i="2" s="1"/>
  <c r="AH57" i="2"/>
  <c r="AJ57" i="2" s="1"/>
  <c r="AT107" i="2"/>
  <c r="AV107" i="2" s="1"/>
  <c r="AR154" i="2"/>
  <c r="AR56" i="2"/>
  <c r="AR108" i="2"/>
  <c r="AR76" i="2"/>
  <c r="AR74" i="2"/>
  <c r="AT111" i="2"/>
  <c r="AV111" i="2" s="1"/>
  <c r="AR112" i="2"/>
  <c r="AR80" i="2"/>
  <c r="AR152" i="2"/>
  <c r="AT99" i="2"/>
  <c r="AV99" i="2" s="1"/>
  <c r="AR12" i="2"/>
  <c r="AR62" i="2"/>
  <c r="AR60" i="2"/>
  <c r="AR8" i="2"/>
  <c r="AR52" i="2"/>
  <c r="AR96" i="2"/>
  <c r="AR46" i="2"/>
  <c r="AR92" i="2"/>
  <c r="AR100" i="2"/>
  <c r="AR24" i="2"/>
  <c r="AR116" i="2"/>
  <c r="AR54" i="2"/>
  <c r="AR102" i="2"/>
  <c r="AR64" i="2"/>
  <c r="AR78" i="2"/>
  <c r="AR132" i="2"/>
  <c r="AR124" i="2"/>
  <c r="AR32" i="2"/>
  <c r="AR134" i="2"/>
  <c r="AR148" i="2"/>
  <c r="AI8" i="2"/>
  <c r="AH66" i="2"/>
  <c r="AJ66" i="2" s="1"/>
  <c r="AH78" i="2"/>
  <c r="AJ78" i="2" s="1"/>
  <c r="AH65" i="2"/>
  <c r="AJ65" i="2" s="1"/>
  <c r="AH58" i="2"/>
  <c r="AJ58" i="2" s="1"/>
  <c r="AH55" i="2"/>
  <c r="AJ55" i="2" s="1"/>
  <c r="AH84" i="2"/>
  <c r="AJ84" i="2" s="1"/>
  <c r="AH68" i="2"/>
  <c r="AJ68" i="2" s="1"/>
  <c r="AH61" i="2"/>
  <c r="AJ61" i="2" s="1"/>
  <c r="AH76" i="2"/>
  <c r="AJ76" i="2" s="1"/>
  <c r="AJ54" i="2"/>
  <c r="AJ59" i="2"/>
  <c r="AJ56" i="2"/>
  <c r="AJ75" i="2"/>
  <c r="AJ53" i="2"/>
  <c r="AU111" i="2" l="1"/>
  <c r="AU125" i="2"/>
  <c r="AU101" i="2"/>
  <c r="AU109" i="2"/>
  <c r="AU129" i="2"/>
  <c r="AU143" i="2"/>
  <c r="AU149" i="2"/>
  <c r="AU105" i="2"/>
  <c r="AU141" i="2"/>
  <c r="AU127" i="2"/>
  <c r="AU9" i="2"/>
  <c r="AU153" i="2"/>
  <c r="AU133" i="2"/>
  <c r="AU115" i="2"/>
  <c r="AU99" i="2"/>
  <c r="AU107" i="2"/>
  <c r="AU103" i="2"/>
  <c r="AU95" i="2"/>
  <c r="AU123" i="2"/>
  <c r="AU145" i="2"/>
  <c r="S72" i="3"/>
  <c r="S17" i="3"/>
  <c r="AG29" i="2"/>
  <c r="S28" i="3"/>
  <c r="AG62" i="2"/>
  <c r="AI62" i="2" s="1"/>
  <c r="S61" i="3"/>
  <c r="AF11" i="2"/>
  <c r="S10" i="3"/>
  <c r="AG24" i="2"/>
  <c r="AI24" i="2" s="1"/>
  <c r="S23" i="3"/>
  <c r="AF15" i="2"/>
  <c r="S14" i="3"/>
  <c r="S34" i="3"/>
  <c r="S25" i="3"/>
  <c r="AG10" i="2"/>
  <c r="S9" i="3"/>
  <c r="AF48" i="2"/>
  <c r="S47" i="3"/>
  <c r="S24" i="3"/>
  <c r="AF81" i="2"/>
  <c r="S80" i="3"/>
  <c r="AG19" i="2"/>
  <c r="S18" i="3"/>
  <c r="AF27" i="2"/>
  <c r="S26" i="3"/>
  <c r="AG69" i="2"/>
  <c r="AI69" i="2" s="1"/>
  <c r="S68" i="3"/>
  <c r="S71" i="3"/>
  <c r="AG33" i="2"/>
  <c r="AI33" i="2" s="1"/>
  <c r="S32" i="3"/>
  <c r="AG30" i="2"/>
  <c r="AI30" i="2" s="1"/>
  <c r="S29" i="3"/>
  <c r="S15" i="3"/>
  <c r="AG71" i="2"/>
  <c r="AI71" i="2" s="1"/>
  <c r="S70" i="3"/>
  <c r="S62" i="3"/>
  <c r="S16" i="3"/>
  <c r="AG79" i="2"/>
  <c r="S78" i="3"/>
  <c r="AG34" i="2"/>
  <c r="S33" i="3"/>
  <c r="AF28" i="2"/>
  <c r="S27" i="3"/>
  <c r="S20" i="3"/>
  <c r="S8" i="3"/>
  <c r="S49" i="3"/>
  <c r="AF60" i="2"/>
  <c r="S59" i="3"/>
  <c r="AG47" i="2"/>
  <c r="S46" i="3"/>
  <c r="S51" i="3"/>
  <c r="S76" i="3"/>
  <c r="AG49" i="2"/>
  <c r="S48" i="3"/>
  <c r="S30" i="3"/>
  <c r="AF20" i="2"/>
  <c r="S19" i="3"/>
  <c r="S13" i="3"/>
  <c r="AF22" i="2"/>
  <c r="S21" i="3"/>
  <c r="AG82" i="2"/>
  <c r="AI82" i="2" s="1"/>
  <c r="S81" i="3"/>
  <c r="AF32" i="2"/>
  <c r="S31" i="3"/>
  <c r="AG12" i="2"/>
  <c r="S11" i="3"/>
  <c r="AG13" i="2"/>
  <c r="S12" i="3"/>
  <c r="AF23" i="2"/>
  <c r="S22" i="3"/>
  <c r="AF24" i="2"/>
  <c r="S63" i="3"/>
  <c r="AH23" i="2" l="1"/>
  <c r="AT39" i="2"/>
  <c r="AV39" i="2" s="1"/>
  <c r="AT47" i="2"/>
  <c r="AV47" i="2" s="1"/>
  <c r="AT155" i="2"/>
  <c r="AV155" i="2" s="1"/>
  <c r="AT89" i="2"/>
  <c r="AV89" i="2" s="1"/>
  <c r="AT33" i="2"/>
  <c r="AV33" i="2" s="1"/>
  <c r="AT41" i="2"/>
  <c r="AV41" i="2" s="1"/>
  <c r="AT57" i="2"/>
  <c r="AV57" i="2" s="1"/>
  <c r="AT37" i="2"/>
  <c r="AV37" i="2" s="1"/>
  <c r="AT113" i="2"/>
  <c r="AV113" i="2" s="1"/>
  <c r="AH15" i="2"/>
  <c r="AT23" i="2"/>
  <c r="AV23" i="2" s="1"/>
  <c r="AT15" i="2"/>
  <c r="AV15" i="2" s="1"/>
  <c r="AT49" i="2"/>
  <c r="AV49" i="2" s="1"/>
  <c r="AF72" i="2"/>
  <c r="AG9" i="2"/>
  <c r="AI9" i="2" s="1"/>
  <c r="AF77" i="2"/>
  <c r="AF29" i="2"/>
  <c r="AG26" i="2"/>
  <c r="AI26" i="2" s="1"/>
  <c r="AF73" i="2"/>
  <c r="AG27" i="2"/>
  <c r="AI27" i="2" s="1"/>
  <c r="AG73" i="2"/>
  <c r="AI73" i="2" s="1"/>
  <c r="AF12" i="2"/>
  <c r="AG17" i="2"/>
  <c r="AI17" i="2" s="1"/>
  <c r="AF50" i="2"/>
  <c r="AG15" i="2"/>
  <c r="AI15" i="2" s="1"/>
  <c r="AG21" i="2"/>
  <c r="AI21" i="2" s="1"/>
  <c r="AG72" i="2"/>
  <c r="AI72" i="2" s="1"/>
  <c r="AF47" i="2"/>
  <c r="AG77" i="2"/>
  <c r="AI77" i="2" s="1"/>
  <c r="AG11" i="2"/>
  <c r="AI11" i="2" s="1"/>
  <c r="AG81" i="2"/>
  <c r="AI81" i="2" s="1"/>
  <c r="AF26" i="2"/>
  <c r="AG48" i="2"/>
  <c r="AI48" i="2" s="1"/>
  <c r="AG50" i="2"/>
  <c r="AI50" i="2" s="1"/>
  <c r="AF34" i="2"/>
  <c r="AF17" i="2"/>
  <c r="AF71" i="2"/>
  <c r="AG63" i="2"/>
  <c r="AI63" i="2" s="1"/>
  <c r="AF25" i="2"/>
  <c r="AG52" i="2"/>
  <c r="AI52" i="2" s="1"/>
  <c r="AG16" i="2"/>
  <c r="AI16" i="2" s="1"/>
  <c r="AG25" i="2"/>
  <c r="AI25" i="2" s="1"/>
  <c r="AF21" i="2"/>
  <c r="AF9" i="2"/>
  <c r="AG22" i="2"/>
  <c r="AI22" i="2" s="1"/>
  <c r="AH28" i="2"/>
  <c r="AJ28" i="2" s="1"/>
  <c r="AF18" i="2"/>
  <c r="AF49" i="2"/>
  <c r="AF19" i="2"/>
  <c r="AF16" i="2"/>
  <c r="AF13" i="2"/>
  <c r="AF35" i="2"/>
  <c r="AG60" i="2"/>
  <c r="AI60" i="2" s="1"/>
  <c r="AF79" i="2"/>
  <c r="AG35" i="2"/>
  <c r="AI35" i="2" s="1"/>
  <c r="AF63" i="2"/>
  <c r="AG18" i="2"/>
  <c r="AI18" i="2" s="1"/>
  <c r="AF33" i="2"/>
  <c r="AG20" i="2"/>
  <c r="AI20" i="2" s="1"/>
  <c r="AG32" i="2"/>
  <c r="AI32" i="2" s="1"/>
  <c r="AF52" i="2"/>
  <c r="AG14" i="2"/>
  <c r="AI14" i="2" s="1"/>
  <c r="AF30" i="2"/>
  <c r="AG28" i="2"/>
  <c r="AI28" i="2" s="1"/>
  <c r="AF69" i="2"/>
  <c r="AT131" i="2" s="1"/>
  <c r="AF10" i="2"/>
  <c r="AG23" i="2"/>
  <c r="AI23" i="2" s="1"/>
  <c r="AF62" i="2"/>
  <c r="AF14" i="2"/>
  <c r="AF82" i="2"/>
  <c r="AG31" i="2"/>
  <c r="AI31" i="2" s="1"/>
  <c r="AF31" i="2"/>
  <c r="AH24" i="2"/>
  <c r="AJ24" i="2" s="1"/>
  <c r="AJ15" i="2"/>
  <c r="AI79" i="2"/>
  <c r="AI29" i="2"/>
  <c r="AI47" i="2"/>
  <c r="AI10" i="2"/>
  <c r="AI34" i="2"/>
  <c r="AJ23" i="2"/>
  <c r="AF64" i="2"/>
  <c r="AH81" i="2"/>
  <c r="AJ81" i="2" s="1"/>
  <c r="AH48" i="2"/>
  <c r="AH27" i="2"/>
  <c r="AH20" i="2"/>
  <c r="AH32" i="2"/>
  <c r="AH11" i="2"/>
  <c r="AH22" i="2"/>
  <c r="AH60" i="2"/>
  <c r="AI12" i="2"/>
  <c r="AI49" i="2"/>
  <c r="AI19" i="2"/>
  <c r="AI13" i="2"/>
  <c r="AG64" i="2"/>
  <c r="AU23" i="2" l="1"/>
  <c r="AU37" i="2"/>
  <c r="AU49" i="2"/>
  <c r="AU47" i="2"/>
  <c r="AU89" i="2"/>
  <c r="AU41" i="2"/>
  <c r="AH13" i="2"/>
  <c r="AJ13" i="2" s="1"/>
  <c r="AT19" i="2"/>
  <c r="AV19" i="2" s="1"/>
  <c r="AH18" i="2"/>
  <c r="AJ18" i="2" s="1"/>
  <c r="AT29" i="2"/>
  <c r="AV29" i="2" s="1"/>
  <c r="AH21" i="2"/>
  <c r="AJ21" i="2" s="1"/>
  <c r="AT35" i="2"/>
  <c r="AV35" i="2" s="1"/>
  <c r="AT43" i="2"/>
  <c r="AV43" i="2" s="1"/>
  <c r="AT61" i="2"/>
  <c r="AV61" i="2" s="1"/>
  <c r="AH73" i="2"/>
  <c r="AJ73" i="2" s="1"/>
  <c r="AT139" i="2"/>
  <c r="AV139" i="2" s="1"/>
  <c r="AT121" i="2"/>
  <c r="AV121" i="2" s="1"/>
  <c r="AH82" i="2"/>
  <c r="AJ82" i="2" s="1"/>
  <c r="AT13" i="2"/>
  <c r="AV13" i="2" s="1"/>
  <c r="AT59" i="2"/>
  <c r="AV59" i="2" s="1"/>
  <c r="AT151" i="2"/>
  <c r="AV151" i="2" s="1"/>
  <c r="AH16" i="2"/>
  <c r="AJ16" i="2" s="1"/>
  <c r="AT25" i="2"/>
  <c r="AV25" i="2" s="1"/>
  <c r="AH12" i="2"/>
  <c r="AJ12" i="2" s="1"/>
  <c r="AT17" i="2"/>
  <c r="AV17" i="2" s="1"/>
  <c r="AH72" i="2"/>
  <c r="AJ72" i="2" s="1"/>
  <c r="AT137" i="2"/>
  <c r="AV137" i="2" s="1"/>
  <c r="AU15" i="2"/>
  <c r="AH30" i="2"/>
  <c r="AJ30" i="2" s="1"/>
  <c r="AT53" i="2"/>
  <c r="AV53" i="2" s="1"/>
  <c r="AT21" i="2"/>
  <c r="AV21" i="2" s="1"/>
  <c r="AH52" i="2"/>
  <c r="AJ52" i="2" s="1"/>
  <c r="AT97" i="2"/>
  <c r="AV97" i="2" s="1"/>
  <c r="AH71" i="2"/>
  <c r="AJ71" i="2" s="1"/>
  <c r="AT135" i="2"/>
  <c r="AV135" i="2" s="1"/>
  <c r="AH29" i="2"/>
  <c r="AJ29" i="2" s="1"/>
  <c r="AT51" i="2"/>
  <c r="AV51" i="2" s="1"/>
  <c r="AU113" i="2"/>
  <c r="AU57" i="2"/>
  <c r="AU33" i="2"/>
  <c r="AU155" i="2"/>
  <c r="AU39" i="2"/>
  <c r="AH69" i="2"/>
  <c r="AJ69" i="2" s="1"/>
  <c r="AV131" i="2"/>
  <c r="AH19" i="2"/>
  <c r="AJ19" i="2" s="1"/>
  <c r="AT31" i="2"/>
  <c r="AV31" i="2" s="1"/>
  <c r="AT55" i="2"/>
  <c r="AV55" i="2" s="1"/>
  <c r="AH62" i="2"/>
  <c r="AJ62" i="2" s="1"/>
  <c r="AT117" i="2"/>
  <c r="AV117" i="2" s="1"/>
  <c r="AT119" i="2"/>
  <c r="AV119" i="2" s="1"/>
  <c r="AH35" i="2"/>
  <c r="AJ35" i="2" s="1"/>
  <c r="AT63" i="2"/>
  <c r="AV63" i="2" s="1"/>
  <c r="AT91" i="2"/>
  <c r="AV91" i="2" s="1"/>
  <c r="AT11" i="2"/>
  <c r="AV11" i="2" s="1"/>
  <c r="AH17" i="2"/>
  <c r="AJ17" i="2" s="1"/>
  <c r="AT27" i="2"/>
  <c r="AV27" i="2" s="1"/>
  <c r="AT45" i="2"/>
  <c r="AV45" i="2" s="1"/>
  <c r="AH47" i="2"/>
  <c r="AJ47" i="2" s="1"/>
  <c r="AT87" i="2"/>
  <c r="AV87" i="2" s="1"/>
  <c r="AT93" i="2"/>
  <c r="AV93" i="2" s="1"/>
  <c r="AT147" i="2"/>
  <c r="AV147" i="2" s="1"/>
  <c r="AH34" i="2"/>
  <c r="AJ34" i="2" s="1"/>
  <c r="AH63" i="2"/>
  <c r="AJ63" i="2" s="1"/>
  <c r="AH77" i="2"/>
  <c r="AJ77" i="2" s="1"/>
  <c r="AH25" i="2"/>
  <c r="AJ25" i="2" s="1"/>
  <c r="AH49" i="2"/>
  <c r="AJ49" i="2" s="1"/>
  <c r="AH50" i="2"/>
  <c r="AJ50" i="2" s="1"/>
  <c r="AH9" i="2"/>
  <c r="AJ9" i="2" s="1"/>
  <c r="AH10" i="2"/>
  <c r="AJ10" i="2" s="1"/>
  <c r="AH33" i="2"/>
  <c r="AJ33" i="2" s="1"/>
  <c r="AH26" i="2"/>
  <c r="AJ26" i="2" s="1"/>
  <c r="AH79" i="2"/>
  <c r="AJ79" i="2" s="1"/>
  <c r="AH14" i="2"/>
  <c r="AJ14" i="2" s="1"/>
  <c r="AH31" i="2"/>
  <c r="AJ31" i="2" s="1"/>
  <c r="AH64" i="2"/>
  <c r="AJ20" i="2"/>
  <c r="AJ11" i="2"/>
  <c r="AJ22" i="2"/>
  <c r="AJ32" i="2"/>
  <c r="AJ27" i="2"/>
  <c r="AJ48" i="2"/>
  <c r="AJ60" i="2"/>
  <c r="AI64" i="2"/>
  <c r="AU93" i="2" l="1"/>
  <c r="AU45" i="2"/>
  <c r="AU97" i="2"/>
  <c r="AU91" i="2"/>
  <c r="AU119" i="2"/>
  <c r="AU25" i="2"/>
  <c r="AU59" i="2"/>
  <c r="AU31" i="2"/>
  <c r="AU17" i="2"/>
  <c r="AU35" i="2"/>
  <c r="AU21" i="2"/>
  <c r="AU121" i="2"/>
  <c r="AU61" i="2"/>
  <c r="AU147" i="2"/>
  <c r="AU87" i="2"/>
  <c r="AU11" i="2"/>
  <c r="AU63" i="2"/>
  <c r="AU55" i="2"/>
  <c r="AU135" i="2"/>
  <c r="AU53" i="2"/>
  <c r="AU137" i="2"/>
  <c r="AU139" i="2"/>
  <c r="AU27" i="2"/>
  <c r="AU117" i="2"/>
  <c r="AU131" i="2"/>
  <c r="AU51" i="2"/>
  <c r="AU151" i="2"/>
  <c r="AU13" i="2"/>
  <c r="AU43" i="2"/>
  <c r="AU19" i="2"/>
  <c r="AU29" i="2"/>
  <c r="AJ64" i="2"/>
  <c r="S41" i="3" l="1"/>
  <c r="AG42" i="2"/>
  <c r="S42" i="3"/>
  <c r="S35" i="3"/>
  <c r="AF36" i="2"/>
  <c r="S40" i="3"/>
  <c r="AF41" i="2"/>
  <c r="S37" i="3"/>
  <c r="AF37" i="2"/>
  <c r="S36" i="3"/>
  <c r="S38" i="3"/>
  <c r="AF39" i="2"/>
  <c r="S39" i="3"/>
  <c r="S43" i="3"/>
  <c r="S45" i="3"/>
  <c r="AT71" i="2" l="1"/>
  <c r="AV71" i="2" s="1"/>
  <c r="AT75" i="2"/>
  <c r="AV75" i="2" s="1"/>
  <c r="AT67" i="2"/>
  <c r="AV67" i="2" s="1"/>
  <c r="AT65" i="2"/>
  <c r="AV65" i="2" s="1"/>
  <c r="AF38" i="2"/>
  <c r="AF43" i="2"/>
  <c r="AG38" i="2"/>
  <c r="AI38" i="2" s="1"/>
  <c r="AF42" i="2"/>
  <c r="AG43" i="2"/>
  <c r="AI43" i="2" s="1"/>
  <c r="AG39" i="2"/>
  <c r="AI39" i="2" s="1"/>
  <c r="AG37" i="2"/>
  <c r="AI37" i="2" s="1"/>
  <c r="AG36" i="2"/>
  <c r="AI36" i="2" s="1"/>
  <c r="AG41" i="2"/>
  <c r="AI41" i="2" s="1"/>
  <c r="AH36" i="2"/>
  <c r="AJ36" i="2" s="1"/>
  <c r="AF44" i="2"/>
  <c r="AH39" i="2"/>
  <c r="AF46" i="2"/>
  <c r="AF40" i="2"/>
  <c r="AH37" i="2"/>
  <c r="AH41" i="2"/>
  <c r="AI42" i="2"/>
  <c r="AG46" i="2"/>
  <c r="AG40" i="2"/>
  <c r="AG44" i="2"/>
  <c r="AT81" i="2" l="1"/>
  <c r="AV81" i="2" s="1"/>
  <c r="AU65" i="2"/>
  <c r="AU75" i="2"/>
  <c r="AH42" i="2"/>
  <c r="AJ42" i="2" s="1"/>
  <c r="AT77" i="2"/>
  <c r="AV77" i="2" s="1"/>
  <c r="AT73" i="2"/>
  <c r="AV73" i="2" s="1"/>
  <c r="AT79" i="2"/>
  <c r="AV79" i="2" s="1"/>
  <c r="AT85" i="2"/>
  <c r="AV85" i="2" s="1"/>
  <c r="AH38" i="2"/>
  <c r="AJ38" i="2" s="1"/>
  <c r="AT69" i="2"/>
  <c r="AV69" i="2" s="1"/>
  <c r="AU67" i="2"/>
  <c r="AU71" i="2"/>
  <c r="AH43" i="2"/>
  <c r="AJ43" i="2" s="1"/>
  <c r="AJ39" i="2"/>
  <c r="AH46" i="2"/>
  <c r="AJ37" i="2"/>
  <c r="AH40" i="2"/>
  <c r="AJ41" i="2"/>
  <c r="AH44" i="2"/>
  <c r="AI46" i="2"/>
  <c r="AI44" i="2"/>
  <c r="AI40" i="2"/>
  <c r="AU73" i="2" l="1"/>
  <c r="AU85" i="2"/>
  <c r="AU79" i="2"/>
  <c r="AU77" i="2"/>
  <c r="AU69" i="2"/>
  <c r="AU81" i="2"/>
  <c r="S44" i="3"/>
  <c r="AE86" i="2"/>
  <c r="C55" i="3" s="1"/>
  <c r="AJ44" i="2"/>
  <c r="AJ46" i="2"/>
  <c r="AJ40" i="2"/>
  <c r="D61" i="3" l="1"/>
  <c r="C61" i="3"/>
  <c r="J11" i="1"/>
  <c r="AE88" i="2"/>
  <c r="AF45" i="2"/>
  <c r="AG45" i="2"/>
  <c r="AG86" i="2" s="1"/>
  <c r="AK8" i="2" s="1"/>
  <c r="J14" i="1" l="1"/>
  <c r="C21" i="3"/>
  <c r="R24" i="2"/>
  <c r="R23" i="2"/>
  <c r="Z86" i="2" s="1"/>
  <c r="E36" i="3" s="1"/>
  <c r="AT83" i="2"/>
  <c r="AV83" i="2" s="1"/>
  <c r="AF86" i="2"/>
  <c r="C56" i="3" s="1"/>
  <c r="C57" i="3" s="1"/>
  <c r="AH45" i="2"/>
  <c r="AH86" i="2" s="1"/>
  <c r="AI45" i="2"/>
  <c r="AK45" i="2"/>
  <c r="AK86" i="2"/>
  <c r="AI86" i="2"/>
  <c r="AK84" i="2"/>
  <c r="AK78" i="2"/>
  <c r="AK66" i="2"/>
  <c r="AK70" i="2"/>
  <c r="AK54" i="2"/>
  <c r="AK74" i="2"/>
  <c r="AK83" i="2"/>
  <c r="AK51" i="2"/>
  <c r="AK75" i="2"/>
  <c r="AK61" i="2"/>
  <c r="AK57" i="2"/>
  <c r="AK85" i="2"/>
  <c r="AK67" i="2"/>
  <c r="AK58" i="2"/>
  <c r="AK80" i="2"/>
  <c r="AK76" i="2"/>
  <c r="AK56" i="2"/>
  <c r="AK68" i="2"/>
  <c r="AK55" i="2"/>
  <c r="AK65" i="2"/>
  <c r="AK59" i="2"/>
  <c r="AK53" i="2"/>
  <c r="AK27" i="2"/>
  <c r="AK52" i="2"/>
  <c r="AK28" i="2"/>
  <c r="AK11" i="2"/>
  <c r="AK15" i="2"/>
  <c r="AK26" i="2"/>
  <c r="AK18" i="2"/>
  <c r="AK19" i="2"/>
  <c r="AK72" i="2"/>
  <c r="AK20" i="2"/>
  <c r="AK34" i="2"/>
  <c r="AK30" i="2"/>
  <c r="AK16" i="2"/>
  <c r="AK10" i="2"/>
  <c r="AK35" i="2"/>
  <c r="AK77" i="2"/>
  <c r="AK69" i="2"/>
  <c r="AK17" i="2"/>
  <c r="AK13" i="2"/>
  <c r="AK29" i="2"/>
  <c r="AK21" i="2"/>
  <c r="AK81" i="2"/>
  <c r="AK22" i="2"/>
  <c r="AK50" i="2"/>
  <c r="AK24" i="2"/>
  <c r="AK60" i="2"/>
  <c r="AK23" i="2"/>
  <c r="AK14" i="2"/>
  <c r="AK12" i="2"/>
  <c r="AK48" i="2"/>
  <c r="AK31" i="2"/>
  <c r="AK62" i="2"/>
  <c r="AK82" i="2"/>
  <c r="AK32" i="2"/>
  <c r="AK71" i="2"/>
  <c r="AK63" i="2"/>
  <c r="AK49" i="2"/>
  <c r="AK33" i="2"/>
  <c r="AK25" i="2"/>
  <c r="AK79" i="2"/>
  <c r="AK73" i="2"/>
  <c r="AK47" i="2"/>
  <c r="AK64" i="2"/>
  <c r="AK9" i="2"/>
  <c r="AK42" i="2"/>
  <c r="AK38" i="2"/>
  <c r="AK37" i="2"/>
  <c r="AK43" i="2"/>
  <c r="AK41" i="2"/>
  <c r="AK39" i="2"/>
  <c r="AK40" i="2"/>
  <c r="AK44" i="2"/>
  <c r="AK36" i="2"/>
  <c r="AK46" i="2"/>
  <c r="D56" i="3" l="1"/>
  <c r="D55" i="3"/>
  <c r="D57" i="3" s="1"/>
  <c r="J15" i="1"/>
  <c r="C25" i="3" s="1"/>
  <c r="C24" i="3"/>
  <c r="AU83" i="2"/>
  <c r="R26" i="2"/>
  <c r="AO86" i="2"/>
  <c r="S85" i="3" s="1"/>
  <c r="T85" i="3" s="1"/>
  <c r="AJ45" i="2"/>
  <c r="AL45" i="2"/>
  <c r="AL86" i="2"/>
  <c r="AJ86" i="2"/>
  <c r="AL55" i="2"/>
  <c r="AL67" i="2"/>
  <c r="AL76" i="2"/>
  <c r="AL56" i="2"/>
  <c r="AL68" i="2"/>
  <c r="AL75" i="2"/>
  <c r="AL53" i="2"/>
  <c r="AL65" i="2"/>
  <c r="AL58" i="2"/>
  <c r="AL59" i="2"/>
  <c r="AL54" i="2"/>
  <c r="AL74" i="2"/>
  <c r="AL80" i="2"/>
  <c r="AL70" i="2"/>
  <c r="AL57" i="2"/>
  <c r="AL61" i="2"/>
  <c r="AL85" i="2"/>
  <c r="AL66" i="2"/>
  <c r="AL83" i="2"/>
  <c r="AL84" i="2"/>
  <c r="AL78" i="2"/>
  <c r="AL51" i="2"/>
  <c r="AL8" i="2"/>
  <c r="AL20" i="2"/>
  <c r="AL49" i="2"/>
  <c r="AL60" i="2"/>
  <c r="AL33" i="2"/>
  <c r="AL23" i="2"/>
  <c r="AL18" i="2"/>
  <c r="AL22" i="2"/>
  <c r="AL50" i="2"/>
  <c r="AL79" i="2"/>
  <c r="AL81" i="2"/>
  <c r="AL24" i="2"/>
  <c r="AL34" i="2"/>
  <c r="AL30" i="2"/>
  <c r="AL16" i="2"/>
  <c r="AL10" i="2"/>
  <c r="AL73" i="2"/>
  <c r="AL63" i="2"/>
  <c r="AL77" i="2"/>
  <c r="AL27" i="2"/>
  <c r="AL29" i="2"/>
  <c r="AL21" i="2"/>
  <c r="AL14" i="2"/>
  <c r="AL48" i="2"/>
  <c r="AL12" i="2"/>
  <c r="AL31" i="2"/>
  <c r="AL11" i="2"/>
  <c r="AL15" i="2"/>
  <c r="AL26" i="2"/>
  <c r="AL13" i="2"/>
  <c r="AL72" i="2"/>
  <c r="AL62" i="2"/>
  <c r="AL25" i="2"/>
  <c r="AL69" i="2"/>
  <c r="AL17" i="2"/>
  <c r="AL82" i="2"/>
  <c r="AL52" i="2"/>
  <c r="AL47" i="2"/>
  <c r="AL32" i="2"/>
  <c r="AL35" i="2"/>
  <c r="AL28" i="2"/>
  <c r="AL19" i="2"/>
  <c r="AL71" i="2"/>
  <c r="AL9" i="2"/>
  <c r="AL64" i="2"/>
  <c r="AL37" i="2"/>
  <c r="AL43" i="2"/>
  <c r="AL39" i="2"/>
  <c r="AL38" i="2"/>
  <c r="AL41" i="2"/>
  <c r="AL42" i="2"/>
  <c r="AL36" i="2"/>
  <c r="AL40" i="2"/>
  <c r="AL44" i="2"/>
  <c r="AL46" i="2"/>
  <c r="AN7" i="2" l="1"/>
  <c r="AN18" i="2" l="1"/>
  <c r="R17" i="3" s="1"/>
  <c r="T17" i="3" s="1"/>
  <c r="AN11" i="2"/>
  <c r="R10" i="3" s="1"/>
  <c r="T10" i="3" s="1"/>
  <c r="AN72" i="2"/>
  <c r="R71" i="3" s="1"/>
  <c r="T71" i="3" s="1"/>
  <c r="AN41" i="2"/>
  <c r="R40" i="3" s="1"/>
  <c r="T40" i="3" s="1"/>
  <c r="AN15" i="2"/>
  <c r="R14" i="3" s="1"/>
  <c r="T14" i="3" s="1"/>
  <c r="AN74" i="2"/>
  <c r="R73" i="3" s="1"/>
  <c r="T73" i="3" s="1"/>
  <c r="AN40" i="2"/>
  <c r="R39" i="3" s="1"/>
  <c r="T39" i="3" s="1"/>
  <c r="AN26" i="2"/>
  <c r="R25" i="3" s="1"/>
  <c r="T25" i="3" s="1"/>
  <c r="AN27" i="2"/>
  <c r="R26" i="3" s="1"/>
  <c r="T26" i="3" s="1"/>
  <c r="AN84" i="2"/>
  <c r="R83" i="3" s="1"/>
  <c r="T83" i="3" s="1"/>
  <c r="AN35" i="2"/>
  <c r="R34" i="3" s="1"/>
  <c r="T34" i="3" s="1"/>
  <c r="AN75" i="2"/>
  <c r="R74" i="3" s="1"/>
  <c r="T74" i="3" s="1"/>
  <c r="AN60" i="2"/>
  <c r="R59" i="3" s="1"/>
  <c r="T59" i="3" s="1"/>
  <c r="AN55" i="2"/>
  <c r="R54" i="3" s="1"/>
  <c r="T54" i="3" s="1"/>
  <c r="AN85" i="2"/>
  <c r="R84" i="3" s="1"/>
  <c r="T84" i="3" s="1"/>
  <c r="AN9" i="2"/>
  <c r="R8" i="3" s="1"/>
  <c r="T8" i="3" s="1"/>
  <c r="AN64" i="2"/>
  <c r="R63" i="3" s="1"/>
  <c r="T63" i="3" s="1"/>
  <c r="AN28" i="2"/>
  <c r="R27" i="3" s="1"/>
  <c r="T27" i="3" s="1"/>
  <c r="AN16" i="2"/>
  <c r="R15" i="3" s="1"/>
  <c r="T15" i="3" s="1"/>
  <c r="AN20" i="2"/>
  <c r="R19" i="3" s="1"/>
  <c r="T19" i="3" s="1"/>
  <c r="AN24" i="2"/>
  <c r="R23" i="3" s="1"/>
  <c r="T23" i="3" s="1"/>
  <c r="AN77" i="2"/>
  <c r="R76" i="3" s="1"/>
  <c r="T76" i="3" s="1"/>
  <c r="AN56" i="2"/>
  <c r="R55" i="3" s="1"/>
  <c r="T55" i="3" s="1"/>
  <c r="AN23" i="2"/>
  <c r="R22" i="3" s="1"/>
  <c r="T22" i="3" s="1"/>
  <c r="AN8" i="2"/>
  <c r="R7" i="3" s="1"/>
  <c r="T7" i="3" s="1"/>
  <c r="AN59" i="2"/>
  <c r="R58" i="3" s="1"/>
  <c r="T58" i="3" s="1"/>
  <c r="AN62" i="2"/>
  <c r="R61" i="3" s="1"/>
  <c r="T61" i="3" s="1"/>
  <c r="AN14" i="2"/>
  <c r="R13" i="3" s="1"/>
  <c r="T13" i="3" s="1"/>
  <c r="AN39" i="2"/>
  <c r="R38" i="3" s="1"/>
  <c r="T38" i="3" s="1"/>
  <c r="AN68" i="2"/>
  <c r="R67" i="3" s="1"/>
  <c r="T67" i="3" s="1"/>
  <c r="AN76" i="2"/>
  <c r="R75" i="3" s="1"/>
  <c r="T75" i="3" s="1"/>
  <c r="AN63" i="2"/>
  <c r="R62" i="3" s="1"/>
  <c r="T62" i="3" s="1"/>
  <c r="AN12" i="2"/>
  <c r="R11" i="3" s="1"/>
  <c r="T11" i="3" s="1"/>
  <c r="AN80" i="2"/>
  <c r="R79" i="3" s="1"/>
  <c r="T79" i="3" s="1"/>
  <c r="AN53" i="2"/>
  <c r="R52" i="3" s="1"/>
  <c r="T52" i="3" s="1"/>
  <c r="AN51" i="2"/>
  <c r="R50" i="3" s="1"/>
  <c r="T50" i="3" s="1"/>
  <c r="AN73" i="2"/>
  <c r="R72" i="3" s="1"/>
  <c r="T72" i="3" s="1"/>
  <c r="AN45" i="2"/>
  <c r="R44" i="3" s="1"/>
  <c r="T44" i="3" s="1"/>
  <c r="AN10" i="2"/>
  <c r="R9" i="3" s="1"/>
  <c r="T9" i="3" s="1"/>
  <c r="AN50" i="2"/>
  <c r="R49" i="3" s="1"/>
  <c r="T49" i="3" s="1"/>
  <c r="AN52" i="2"/>
  <c r="R51" i="3" s="1"/>
  <c r="T51" i="3" s="1"/>
  <c r="AN67" i="2"/>
  <c r="R66" i="3" s="1"/>
  <c r="T66" i="3" s="1"/>
  <c r="AN31" i="2"/>
  <c r="R30" i="3" s="1"/>
  <c r="T30" i="3" s="1"/>
  <c r="AN32" i="2"/>
  <c r="R31" i="3" s="1"/>
  <c r="T31" i="3" s="1"/>
  <c r="AN19" i="2"/>
  <c r="R18" i="3" s="1"/>
  <c r="T18" i="3" s="1"/>
  <c r="AN78" i="2"/>
  <c r="R77" i="3" s="1"/>
  <c r="T77" i="3" s="1"/>
  <c r="AN30" i="2"/>
  <c r="R29" i="3" s="1"/>
  <c r="T29" i="3" s="1"/>
  <c r="AN46" i="2"/>
  <c r="R45" i="3" s="1"/>
  <c r="T45" i="3" s="1"/>
  <c r="AN34" i="2"/>
  <c r="R33" i="3" s="1"/>
  <c r="T33" i="3" s="1"/>
  <c r="AN22" i="2"/>
  <c r="R21" i="3" s="1"/>
  <c r="T21" i="3" s="1"/>
  <c r="AN29" i="2"/>
  <c r="R28" i="3" s="1"/>
  <c r="T28" i="3" s="1"/>
  <c r="AN58" i="2"/>
  <c r="R57" i="3" s="1"/>
  <c r="T57" i="3" s="1"/>
  <c r="AN13" i="2"/>
  <c r="R12" i="3" s="1"/>
  <c r="T12" i="3" s="1"/>
  <c r="AN79" i="2"/>
  <c r="R78" i="3" s="1"/>
  <c r="T78" i="3" s="1"/>
  <c r="AN42" i="2"/>
  <c r="R41" i="3" s="1"/>
  <c r="T41" i="3" s="1"/>
  <c r="AN47" i="2"/>
  <c r="R46" i="3" s="1"/>
  <c r="T46" i="3" s="1"/>
  <c r="AN71" i="2"/>
  <c r="R70" i="3" s="1"/>
  <c r="T70" i="3" s="1"/>
  <c r="AN54" i="2"/>
  <c r="R53" i="3" s="1"/>
  <c r="T53" i="3" s="1"/>
  <c r="AN82" i="2"/>
  <c r="R81" i="3" s="1"/>
  <c r="T81" i="3" s="1"/>
  <c r="AN65" i="2"/>
  <c r="R64" i="3" s="1"/>
  <c r="T64" i="3" s="1"/>
  <c r="AN25" i="2"/>
  <c r="R24" i="3" s="1"/>
  <c r="T24" i="3" s="1"/>
  <c r="AN70" i="2"/>
  <c r="R69" i="3" s="1"/>
  <c r="T69" i="3" s="1"/>
  <c r="AN48" i="2"/>
  <c r="R47" i="3" s="1"/>
  <c r="T47" i="3" s="1"/>
  <c r="AN17" i="2"/>
  <c r="R16" i="3" s="1"/>
  <c r="T16" i="3" s="1"/>
  <c r="AN49" i="2"/>
  <c r="R48" i="3" s="1"/>
  <c r="T48" i="3" s="1"/>
  <c r="AN83" i="2"/>
  <c r="R82" i="3" s="1"/>
  <c r="T82" i="3" s="1"/>
  <c r="AN69" i="2"/>
  <c r="R68" i="3" s="1"/>
  <c r="T68" i="3" s="1"/>
  <c r="AN61" i="2"/>
  <c r="R60" i="3" s="1"/>
  <c r="T60" i="3" s="1"/>
  <c r="AN66" i="2" l="1"/>
  <c r="R65" i="3" s="1"/>
  <c r="T65" i="3" s="1"/>
  <c r="AN57" i="2"/>
  <c r="R56" i="3" s="1"/>
  <c r="T56" i="3" s="1"/>
  <c r="AN21" i="2"/>
  <c r="R20" i="3" s="1"/>
  <c r="T20" i="3" s="1"/>
  <c r="AN38" i="2"/>
  <c r="R37" i="3" s="1"/>
  <c r="T37" i="3" s="1"/>
  <c r="AN36" i="2"/>
  <c r="R35" i="3" s="1"/>
  <c r="T35" i="3" s="1"/>
  <c r="AN44" i="2"/>
  <c r="R43" i="3" s="1"/>
  <c r="T43" i="3" s="1"/>
  <c r="AN33" i="2"/>
  <c r="R32" i="3" s="1"/>
  <c r="T32" i="3" s="1"/>
  <c r="AN37" i="2"/>
  <c r="R36" i="3" s="1"/>
  <c r="T36" i="3" s="1"/>
  <c r="AN81" i="2"/>
  <c r="R80" i="3" s="1"/>
  <c r="T80" i="3" s="1"/>
  <c r="AN43" i="2"/>
  <c r="R42" i="3" s="1"/>
  <c r="T42" i="3" s="1"/>
  <c r="D43" i="3" l="1"/>
  <c r="D41" i="3"/>
  <c r="D42" i="3"/>
</calcChain>
</file>

<file path=xl/sharedStrings.xml><?xml version="1.0" encoding="utf-8"?>
<sst xmlns="http://schemas.openxmlformats.org/spreadsheetml/2006/main" count="1136" uniqueCount="401">
  <si>
    <t>Far North District</t>
  </si>
  <si>
    <t>Kaipara District</t>
  </si>
  <si>
    <t>Whangarei District</t>
  </si>
  <si>
    <t>Auckland</t>
  </si>
  <si>
    <t>Hamilton City</t>
  </si>
  <si>
    <t>Hauraki District</t>
  </si>
  <si>
    <t>Matamata-Piako District</t>
  </si>
  <si>
    <t>Otorohanga District</t>
  </si>
  <si>
    <t>South Waikato District</t>
  </si>
  <si>
    <t>Taupo District</t>
  </si>
  <si>
    <t>Thames-Coromandel District</t>
  </si>
  <si>
    <t>Waikato District</t>
  </si>
  <si>
    <t>Waipa District</t>
  </si>
  <si>
    <t>Waitomo District</t>
  </si>
  <si>
    <t>Kawerau District</t>
  </si>
  <si>
    <t>Opotiki District</t>
  </si>
  <si>
    <t>Rotorua District</t>
  </si>
  <si>
    <t>Tauranga City</t>
  </si>
  <si>
    <t>Western Bay of Plenty District</t>
  </si>
  <si>
    <t>Gisborne District</t>
  </si>
  <si>
    <t>Central Hawke's Bay District</t>
  </si>
  <si>
    <t>Hastings District</t>
  </si>
  <si>
    <t>Napier City</t>
  </si>
  <si>
    <t>Wairoa District</t>
  </si>
  <si>
    <t>New Plymouth District</t>
  </si>
  <si>
    <t>South Taranaki District</t>
  </si>
  <si>
    <t>Stratford District</t>
  </si>
  <si>
    <t>Horowhenua District</t>
  </si>
  <si>
    <t>Manawatu District</t>
  </si>
  <si>
    <t>Palmerston North City</t>
  </si>
  <si>
    <t>Rangitikei District</t>
  </si>
  <si>
    <t>Ruapehu District</t>
  </si>
  <si>
    <t>Tararua District</t>
  </si>
  <si>
    <t>Wanganui District</t>
  </si>
  <si>
    <t>Carterton District</t>
  </si>
  <si>
    <t>Kapiti Coast District</t>
  </si>
  <si>
    <t>Lower Hutt City</t>
  </si>
  <si>
    <t>Masterton District</t>
  </si>
  <si>
    <t>Porirua City</t>
  </si>
  <si>
    <t>South Wairarapa District</t>
  </si>
  <si>
    <t>Upper Hutt City</t>
  </si>
  <si>
    <t>Wellington City</t>
  </si>
  <si>
    <t>Kaikoura District</t>
  </si>
  <si>
    <t>Marlborough District</t>
  </si>
  <si>
    <t>Nelson City</t>
  </si>
  <si>
    <t>Tasman District</t>
  </si>
  <si>
    <t>Ashburton District</t>
  </si>
  <si>
    <t>Christchurch City</t>
  </si>
  <si>
    <t>Hurunui District</t>
  </si>
  <si>
    <t>Mackenzie District</t>
  </si>
  <si>
    <t>Selwyn District</t>
  </si>
  <si>
    <t>Timaru District</t>
  </si>
  <si>
    <t>Waimakariri District</t>
  </si>
  <si>
    <t>Waimate District</t>
  </si>
  <si>
    <t>Buller District</t>
  </si>
  <si>
    <t>Grey District</t>
  </si>
  <si>
    <t>Westland District</t>
  </si>
  <si>
    <t>Central Otago District</t>
  </si>
  <si>
    <t>Clutha District</t>
  </si>
  <si>
    <t>Dunedin City</t>
  </si>
  <si>
    <t>Queenstown-Lakes District</t>
  </si>
  <si>
    <t>Waitaki District</t>
  </si>
  <si>
    <t>Gore District</t>
  </si>
  <si>
    <t>Invercargill City</t>
  </si>
  <si>
    <t>Southland District</t>
  </si>
  <si>
    <t>Chatham Islands Territory</t>
  </si>
  <si>
    <t>Northland Regional</t>
  </si>
  <si>
    <t>Waikato Regional</t>
  </si>
  <si>
    <t>Bay of Plenty Regional</t>
  </si>
  <si>
    <t>Hawkes Bay Regional</t>
  </si>
  <si>
    <t>Taranaki Regional</t>
  </si>
  <si>
    <t>Manawatu-Wanganui Regional</t>
  </si>
  <si>
    <t>Wellington Regional</t>
  </si>
  <si>
    <t>West Coast Regional</t>
  </si>
  <si>
    <t>Canterbury Regional</t>
  </si>
  <si>
    <t>Otago Regional</t>
  </si>
  <si>
    <t>Southland Regional</t>
  </si>
  <si>
    <t>Capital Value</t>
  </si>
  <si>
    <t>Source</t>
  </si>
  <si>
    <t>Date</t>
  </si>
  <si>
    <t>Ministry of Health</t>
  </si>
  <si>
    <t>Rateable Units</t>
  </si>
  <si>
    <t>NZ Transport Agency</t>
  </si>
  <si>
    <t>NZ Index of Deprivation</t>
  </si>
  <si>
    <t>AO Code</t>
  </si>
  <si>
    <t>AO Name</t>
  </si>
  <si>
    <t>Weight</t>
  </si>
  <si>
    <t>Minimum</t>
  </si>
  <si>
    <t>Maximum</t>
  </si>
  <si>
    <t>Range</t>
  </si>
  <si>
    <t>Rank</t>
  </si>
  <si>
    <t>Order</t>
  </si>
  <si>
    <t>Combined</t>
  </si>
  <si>
    <t>Median</t>
  </si>
  <si>
    <t>Raw</t>
  </si>
  <si>
    <t>Total Cost</t>
  </si>
  <si>
    <t>NLTF</t>
  </si>
  <si>
    <t>Average FAR</t>
  </si>
  <si>
    <t>FAR</t>
  </si>
  <si>
    <t>Core</t>
  </si>
  <si>
    <t>Overall</t>
  </si>
  <si>
    <t>Future</t>
  </si>
  <si>
    <t>Local Share</t>
  </si>
  <si>
    <t>Future Financials</t>
  </si>
  <si>
    <t>Change</t>
  </si>
  <si>
    <t>Current</t>
  </si>
  <si>
    <t>Result</t>
  </si>
  <si>
    <t>Correction</t>
  </si>
  <si>
    <t>n</t>
  </si>
  <si>
    <t>y</t>
  </si>
  <si>
    <t>lists</t>
  </si>
  <si>
    <t>Initial</t>
  </si>
  <si>
    <t>Multiplier</t>
  </si>
  <si>
    <t>Approved Organisation</t>
  </si>
  <si>
    <t>match</t>
  </si>
  <si>
    <t>National</t>
  </si>
  <si>
    <t>2. FAR System settings</t>
  </si>
  <si>
    <t>Centreline KM</t>
  </si>
  <si>
    <t>Centreline KM / Capital Value</t>
  </si>
  <si>
    <t>Interquartile range</t>
  </si>
  <si>
    <t>Change % AO</t>
  </si>
  <si>
    <t>Change % National</t>
  </si>
  <si>
    <t>Standard deviation</t>
  </si>
  <si>
    <t>Average</t>
  </si>
  <si>
    <t>Normalise</t>
  </si>
  <si>
    <t>Increase</t>
  </si>
  <si>
    <t>Decrease</t>
  </si>
  <si>
    <t>RC</t>
  </si>
  <si>
    <t>core</t>
  </si>
  <si>
    <t>overall</t>
  </si>
  <si>
    <t>natural</t>
  </si>
  <si>
    <t>Chathams</t>
  </si>
  <si>
    <t>Overall national rate</t>
  </si>
  <si>
    <t>Maximum (Mainland)</t>
  </si>
  <si>
    <t>Maximum (off Mainland)</t>
  </si>
  <si>
    <t xml:space="preserve">     get under 0.01% tolerance</t>
  </si>
  <si>
    <t>1. Inputs</t>
  </si>
  <si>
    <t xml:space="preserve">for ease of presentation </t>
  </si>
  <si>
    <t>For easy reference</t>
  </si>
  <si>
    <t>FAR NORTH DISTRICT</t>
  </si>
  <si>
    <t>WHANGAREI DISTRICT</t>
  </si>
  <si>
    <t>KAIPARA DISTRICT</t>
  </si>
  <si>
    <t>HAURAKI DISTRICT</t>
  </si>
  <si>
    <t>WAIKATO DISTRICT</t>
  </si>
  <si>
    <t>HAMILTON CITY</t>
  </si>
  <si>
    <t>WAIPA DISTRICT</t>
  </si>
  <si>
    <t>OTOROHANGA DISTRICT</t>
  </si>
  <si>
    <t>SOUTH WAIKATO DISTRICT</t>
  </si>
  <si>
    <t>WAITOMO DISTRICT</t>
  </si>
  <si>
    <t>TAUPO DISTRICT</t>
  </si>
  <si>
    <t>TAURANGA CITY</t>
  </si>
  <si>
    <t>ROTORUA DISTRICT</t>
  </si>
  <si>
    <t>WHAKATANE DISTRICT</t>
  </si>
  <si>
    <t>KAWERAU DISTRICT</t>
  </si>
  <si>
    <t>OPOTIKI DISTRICT</t>
  </si>
  <si>
    <t>GISBORNE DISTRICT</t>
  </si>
  <si>
    <t>WAIROA DISTRICT</t>
  </si>
  <si>
    <t>HASTINGS DISTRICT</t>
  </si>
  <si>
    <t>NAPIER CITY</t>
  </si>
  <si>
    <t>NEW PLYMOUTH DISTRICT</t>
  </si>
  <si>
    <t>STRATFORD DISTRICT</t>
  </si>
  <si>
    <t>SOUTH TARANAKI DISTRICT</t>
  </si>
  <si>
    <t>RUAPEHU DISTRICT</t>
  </si>
  <si>
    <t>WANGANUI DISTRICT</t>
  </si>
  <si>
    <t>RANGITIKEI DISTRICT</t>
  </si>
  <si>
    <t>MANAWATU DISTRICT</t>
  </si>
  <si>
    <t>PALMERSTON NORTH CITY</t>
  </si>
  <si>
    <t>TARARUA DISTRICT</t>
  </si>
  <si>
    <t>HOROWHENUA DISTRICT</t>
  </si>
  <si>
    <t>KAPITI COAST DISTRICT</t>
  </si>
  <si>
    <t>PORIRUA CITY</t>
  </si>
  <si>
    <t>UPPER HUTT CITY</t>
  </si>
  <si>
    <t>WELLINGTON CITY</t>
  </si>
  <si>
    <t>MASTERTON DISTRICT</t>
  </si>
  <si>
    <t>CARTERTON DISTRICT</t>
  </si>
  <si>
    <t>SOUTH WAIRARAPA DISTRICT</t>
  </si>
  <si>
    <t>TASMAN DISTRICT</t>
  </si>
  <si>
    <t>NELSON CITY</t>
  </si>
  <si>
    <t>MARLBOROUGH DISTRICT</t>
  </si>
  <si>
    <t>KAIKOURA DISTRICT</t>
  </si>
  <si>
    <t>BULLER DISTRICT</t>
  </si>
  <si>
    <t>GREY DISTRICT</t>
  </si>
  <si>
    <t>WESTLAND DISTRICT</t>
  </si>
  <si>
    <t>HURUNUI DISTRICT</t>
  </si>
  <si>
    <t>WAIMAKARIRI DISTRICT</t>
  </si>
  <si>
    <t>CHRISTCHURCH CITY</t>
  </si>
  <si>
    <t>SELWYN DISTRICT</t>
  </si>
  <si>
    <t>ASHBURTON DISTRICT</t>
  </si>
  <si>
    <t>TIMARU DISTRICT</t>
  </si>
  <si>
    <t>MACKENZIE DISTRICT</t>
  </si>
  <si>
    <t>WAIMATE DISTRICT</t>
  </si>
  <si>
    <t>WAITAKI DISTRICT</t>
  </si>
  <si>
    <t>CENTRAL OTAGO DISTRICT</t>
  </si>
  <si>
    <t>DUNEDIN CITY</t>
  </si>
  <si>
    <t>CLUTHA DISTRICT</t>
  </si>
  <si>
    <t>SOUTHLAND DISTRICT</t>
  </si>
  <si>
    <t>GORE DISTRICT</t>
  </si>
  <si>
    <t>INVERCARGILL CITY</t>
  </si>
  <si>
    <t>TA_Name</t>
  </si>
  <si>
    <t>Net_Assmts 2014</t>
  </si>
  <si>
    <t>Net Capital Value 2014</t>
  </si>
  <si>
    <t>Net_Land_area 2014</t>
  </si>
  <si>
    <t>Net Equalised  Capital Value 2014</t>
  </si>
  <si>
    <t>Revision_Date</t>
  </si>
  <si>
    <t>Net_Assmts 2016</t>
  </si>
  <si>
    <t>Net Capital Value 2016</t>
  </si>
  <si>
    <t>Net_Land_area 2016</t>
  </si>
  <si>
    <t>Net Equalised  Capital Value 2016</t>
  </si>
  <si>
    <t>CHATHAM ISLANDS territory</t>
  </si>
  <si>
    <t>QUEENSTOWN-LAKES DISTrict</t>
  </si>
  <si>
    <t>lower HUTT CITY</t>
  </si>
  <si>
    <t>CENTRAL HAWKE'S BAY DISTrict</t>
  </si>
  <si>
    <t>WESTERN Bay Of Plenty DISTRICT</t>
  </si>
  <si>
    <t>THAMES-COROMANDEL DISTrict</t>
  </si>
  <si>
    <t>MATAMATA-PIAKO DISTRICT</t>
  </si>
  <si>
    <t>AUCKLAND</t>
  </si>
  <si>
    <t>Whakatane District</t>
  </si>
  <si>
    <t>Area</t>
  </si>
  <si>
    <t>MacKenzie District</t>
  </si>
  <si>
    <t>Chatham Islands territory</t>
  </si>
  <si>
    <t>lower Hutt City</t>
  </si>
  <si>
    <t>Southland regional</t>
  </si>
  <si>
    <t>Canterbury regional</t>
  </si>
  <si>
    <t>Wellington regional</t>
  </si>
  <si>
    <t>Manawatu-wanganui regional</t>
  </si>
  <si>
    <t>2013/17</t>
  </si>
  <si>
    <t>Centreline KM 2013</t>
  </si>
  <si>
    <t>Centreline KM 2014</t>
  </si>
  <si>
    <t>Centreline KM 2015</t>
  </si>
  <si>
    <t>Centreline KM 2016</t>
  </si>
  <si>
    <t>Total Cost 2013/14</t>
  </si>
  <si>
    <t>NLTF 2013/14</t>
  </si>
  <si>
    <t>Total Cost 2014/15</t>
  </si>
  <si>
    <t>NLTF 2014/15</t>
  </si>
  <si>
    <t>Total Cost 2015/16</t>
  </si>
  <si>
    <t>NLTF 2015/16</t>
  </si>
  <si>
    <t>Total Cost 2016/17</t>
  </si>
  <si>
    <t>NLTF 2016/17</t>
  </si>
  <si>
    <t>FAR 2015/16</t>
  </si>
  <si>
    <t>FAR 2016/17</t>
  </si>
  <si>
    <t>FAR 2017/18</t>
  </si>
  <si>
    <t>Component Weights</t>
  </si>
  <si>
    <t>Calculated</t>
  </si>
  <si>
    <t>Max FAR</t>
  </si>
  <si>
    <t>A</t>
  </si>
  <si>
    <t>B</t>
  </si>
  <si>
    <t>min(A,B)</t>
  </si>
  <si>
    <t>C</t>
  </si>
  <si>
    <t>D</t>
  </si>
  <si>
    <t>E</t>
  </si>
  <si>
    <t>max(C,D)</t>
  </si>
  <si>
    <t>Total Cost 2009/10</t>
  </si>
  <si>
    <t>NLTF 2009/10</t>
  </si>
  <si>
    <t>Total Cost 2010/11</t>
  </si>
  <si>
    <t>NLTF 2010/11</t>
  </si>
  <si>
    <t>Total Cost 2011/12</t>
  </si>
  <si>
    <t>NLTF 2011/12</t>
  </si>
  <si>
    <t>Total Cost 2012/13</t>
  </si>
  <si>
    <t>NLTF 2012/13</t>
  </si>
  <si>
    <t>NLTP Spend</t>
  </si>
  <si>
    <t>2009/13</t>
  </si>
  <si>
    <t>2010/14</t>
  </si>
  <si>
    <t>2011/15</t>
  </si>
  <si>
    <t>2012/16</t>
  </si>
  <si>
    <t>2014/18</t>
  </si>
  <si>
    <t>2015/19</t>
  </si>
  <si>
    <t>NLTF Cost</t>
  </si>
  <si>
    <t>Local Share Cost</t>
  </si>
  <si>
    <t>Total Cost 2017/18</t>
  </si>
  <si>
    <t>Total Cost 2018/19</t>
  </si>
  <si>
    <t>Total Cost 2019/20</t>
  </si>
  <si>
    <t>Total Cost 2020/21</t>
  </si>
  <si>
    <t>NLTF 2018/19</t>
  </si>
  <si>
    <t>NLTF 2019/20</t>
  </si>
  <si>
    <t>NLTF 2020/21</t>
  </si>
  <si>
    <t>NLTF 2017/18</t>
  </si>
  <si>
    <t>NORMAL FAR 2021-2024 CALCULATION</t>
  </si>
  <si>
    <t>Total Cost 2009/13</t>
  </si>
  <si>
    <t>Total Cost 2010/14</t>
  </si>
  <si>
    <t>Total Cost 2011/15</t>
  </si>
  <si>
    <t>Total Cost 2012/16</t>
  </si>
  <si>
    <t>Total Cost 2013/17</t>
  </si>
  <si>
    <t>Total Cost 2014/18</t>
  </si>
  <si>
    <t>Total Cost 2015/19</t>
  </si>
  <si>
    <t>NLTF 2009/13</t>
  </si>
  <si>
    <t>NLTF 2010/14</t>
  </si>
  <si>
    <t>NLTF 2011/15</t>
  </si>
  <si>
    <t>NLTF 2012/16</t>
  </si>
  <si>
    <t>NLTF 2013/17</t>
  </si>
  <si>
    <t>NLTF 2014/18</t>
  </si>
  <si>
    <t>NLTF 2015/19</t>
  </si>
  <si>
    <t>Total Cost 2016/20</t>
  </si>
  <si>
    <t>NLTF 2016/20</t>
  </si>
  <si>
    <t>Selection</t>
  </si>
  <si>
    <t>Year</t>
  </si>
  <si>
    <t>Quotable Value</t>
  </si>
  <si>
    <t>MODEL</t>
  </si>
  <si>
    <t>Centreline KM 2017</t>
  </si>
  <si>
    <t>Centreline KM 2018</t>
  </si>
  <si>
    <t>Centreline KM 2019</t>
  </si>
  <si>
    <t>NZ Index of Deprivation 2013</t>
  </si>
  <si>
    <t>NZ Index of Deprivation 2018</t>
  </si>
  <si>
    <t>Net_Assmts 2019</t>
  </si>
  <si>
    <t>Net Capital Value 2019</t>
  </si>
  <si>
    <t>Net_Land_area 2019</t>
  </si>
  <si>
    <t>Net Equalised  Capital Value 2019</t>
  </si>
  <si>
    <t>FAR 2018/19</t>
  </si>
  <si>
    <t>FAR 2019/20</t>
  </si>
  <si>
    <t>FAR 2020/21</t>
  </si>
  <si>
    <t xml:space="preserve">FAR USING EXPENDITURE </t>
  </si>
  <si>
    <t>FAR 2010/14</t>
  </si>
  <si>
    <t>FAR 2011/15</t>
  </si>
  <si>
    <t>FAR 2012/16</t>
  </si>
  <si>
    <t>FAR 2013/17</t>
  </si>
  <si>
    <t>FAR 2014/18</t>
  </si>
  <si>
    <t>FAR 2015/19</t>
  </si>
  <si>
    <t>FAR 2016/20</t>
  </si>
  <si>
    <t>FAR 2009/13</t>
  </si>
  <si>
    <t>Step 3. Sort ascending B8:C85 by column B</t>
  </si>
  <si>
    <t>Model sheet B8:C85</t>
  </si>
  <si>
    <t>https://www.nzta.govt.nz/planning-and-investment/planning-and-investment-knowledge-base/planning-and-investment-principles-and-policies/funding-assistance-rates-principles-and-policy/2018-21-nltp-normal-funding-assistance-rates/#introduction</t>
  </si>
  <si>
    <t>Source:</t>
  </si>
  <si>
    <t>FAR 2018/19 to 2020/21 and End Transition Normal FAR 2021</t>
  </si>
  <si>
    <t>END</t>
  </si>
  <si>
    <t>HISTORICAL COSTS</t>
  </si>
  <si>
    <t>NET CAPITAL VALUE</t>
  </si>
  <si>
    <t>CENTRELINE KM</t>
  </si>
  <si>
    <t>NZ INDEX OF DEPRIVATION</t>
  </si>
  <si>
    <t>BOARD APPROVED FAR</t>
  </si>
  <si>
    <t>MAPPING TABLE</t>
  </si>
  <si>
    <t>RESULTS</t>
  </si>
  <si>
    <t>Approved organisation</t>
  </si>
  <si>
    <t>MODEL INFO</t>
  </si>
  <si>
    <t>Admin tab - Info, Instruction, Version, Checks, etc</t>
  </si>
  <si>
    <t>Selection - dropdown option</t>
  </si>
  <si>
    <t>Table heading/ Title</t>
  </si>
  <si>
    <t>Title</t>
  </si>
  <si>
    <t>Comments</t>
  </si>
  <si>
    <t>As above</t>
  </si>
  <si>
    <t>For information only</t>
  </si>
  <si>
    <t xml:space="preserve">Calculation tab </t>
  </si>
  <si>
    <t>Output tab - results, summary and analysis</t>
  </si>
  <si>
    <t>Input data</t>
  </si>
  <si>
    <t>Increase in FAR</t>
  </si>
  <si>
    <t>Decrease in FAR</t>
  </si>
  <si>
    <t>1.  KEY TO MODEL COLOUR SCHEME</t>
  </si>
  <si>
    <t>1.1  Sheets</t>
  </si>
  <si>
    <t>1.2  Cells</t>
  </si>
  <si>
    <t>3.  FACTORS AFFECTING FAR CALCULATION</t>
  </si>
  <si>
    <t>4.  MODEL PARAMETERS</t>
  </si>
  <si>
    <t>5. STEPS IN CALCULATING THE NORMAL FAR</t>
  </si>
  <si>
    <t>2.  METHODOLOGY FLOW DIAGRAM</t>
  </si>
  <si>
    <t>6.  NOTE TO PREVIOUS CALCULATION</t>
  </si>
  <si>
    <t>7.  SELECTION CONTROL</t>
  </si>
  <si>
    <t>Centreline Kilometres</t>
  </si>
  <si>
    <t>Ratable Units</t>
  </si>
  <si>
    <t>Index of Deprivation</t>
  </si>
  <si>
    <t>Previous FAR Results</t>
  </si>
  <si>
    <t xml:space="preserve">ANALYSIS:  MOVEMENT OF INPUTS </t>
  </si>
  <si>
    <r>
      <rPr>
        <sz val="11"/>
        <color rgb="FF00B050"/>
        <rFont val="Calibri"/>
        <family val="2"/>
      </rPr>
      <t>Ok</t>
    </r>
    <r>
      <rPr>
        <sz val="11"/>
        <color rgb="FFFF0000"/>
        <rFont val="Calibri"/>
        <family val="2"/>
      </rPr>
      <t>/Error</t>
    </r>
  </si>
  <si>
    <t>Checks</t>
  </si>
  <si>
    <t>Used as highlighter</t>
  </si>
  <si>
    <t>Board Approved End Transition Normal FAR 2018</t>
  </si>
  <si>
    <t>Board Approved End Transition Normal FAR 2021</t>
  </si>
  <si>
    <t>Calculated FAR 2021/24</t>
  </si>
  <si>
    <t>Rank 2018</t>
  </si>
  <si>
    <t>Rank 2013</t>
  </si>
  <si>
    <t>Movement</t>
  </si>
  <si>
    <t>Run A (FAR 2018/21 Calculation)</t>
  </si>
  <si>
    <t>Previous</t>
  </si>
  <si>
    <t>1.  Inputs</t>
  </si>
  <si>
    <t xml:space="preserve">     Checking</t>
  </si>
  <si>
    <t>3.  Overall Resulting FAR</t>
  </si>
  <si>
    <t>4. Change multiplier to</t>
  </si>
  <si>
    <t>5.  Sort data</t>
  </si>
  <si>
    <t>*Goal Seek:  Set J14 to value 0 by changing J13</t>
  </si>
  <si>
    <t>FAR CALCULATION - PARAMETERS</t>
  </si>
  <si>
    <t>Parameter tab - worksheet where you select the variables to use and input parameters</t>
  </si>
  <si>
    <t>Input tab - worksheet that contains input data (data dump)</t>
  </si>
  <si>
    <t>Calculation cell</t>
  </si>
  <si>
    <t>Calculated cell using Goal Seek function (only for tab [Parameter], cell J13)</t>
  </si>
  <si>
    <t>DC</t>
  </si>
  <si>
    <t>8. ABBREVIATIONS USED</t>
  </si>
  <si>
    <t>1.  FAR - Funding Assistance Rate</t>
  </si>
  <si>
    <t>2.  DC - District Council</t>
  </si>
  <si>
    <t>3.  RC - Regional Council</t>
  </si>
  <si>
    <t>4.  AO - Approved Organisations</t>
  </si>
  <si>
    <t>5.  FY 2009/13  - refers to FY 2009/10 to FY 2012/13</t>
  </si>
  <si>
    <t>FAR IMPLICATIONS</t>
  </si>
  <si>
    <t># of AOs that are set to increase their FAR</t>
  </si>
  <si>
    <t># of AOs that are set to reduce their FAR</t>
  </si>
  <si>
    <t># of AOs that are to remain in their curent FAR</t>
  </si>
  <si>
    <t>FINANCIAL IMPLICATIONS</t>
  </si>
  <si>
    <t>2015/19 Actual Financials</t>
  </si>
  <si>
    <t>Amount</t>
  </si>
  <si>
    <t>% Share</t>
  </si>
  <si>
    <t>NLTF Share</t>
  </si>
  <si>
    <t>Total Expenditures</t>
  </si>
  <si>
    <t>NLTF Implications</t>
  </si>
  <si>
    <t>% Movement</t>
  </si>
  <si>
    <t>Movement in NLTF Share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</si>
</sst>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F800]dddd\,\ mmmm\ dd\,\ yyyy"/>
    <numFmt numFmtId="165" formatCode="0.0%"/>
    <numFmt numFmtId="166" formatCode="_-* #,##0_-;\-* #,##0_-;_-* &quot;-&quot;??_-;_-@_-"/>
    <numFmt numFmtId="167" formatCode="#,##0.000"/>
    <numFmt numFmtId="168" formatCode="[Red]&quot;Alert&quot;;;[Color10]&quot;Ok&quot;"/>
    <numFmt numFmtId="169" formatCode="#,##0.000_ ;[Red]\-#,##0.000\ "/>
    <numFmt numFmtId="170" formatCode="#,##0_ ;[Red]\-#,##0\ "/>
    <numFmt numFmtId="171" formatCode="0.0000000%"/>
    <numFmt numFmtId="172" formatCode="0.00000E+00"/>
    <numFmt numFmtId="173" formatCode="0.000000000"/>
    <numFmt numFmtId="174" formatCode="_-&quot;$&quot;* #,##0_-;\-&quot;$&quot;* #,##0_-;_-&quot;$&quot;* &quot;-&quot;??_-;_-@_-"/>
  </numFmts>
  <fonts count="46" x14ac:knownFonts="1">
    <font>
      <sz val="11"/>
      <color theme="1"/>
      <name val="Lucida Sans"/>
      <family val="2"/>
      <scheme val="minor"/>
    </font>
    <font>
      <sz val="11"/>
      <color theme="1"/>
      <name val="Lucida Sans"/>
      <family val="2"/>
      <scheme val="minor"/>
    </font>
    <font>
      <b/>
      <sz val="11"/>
      <color theme="1"/>
      <name val="Lucida Sans"/>
      <family val="2"/>
      <scheme val="minor"/>
    </font>
    <font>
      <u/>
      <sz val="11"/>
      <color theme="10"/>
      <name val="Lucida Sans"/>
      <family val="2"/>
      <scheme val="minor"/>
    </font>
    <font>
      <sz val="11"/>
      <color rgb="FF3F3F76"/>
      <name val="Lucida Sans"/>
      <family val="2"/>
      <scheme val="minor"/>
    </font>
    <font>
      <sz val="10"/>
      <color theme="1"/>
      <name val="Lucida Sans"/>
      <family val="2"/>
    </font>
    <font>
      <sz val="12"/>
      <color theme="1"/>
      <name val="Lucida Sans"/>
      <family val="2"/>
      <scheme val="minor"/>
    </font>
    <font>
      <sz val="10"/>
      <name val="Lucida Sans"/>
      <family val="2"/>
      <scheme val="minor"/>
    </font>
    <font>
      <sz val="10"/>
      <name val="Arial"/>
      <family val="2"/>
    </font>
    <font>
      <sz val="1"/>
      <color indexed="8"/>
      <name val="Courier"/>
      <family val="3"/>
    </font>
    <font>
      <sz val="11"/>
      <color theme="0" tint="-0.24994659260841701"/>
      <name val="Lucida Sans"/>
      <family val="2"/>
      <scheme val="minor"/>
    </font>
    <font>
      <b/>
      <sz val="15"/>
      <color rgb="FF00456A"/>
      <name val="Lucida Sans"/>
      <family val="2"/>
      <scheme val="minor"/>
    </font>
    <font>
      <sz val="11"/>
      <color rgb="FF3F3F76"/>
      <name val="Calibri"/>
      <family val="2"/>
    </font>
    <font>
      <sz val="8"/>
      <color theme="0" tint="-0.34998626667073579"/>
      <name val="Lucida Sans"/>
      <family val="2"/>
    </font>
    <font>
      <sz val="8"/>
      <color rgb="FFA6A6A6"/>
      <name val="Lucida Sans"/>
      <family val="2"/>
    </font>
    <font>
      <sz val="8"/>
      <name val="Lucida Sans"/>
      <family val="2"/>
    </font>
    <font>
      <sz val="8"/>
      <name val="Arial"/>
      <family val="2"/>
    </font>
    <font>
      <b/>
      <sz val="14"/>
      <color theme="1"/>
      <name val="Lucida Sans"/>
      <family val="2"/>
      <scheme val="minor"/>
    </font>
    <font>
      <sz val="11"/>
      <name val="Lucida Sans"/>
      <family val="2"/>
      <scheme val="minor"/>
    </font>
    <font>
      <b/>
      <sz val="9"/>
      <name val="Lucida Sans"/>
      <family val="2"/>
    </font>
    <font>
      <b/>
      <sz val="16"/>
      <color theme="1"/>
      <name val="Lucida Sans"/>
      <family val="2"/>
      <scheme val="minor"/>
    </font>
    <font>
      <sz val="11"/>
      <color theme="0"/>
      <name val="Lucida Sans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i/>
      <sz val="11"/>
      <color rgb="FF7F7F7F"/>
      <name val="Lucida Sans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i/>
      <sz val="10"/>
      <color theme="2" tint="-0.499984740745262"/>
      <name val="Arial"/>
      <family val="2"/>
    </font>
    <font>
      <sz val="10"/>
      <color rgb="FF3F3F76"/>
      <name val="Arial"/>
      <family val="2"/>
    </font>
    <font>
      <b/>
      <sz val="10"/>
      <color theme="0"/>
      <name val="Arial"/>
      <family val="2"/>
    </font>
    <font>
      <b/>
      <i/>
      <sz val="10"/>
      <color theme="2" tint="-0.499984740745262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i/>
      <sz val="10"/>
      <color theme="0" tint="-0.499984740745262"/>
      <name val="Arial"/>
      <family val="2"/>
    </font>
    <font>
      <sz val="10"/>
      <color theme="1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i/>
      <sz val="10"/>
      <color rgb="FF7F7F7F"/>
      <name val="Arial"/>
      <family val="2"/>
    </font>
    <font>
      <sz val="11"/>
      <color rgb="FFFF0000"/>
      <name val="Lucida Sans"/>
      <family val="2"/>
      <scheme val="minor"/>
    </font>
    <font>
      <sz val="10"/>
      <color theme="3" tint="0.59999389629810485"/>
      <name val="Arial"/>
      <family val="2"/>
    </font>
    <font>
      <sz val="10"/>
      <color theme="9" tint="-0.249977111117893"/>
      <name val="Arial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sz val="12"/>
      <color theme="1"/>
      <name val="Lucida Sans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rgb="FFFFFF00"/>
        <bgColor indexed="64"/>
      </patternFill>
    </fill>
    <fill>
      <patternFill patternType="solid">
        <fgColor rgb="FFE3C0AF"/>
        <bgColor indexed="64"/>
      </patternFill>
    </fill>
    <fill>
      <patternFill patternType="solid">
        <fgColor rgb="FFE3C0AF"/>
        <bgColor rgb="FF000000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7BAFDE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EBD1C5"/>
        <bgColor rgb="FF000000"/>
      </patternFill>
    </fill>
    <fill>
      <patternFill patternType="solid">
        <fgColor rgb="FF7BAFDE"/>
        <bgColor rgb="FF000000"/>
      </patternFill>
    </fill>
    <fill>
      <patternFill patternType="solid">
        <fgColor rgb="FFCCC5BE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indexed="60"/>
      </patternFill>
    </fill>
    <fill>
      <patternFill patternType="solid">
        <fgColor rgb="FFAFBD21"/>
        <bgColor indexed="64"/>
      </patternFill>
    </fill>
    <fill>
      <patternFill patternType="solid">
        <fgColor rgb="FFCD8C6D"/>
        <bgColor indexed="64"/>
      </patternFill>
    </fill>
    <fill>
      <patternFill patternType="solid">
        <fgColor theme="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indexed="64"/>
      </bottom>
      <diagonal/>
    </border>
  </borders>
  <cellStyleXfs count="65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2" fillId="9" borderId="16" applyNumberFormat="0" applyAlignment="0" applyProtection="0"/>
    <xf numFmtId="0" fontId="5" fillId="0" borderId="0"/>
    <xf numFmtId="43" fontId="1" fillId="0" borderId="0" applyFont="0" applyFill="0" applyBorder="0" applyAlignment="0" applyProtection="0"/>
    <xf numFmtId="167" fontId="1" fillId="5" borderId="18">
      <alignment vertical="center"/>
    </xf>
    <xf numFmtId="167" fontId="1" fillId="5" borderId="18">
      <alignment vertical="center"/>
    </xf>
    <xf numFmtId="167" fontId="1" fillId="6" borderId="19">
      <alignment vertical="center"/>
    </xf>
    <xf numFmtId="168" fontId="7" fillId="0" borderId="0">
      <alignment horizontal="center" vertical="center"/>
    </xf>
    <xf numFmtId="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6" fillId="7" borderId="1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" fontId="2" fillId="8" borderId="10">
      <alignment horizontal="center" vertical="center"/>
    </xf>
    <xf numFmtId="0" fontId="9" fillId="0" borderId="0">
      <protection locked="0"/>
    </xf>
    <xf numFmtId="169" fontId="10" fillId="0" borderId="0" applyProtection="0">
      <alignment vertical="center"/>
    </xf>
    <xf numFmtId="0" fontId="11" fillId="0" borderId="20" applyNumberFormat="0" applyFill="0" applyProtection="0">
      <alignment vertical="center"/>
    </xf>
    <xf numFmtId="0" fontId="4" fillId="3" borderId="16" applyNumberFormat="0" applyAlignment="0" applyProtection="0"/>
    <xf numFmtId="0" fontId="12" fillId="9" borderId="16" applyNumberFormat="0" applyAlignment="0" applyProtection="0"/>
    <xf numFmtId="0" fontId="13" fillId="10" borderId="0">
      <alignment vertical="center"/>
    </xf>
    <xf numFmtId="0" fontId="13" fillId="10" borderId="0">
      <alignment vertical="center"/>
    </xf>
    <xf numFmtId="0" fontId="14" fillId="11" borderId="0">
      <alignment vertical="center"/>
    </xf>
    <xf numFmtId="0" fontId="1" fillId="8" borderId="2">
      <alignment horizontal="left" vertical="center"/>
    </xf>
    <xf numFmtId="0" fontId="1" fillId="12" borderId="2">
      <alignment horizontal="left" vertical="center"/>
    </xf>
    <xf numFmtId="0" fontId="2" fillId="8" borderId="2">
      <alignment horizontal="left" vertical="center"/>
    </xf>
    <xf numFmtId="0" fontId="1" fillId="13" borderId="21" applyProtection="0">
      <alignment vertical="center" wrapText="1"/>
    </xf>
    <xf numFmtId="1" fontId="15" fillId="14" borderId="0">
      <alignment vertical="top"/>
    </xf>
    <xf numFmtId="1" fontId="15" fillId="15" borderId="0">
      <alignment vertical="top"/>
    </xf>
    <xf numFmtId="0" fontId="8" fillId="0" borderId="0"/>
    <xf numFmtId="0" fontId="8" fillId="0" borderId="0"/>
    <xf numFmtId="0" fontId="16" fillId="16" borderId="0"/>
    <xf numFmtId="0" fontId="8" fillId="0" borderId="0"/>
    <xf numFmtId="0" fontId="8" fillId="0" borderId="0"/>
    <xf numFmtId="0" fontId="1" fillId="0" borderId="0"/>
    <xf numFmtId="0" fontId="1" fillId="0" borderId="0"/>
    <xf numFmtId="0" fontId="15" fillId="0" borderId="0">
      <alignment vertical="top"/>
    </xf>
    <xf numFmtId="0" fontId="8" fillId="0" borderId="0"/>
    <xf numFmtId="0" fontId="15" fillId="0" borderId="0">
      <alignment vertical="top"/>
    </xf>
    <xf numFmtId="0" fontId="1" fillId="0" borderId="0">
      <alignment vertical="center" wrapText="1"/>
    </xf>
    <xf numFmtId="0" fontId="8" fillId="0" borderId="0"/>
    <xf numFmtId="0" fontId="8" fillId="0" borderId="0"/>
    <xf numFmtId="0" fontId="8" fillId="0" borderId="0"/>
    <xf numFmtId="49" fontId="1" fillId="0" borderId="0">
      <alignment vertical="center" wrapText="1"/>
    </xf>
    <xf numFmtId="9" fontId="8" fillId="0" borderId="0" applyFont="0" applyFill="0" applyBorder="0" applyAlignment="0" applyProtection="0"/>
    <xf numFmtId="9" fontId="1" fillId="0" borderId="0" applyFont="0" applyFill="0" applyBorder="0" applyProtection="0">
      <alignment horizontal="center" vertical="center"/>
    </xf>
    <xf numFmtId="0" fontId="17" fillId="17" borderId="22">
      <alignment vertical="center" wrapText="1"/>
    </xf>
    <xf numFmtId="170" fontId="18" fillId="0" borderId="0">
      <alignment vertical="center"/>
    </xf>
    <xf numFmtId="4" fontId="19" fillId="18" borderId="1">
      <alignment vertical="center"/>
    </xf>
    <xf numFmtId="167" fontId="20" fillId="18" borderId="1" applyBorder="0">
      <alignment vertical="center"/>
    </xf>
    <xf numFmtId="0" fontId="2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2" fillId="9" borderId="16" applyNumberFormat="0" applyAlignment="0" applyProtection="0"/>
    <xf numFmtId="44" fontId="1" fillId="0" borderId="0" applyFont="0" applyFill="0" applyBorder="0" applyAlignment="0" applyProtection="0"/>
  </cellStyleXfs>
  <cellXfs count="265">
    <xf numFmtId="0" fontId="0" fillId="0" borderId="0" xfId="0"/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22" fillId="0" borderId="0" xfId="0" applyFont="1"/>
    <xf numFmtId="0" fontId="23" fillId="0" borderId="0" xfId="2" applyFont="1"/>
    <xf numFmtId="0" fontId="22" fillId="0" borderId="0" xfId="0" applyFont="1" applyAlignment="1">
      <alignment horizontal="center"/>
    </xf>
    <xf numFmtId="0" fontId="25" fillId="0" borderId="0" xfId="2" applyFont="1"/>
    <xf numFmtId="0" fontId="26" fillId="0" borderId="0" xfId="0" applyFont="1"/>
    <xf numFmtId="0" fontId="27" fillId="0" borderId="0" xfId="0" applyFont="1" applyFill="1"/>
    <xf numFmtId="0" fontId="26" fillId="0" borderId="0" xfId="0" applyFont="1" applyFill="1"/>
    <xf numFmtId="0" fontId="26" fillId="0" borderId="0" xfId="4" applyFont="1"/>
    <xf numFmtId="0" fontId="28" fillId="19" borderId="0" xfId="58" applyFont="1" applyAlignment="1">
      <alignment vertical="center"/>
    </xf>
    <xf numFmtId="0" fontId="29" fillId="0" borderId="0" xfId="0" applyFont="1" applyAlignment="1">
      <alignment horizontal="center" vertical="center" wrapText="1"/>
    </xf>
    <xf numFmtId="0" fontId="28" fillId="19" borderId="0" xfId="58" applyFont="1" applyAlignment="1">
      <alignment horizontal="center" vertical="center" wrapText="1"/>
    </xf>
    <xf numFmtId="0" fontId="29" fillId="0" borderId="0" xfId="0" applyFont="1" applyAlignment="1">
      <alignment horizontal="center"/>
    </xf>
    <xf numFmtId="166" fontId="30" fillId="9" borderId="16" xfId="3" applyNumberFormat="1" applyFont="1" applyProtection="1">
      <protection locked="0"/>
    </xf>
    <xf numFmtId="166" fontId="26" fillId="0" borderId="16" xfId="5" applyNumberFormat="1" applyFont="1" applyFill="1" applyBorder="1" applyProtection="1">
      <protection locked="0"/>
    </xf>
    <xf numFmtId="9" fontId="26" fillId="0" borderId="0" xfId="1" applyFont="1"/>
    <xf numFmtId="10" fontId="26" fillId="0" borderId="0" xfId="1" applyNumberFormat="1" applyFont="1"/>
    <xf numFmtId="166" fontId="26" fillId="0" borderId="0" xfId="5" applyNumberFormat="1" applyFont="1" applyFill="1"/>
    <xf numFmtId="0" fontId="31" fillId="19" borderId="0" xfId="58" applyFont="1" applyAlignment="1">
      <alignment vertical="center"/>
    </xf>
    <xf numFmtId="0" fontId="32" fillId="0" borderId="0" xfId="0" applyFont="1" applyAlignment="1">
      <alignment horizontal="center"/>
    </xf>
    <xf numFmtId="0" fontId="27" fillId="0" borderId="0" xfId="0" applyFont="1"/>
    <xf numFmtId="166" fontId="27" fillId="0" borderId="16" xfId="5" applyNumberFormat="1" applyFont="1" applyFill="1" applyBorder="1" applyProtection="1">
      <protection locked="0"/>
    </xf>
    <xf numFmtId="10" fontId="27" fillId="0" borderId="0" xfId="1" applyNumberFormat="1" applyFont="1"/>
    <xf numFmtId="10" fontId="27" fillId="0" borderId="0" xfId="1" applyNumberFormat="1" applyFont="1" applyFill="1"/>
    <xf numFmtId="0" fontId="26" fillId="22" borderId="0" xfId="0" applyFont="1" applyFill="1"/>
    <xf numFmtId="166" fontId="26" fillId="0" borderId="0" xfId="0" applyNumberFormat="1" applyFont="1"/>
    <xf numFmtId="0" fontId="26" fillId="0" borderId="0" xfId="4" applyFont="1" applyFill="1"/>
    <xf numFmtId="0" fontId="28" fillId="19" borderId="0" xfId="58" applyFont="1"/>
    <xf numFmtId="166" fontId="30" fillId="9" borderId="16" xfId="3" applyNumberFormat="1" applyFont="1"/>
    <xf numFmtId="14" fontId="30" fillId="9" borderId="16" xfId="3" applyNumberFormat="1" applyFont="1" applyAlignment="1">
      <alignment horizontal="center"/>
    </xf>
    <xf numFmtId="166" fontId="26" fillId="0" borderId="0" xfId="5" applyNumberFormat="1" applyFont="1" applyBorder="1"/>
    <xf numFmtId="0" fontId="33" fillId="0" borderId="0" xfId="0" applyFont="1" applyFill="1"/>
    <xf numFmtId="0" fontId="26" fillId="0" borderId="0" xfId="0" applyFont="1" applyFill="1" applyAlignment="1">
      <alignment horizontal="center"/>
    </xf>
    <xf numFmtId="0" fontId="28" fillId="19" borderId="23" xfId="58" applyFont="1" applyBorder="1"/>
    <xf numFmtId="0" fontId="28" fillId="19" borderId="23" xfId="58" applyFont="1" applyBorder="1" applyAlignment="1">
      <alignment horizontal="center" vertical="center" wrapText="1"/>
    </xf>
    <xf numFmtId="43" fontId="30" fillId="9" borderId="25" xfId="3" applyNumberFormat="1" applyFont="1" applyBorder="1"/>
    <xf numFmtId="43" fontId="30" fillId="9" borderId="26" xfId="3" applyNumberFormat="1" applyFont="1" applyBorder="1"/>
    <xf numFmtId="43" fontId="30" fillId="9" borderId="16" xfId="3" applyNumberFormat="1" applyFont="1" applyBorder="1"/>
    <xf numFmtId="43" fontId="30" fillId="9" borderId="28" xfId="3" applyNumberFormat="1" applyFont="1" applyBorder="1"/>
    <xf numFmtId="0" fontId="26" fillId="0" borderId="2" xfId="0" applyFont="1" applyBorder="1"/>
    <xf numFmtId="0" fontId="26" fillId="0" borderId="4" xfId="0" applyFont="1" applyBorder="1"/>
    <xf numFmtId="0" fontId="26" fillId="0" borderId="6" xfId="0" applyFont="1" applyBorder="1"/>
    <xf numFmtId="43" fontId="26" fillId="0" borderId="7" xfId="5" applyNumberFormat="1" applyFont="1" applyBorder="1"/>
    <xf numFmtId="0" fontId="33" fillId="0" borderId="0" xfId="0" applyFont="1"/>
    <xf numFmtId="0" fontId="26" fillId="0" borderId="29" xfId="0" applyFont="1" applyBorder="1"/>
    <xf numFmtId="0" fontId="26" fillId="0" borderId="0" xfId="0" applyFont="1" applyFill="1" applyAlignment="1">
      <alignment horizontal="center" vertical="center" wrapText="1"/>
    </xf>
    <xf numFmtId="0" fontId="34" fillId="0" borderId="0" xfId="4" applyFont="1"/>
    <xf numFmtId="0" fontId="35" fillId="0" borderId="0" xfId="4" applyFont="1"/>
    <xf numFmtId="9" fontId="30" fillId="9" borderId="16" xfId="1" applyFont="1" applyFill="1" applyBorder="1" applyProtection="1">
      <protection locked="0"/>
    </xf>
    <xf numFmtId="0" fontId="26" fillId="0" borderId="29" xfId="0" applyFont="1" applyBorder="1" applyAlignment="1">
      <alignment horizontal="center"/>
    </xf>
    <xf numFmtId="0" fontId="26" fillId="0" borderId="29" xfId="0" applyFont="1" applyBorder="1" applyAlignment="1">
      <alignment horizontal="left" indent="1"/>
    </xf>
    <xf numFmtId="0" fontId="27" fillId="0" borderId="0" xfId="4" applyFont="1"/>
    <xf numFmtId="166" fontId="26" fillId="0" borderId="29" xfId="5" applyNumberFormat="1" applyFont="1" applyFill="1" applyBorder="1" applyProtection="1">
      <protection locked="0"/>
    </xf>
    <xf numFmtId="166" fontId="30" fillId="0" borderId="16" xfId="3" applyNumberFormat="1" applyFont="1" applyFill="1" applyProtection="1">
      <protection locked="0"/>
    </xf>
    <xf numFmtId="9" fontId="26" fillId="0" borderId="29" xfId="1" applyFont="1" applyBorder="1"/>
    <xf numFmtId="0" fontId="26" fillId="0" borderId="29" xfId="0" applyFont="1" applyFill="1" applyBorder="1"/>
    <xf numFmtId="0" fontId="27" fillId="0" borderId="2" xfId="0" applyFont="1" applyBorder="1"/>
    <xf numFmtId="0" fontId="26" fillId="0" borderId="8" xfId="0" applyFont="1" applyBorder="1"/>
    <xf numFmtId="0" fontId="26" fillId="0" borderId="3" xfId="0" applyFont="1" applyBorder="1"/>
    <xf numFmtId="0" fontId="26" fillId="0" borderId="0" xfId="0" applyFont="1" applyBorder="1"/>
    <xf numFmtId="0" fontId="26" fillId="0" borderId="0" xfId="0" applyFont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8" fillId="19" borderId="2" xfId="58" applyFont="1" applyBorder="1" applyAlignment="1">
      <alignment horizontal="center" vertical="center" wrapText="1"/>
    </xf>
    <xf numFmtId="0" fontId="28" fillId="19" borderId="8" xfId="58" applyFont="1" applyBorder="1" applyAlignment="1">
      <alignment horizontal="center" vertical="center" wrapText="1"/>
    </xf>
    <xf numFmtId="0" fontId="28" fillId="19" borderId="3" xfId="58" applyFont="1" applyBorder="1" applyAlignment="1">
      <alignment horizontal="center" vertical="center" wrapText="1"/>
    </xf>
    <xf numFmtId="0" fontId="28" fillId="19" borderId="4" xfId="58" applyFont="1" applyBorder="1" applyAlignment="1">
      <alignment horizontal="center" vertical="center" wrapText="1"/>
    </xf>
    <xf numFmtId="0" fontId="28" fillId="19" borderId="0" xfId="58" applyFont="1" applyBorder="1" applyAlignment="1">
      <alignment horizontal="center" vertical="center" wrapText="1"/>
    </xf>
    <xf numFmtId="0" fontId="28" fillId="19" borderId="5" xfId="58" applyFont="1" applyBorder="1" applyAlignment="1">
      <alignment horizontal="center" vertical="center" wrapText="1"/>
    </xf>
    <xf numFmtId="0" fontId="26" fillId="0" borderId="0" xfId="0" applyFont="1" applyFill="1" applyBorder="1"/>
    <xf numFmtId="0" fontId="26" fillId="0" borderId="2" xfId="0" applyFont="1" applyBorder="1" applyAlignment="1" applyProtection="1">
      <alignment horizontal="center"/>
      <protection locked="0"/>
    </xf>
    <xf numFmtId="0" fontId="26" fillId="0" borderId="3" xfId="0" applyFont="1" applyBorder="1" applyAlignment="1" applyProtection="1">
      <alignment horizontal="center"/>
      <protection locked="0"/>
    </xf>
    <xf numFmtId="166" fontId="26" fillId="0" borderId="4" xfId="5" applyNumberFormat="1" applyFont="1" applyBorder="1"/>
    <xf numFmtId="43" fontId="26" fillId="0" borderId="0" xfId="5" applyFont="1" applyBorder="1"/>
    <xf numFmtId="172" fontId="26" fillId="0" borderId="5" xfId="0" applyNumberFormat="1" applyFont="1" applyBorder="1"/>
    <xf numFmtId="173" fontId="26" fillId="0" borderId="4" xfId="0" applyNumberFormat="1" applyFont="1" applyBorder="1"/>
    <xf numFmtId="173" fontId="26" fillId="0" borderId="0" xfId="0" applyNumberFormat="1" applyFont="1" applyBorder="1"/>
    <xf numFmtId="173" fontId="26" fillId="0" borderId="5" xfId="0" applyNumberFormat="1" applyFont="1" applyBorder="1"/>
    <xf numFmtId="9" fontId="26" fillId="0" borderId="0" xfId="1" applyNumberFormat="1" applyFont="1"/>
    <xf numFmtId="9" fontId="26" fillId="0" borderId="0" xfId="0" applyNumberFormat="1" applyFont="1"/>
    <xf numFmtId="9" fontId="26" fillId="0" borderId="4" xfId="1" applyFont="1" applyBorder="1"/>
    <xf numFmtId="9" fontId="26" fillId="0" borderId="5" xfId="1" applyFont="1" applyBorder="1"/>
    <xf numFmtId="165" fontId="26" fillId="0" borderId="5" xfId="1" applyNumberFormat="1" applyFont="1" applyBorder="1"/>
    <xf numFmtId="166" fontId="26" fillId="0" borderId="0" xfId="5" applyNumberFormat="1" applyFont="1"/>
    <xf numFmtId="0" fontId="26" fillId="0" borderId="4" xfId="0" applyFont="1" applyBorder="1" applyAlignment="1" applyProtection="1">
      <alignment horizontal="center"/>
      <protection locked="0"/>
    </xf>
    <xf numFmtId="0" fontId="26" fillId="0" borderId="5" xfId="0" applyFont="1" applyBorder="1" applyAlignment="1" applyProtection="1">
      <alignment horizontal="center"/>
      <protection locked="0"/>
    </xf>
    <xf numFmtId="0" fontId="26" fillId="0" borderId="30" xfId="0" applyFont="1" applyBorder="1"/>
    <xf numFmtId="9" fontId="26" fillId="0" borderId="31" xfId="0" applyNumberFormat="1" applyFont="1" applyBorder="1"/>
    <xf numFmtId="9" fontId="26" fillId="0" borderId="0" xfId="0" applyNumberFormat="1" applyFont="1" applyBorder="1"/>
    <xf numFmtId="0" fontId="26" fillId="0" borderId="32" xfId="0" applyFont="1" applyBorder="1"/>
    <xf numFmtId="9" fontId="26" fillId="0" borderId="33" xfId="0" applyNumberFormat="1" applyFont="1" applyBorder="1"/>
    <xf numFmtId="0" fontId="26" fillId="0" borderId="33" xfId="0" applyFont="1" applyBorder="1"/>
    <xf numFmtId="0" fontId="26" fillId="0" borderId="0" xfId="1" applyNumberFormat="1" applyFont="1" applyBorder="1"/>
    <xf numFmtId="10" fontId="26" fillId="0" borderId="33" xfId="1" applyNumberFormat="1" applyFont="1" applyBorder="1"/>
    <xf numFmtId="10" fontId="26" fillId="0" borderId="34" xfId="1" applyNumberFormat="1" applyFont="1" applyBorder="1"/>
    <xf numFmtId="10" fontId="26" fillId="0" borderId="0" xfId="1" applyNumberFormat="1" applyFont="1" applyBorder="1"/>
    <xf numFmtId="0" fontId="26" fillId="0" borderId="35" xfId="0" applyFont="1" applyBorder="1"/>
    <xf numFmtId="10" fontId="26" fillId="0" borderId="36" xfId="0" applyNumberFormat="1" applyFont="1" applyBorder="1"/>
    <xf numFmtId="10" fontId="26" fillId="0" borderId="0" xfId="0" applyNumberFormat="1" applyFont="1"/>
    <xf numFmtId="0" fontId="26" fillId="0" borderId="0" xfId="0" applyFont="1" applyBorder="1" applyAlignment="1">
      <alignment horizontal="left" vertical="top"/>
    </xf>
    <xf numFmtId="0" fontId="26" fillId="0" borderId="0" xfId="0" applyNumberFormat="1" applyFont="1"/>
    <xf numFmtId="9" fontId="26" fillId="0" borderId="10" xfId="0" applyNumberFormat="1" applyFont="1" applyBorder="1"/>
    <xf numFmtId="9" fontId="26" fillId="0" borderId="12" xfId="1" applyFont="1" applyBorder="1"/>
    <xf numFmtId="166" fontId="26" fillId="0" borderId="10" xfId="5" applyNumberFormat="1" applyFont="1" applyBorder="1"/>
    <xf numFmtId="166" fontId="26" fillId="0" borderId="11" xfId="5" applyNumberFormat="1" applyFont="1" applyBorder="1"/>
    <xf numFmtId="165" fontId="26" fillId="0" borderId="12" xfId="1" applyNumberFormat="1" applyFont="1" applyBorder="1"/>
    <xf numFmtId="9" fontId="26" fillId="0" borderId="10" xfId="1" applyFont="1" applyBorder="1"/>
    <xf numFmtId="9" fontId="26" fillId="0" borderId="0" xfId="1" applyFont="1" applyBorder="1"/>
    <xf numFmtId="171" fontId="26" fillId="0" borderId="4" xfId="1" applyNumberFormat="1" applyFont="1" applyFill="1" applyBorder="1"/>
    <xf numFmtId="10" fontId="26" fillId="4" borderId="0" xfId="1" applyNumberFormat="1" applyFont="1" applyFill="1" applyBorder="1"/>
    <xf numFmtId="0" fontId="26" fillId="0" borderId="5" xfId="0" applyFont="1" applyBorder="1"/>
    <xf numFmtId="0" fontId="26" fillId="0" borderId="9" xfId="0" applyFont="1" applyBorder="1"/>
    <xf numFmtId="0" fontId="26" fillId="0" borderId="7" xfId="0" applyFont="1" applyBorder="1"/>
    <xf numFmtId="0" fontId="26" fillId="0" borderId="0" xfId="0" applyFont="1" applyProtection="1"/>
    <xf numFmtId="0" fontId="28" fillId="19" borderId="0" xfId="58" applyFont="1" applyAlignment="1">
      <alignment horizontal="left" vertical="center"/>
    </xf>
    <xf numFmtId="164" fontId="27" fillId="0" borderId="0" xfId="0" quotePrefix="1" applyNumberFormat="1" applyFont="1" applyAlignment="1" applyProtection="1">
      <alignment horizontal="left"/>
    </xf>
    <xf numFmtId="0" fontId="27" fillId="0" borderId="0" xfId="0" applyFont="1" applyProtection="1"/>
    <xf numFmtId="0" fontId="36" fillId="0" borderId="0" xfId="2" applyFont="1" applyProtection="1"/>
    <xf numFmtId="0" fontId="26" fillId="0" borderId="0" xfId="0" applyFont="1" applyAlignment="1" applyProtection="1">
      <alignment horizontal="center"/>
    </xf>
    <xf numFmtId="0" fontId="26" fillId="0" borderId="1" xfId="0" applyFont="1" applyBorder="1" applyProtection="1"/>
    <xf numFmtId="0" fontId="26" fillId="0" borderId="1" xfId="0" applyFont="1" applyBorder="1" applyAlignment="1" applyProtection="1">
      <alignment horizontal="center" vertical="center" wrapText="1"/>
    </xf>
    <xf numFmtId="0" fontId="27" fillId="2" borderId="2" xfId="0" applyFont="1" applyFill="1" applyBorder="1" applyProtection="1"/>
    <xf numFmtId="0" fontId="27" fillId="2" borderId="8" xfId="0" applyFont="1" applyFill="1" applyBorder="1" applyAlignment="1" applyProtection="1">
      <alignment horizontal="left"/>
    </xf>
    <xf numFmtId="0" fontId="27" fillId="2" borderId="8" xfId="0" applyFont="1" applyFill="1" applyBorder="1" applyProtection="1"/>
    <xf numFmtId="0" fontId="26" fillId="0" borderId="3" xfId="0" applyFont="1" applyBorder="1" applyProtection="1"/>
    <xf numFmtId="9" fontId="26" fillId="0" borderId="0" xfId="1" applyFont="1" applyProtection="1"/>
    <xf numFmtId="9" fontId="26" fillId="0" borderId="1" xfId="1" applyFont="1" applyBorder="1" applyProtection="1"/>
    <xf numFmtId="0" fontId="26" fillId="2" borderId="0" xfId="0" applyFont="1" applyFill="1" applyBorder="1" applyAlignment="1" applyProtection="1">
      <alignment horizontal="left"/>
    </xf>
    <xf numFmtId="0" fontId="26" fillId="0" borderId="5" xfId="0" applyFont="1" applyBorder="1" applyProtection="1"/>
    <xf numFmtId="1" fontId="26" fillId="2" borderId="0" xfId="0" applyNumberFormat="1" applyFont="1" applyFill="1" applyBorder="1" applyAlignment="1" applyProtection="1">
      <alignment horizontal="left"/>
    </xf>
    <xf numFmtId="1" fontId="26" fillId="2" borderId="9" xfId="0" applyNumberFormat="1" applyFont="1" applyFill="1" applyBorder="1" applyAlignment="1" applyProtection="1">
      <alignment horizontal="left"/>
    </xf>
    <xf numFmtId="0" fontId="26" fillId="0" borderId="7" xfId="0" applyFont="1" applyBorder="1" applyProtection="1"/>
    <xf numFmtId="0" fontId="26" fillId="0" borderId="0" xfId="0" applyFont="1" applyBorder="1" applyProtection="1"/>
    <xf numFmtId="0" fontId="26" fillId="2" borderId="3" xfId="0" applyFont="1" applyFill="1" applyBorder="1" applyProtection="1"/>
    <xf numFmtId="0" fontId="26" fillId="2" borderId="0" xfId="0" applyFont="1" applyFill="1" applyBorder="1" applyProtection="1"/>
    <xf numFmtId="0" fontId="26" fillId="2" borderId="4" xfId="0" applyFont="1" applyFill="1" applyBorder="1" applyProtection="1"/>
    <xf numFmtId="0" fontId="37" fillId="2" borderId="0" xfId="0" applyFont="1" applyFill="1" applyBorder="1" applyProtection="1"/>
    <xf numFmtId="0" fontId="26" fillId="2" borderId="6" xfId="0" applyFont="1" applyFill="1" applyBorder="1" applyProtection="1"/>
    <xf numFmtId="0" fontId="26" fillId="2" borderId="0" xfId="0" applyFont="1" applyFill="1" applyBorder="1" applyAlignment="1" applyProtection="1">
      <alignment horizontal="center"/>
    </xf>
    <xf numFmtId="0" fontId="27" fillId="0" borderId="13" xfId="0" applyFont="1" applyBorder="1" applyProtection="1"/>
    <xf numFmtId="0" fontId="26" fillId="0" borderId="14" xfId="0" applyFont="1" applyBorder="1" applyProtection="1"/>
    <xf numFmtId="0" fontId="27" fillId="0" borderId="2" xfId="0" applyFont="1" applyBorder="1" applyProtection="1"/>
    <xf numFmtId="0" fontId="27" fillId="0" borderId="4" xfId="0" applyFont="1" applyBorder="1" applyProtection="1"/>
    <xf numFmtId="10" fontId="26" fillId="0" borderId="5" xfId="1" applyNumberFormat="1" applyFont="1" applyBorder="1" applyProtection="1"/>
    <xf numFmtId="0" fontId="26" fillId="0" borderId="7" xfId="0" applyFont="1" applyBorder="1" applyAlignment="1" applyProtection="1">
      <alignment horizontal="right"/>
    </xf>
    <xf numFmtId="0" fontId="38" fillId="0" borderId="0" xfId="2" applyFont="1" applyBorder="1" applyProtection="1"/>
    <xf numFmtId="9" fontId="26" fillId="0" borderId="0" xfId="0" applyNumberFormat="1" applyFont="1" applyBorder="1" applyProtection="1"/>
    <xf numFmtId="0" fontId="25" fillId="0" borderId="0" xfId="2" applyFont="1" applyBorder="1" applyProtection="1"/>
    <xf numFmtId="0" fontId="27" fillId="0" borderId="2" xfId="0" applyFont="1" applyBorder="1" applyAlignment="1" applyProtection="1">
      <alignment horizontal="left" vertical="top" wrapText="1"/>
    </xf>
    <xf numFmtId="0" fontId="26" fillId="0" borderId="8" xfId="0" applyFont="1" applyBorder="1" applyProtection="1"/>
    <xf numFmtId="0" fontId="27" fillId="0" borderId="8" xfId="0" applyFont="1" applyBorder="1" applyAlignment="1" applyProtection="1">
      <alignment horizontal="right" vertical="top"/>
    </xf>
    <xf numFmtId="0" fontId="27" fillId="0" borderId="3" xfId="0" applyFont="1" applyBorder="1" applyAlignment="1" applyProtection="1">
      <alignment horizontal="right" vertical="top"/>
    </xf>
    <xf numFmtId="0" fontId="26" fillId="21" borderId="17" xfId="60" applyFont="1" applyBorder="1" applyProtection="1">
      <protection locked="0"/>
    </xf>
    <xf numFmtId="0" fontId="26" fillId="0" borderId="9" xfId="0" applyFont="1" applyBorder="1" applyProtection="1"/>
    <xf numFmtId="10" fontId="26" fillId="0" borderId="9" xfId="1" applyNumberFormat="1" applyFont="1" applyBorder="1" applyProtection="1"/>
    <xf numFmtId="10" fontId="26" fillId="0" borderId="7" xfId="1" applyNumberFormat="1" applyFont="1" applyBorder="1" applyProtection="1"/>
    <xf numFmtId="0" fontId="26" fillId="22" borderId="0" xfId="0" applyFont="1" applyFill="1" applyProtection="1"/>
    <xf numFmtId="0" fontId="30" fillId="0" borderId="16" xfId="3" applyFont="1" applyFill="1"/>
    <xf numFmtId="0" fontId="30" fillId="0" borderId="27" xfId="3" applyFont="1" applyFill="1" applyBorder="1"/>
    <xf numFmtId="0" fontId="28" fillId="19" borderId="0" xfId="58" applyFont="1" applyAlignment="1">
      <alignment horizontal="centerContinuous"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4" applyFont="1" applyAlignment="1">
      <alignment horizontal="left" indent="1"/>
    </xf>
    <xf numFmtId="0" fontId="26" fillId="24" borderId="0" xfId="4" applyFont="1" applyFill="1"/>
    <xf numFmtId="0" fontId="26" fillId="25" borderId="0" xfId="4" applyFont="1" applyFill="1"/>
    <xf numFmtId="0" fontId="28" fillId="19" borderId="0" xfId="58" applyFont="1" applyBorder="1" applyAlignment="1">
      <alignment horizontal="center"/>
    </xf>
    <xf numFmtId="0" fontId="39" fillId="0" borderId="0" xfId="61" applyFont="1" applyFill="1" applyBorder="1" applyAlignment="1">
      <alignment horizontal="center" vertical="center" wrapText="1"/>
    </xf>
    <xf numFmtId="0" fontId="26" fillId="26" borderId="0" xfId="4" applyFont="1" applyFill="1"/>
    <xf numFmtId="0" fontId="26" fillId="27" borderId="0" xfId="4" applyFont="1" applyFill="1"/>
    <xf numFmtId="0" fontId="26" fillId="28" borderId="0" xfId="4" applyFont="1" applyFill="1"/>
    <xf numFmtId="0" fontId="30" fillId="0" borderId="24" xfId="3" applyFont="1" applyFill="1" applyBorder="1"/>
    <xf numFmtId="0" fontId="26" fillId="29" borderId="29" xfId="0" applyFont="1" applyFill="1" applyBorder="1" applyAlignment="1">
      <alignment horizontal="center"/>
    </xf>
    <xf numFmtId="166" fontId="26" fillId="0" borderId="13" xfId="5" applyNumberFormat="1" applyFont="1" applyBorder="1"/>
    <xf numFmtId="0" fontId="26" fillId="30" borderId="37" xfId="59" applyFont="1" applyFill="1" applyBorder="1" applyAlignment="1">
      <alignment horizontal="left" indent="1"/>
    </xf>
    <xf numFmtId="0" fontId="31" fillId="19" borderId="0" xfId="58" applyFont="1"/>
    <xf numFmtId="0" fontId="26" fillId="0" borderId="0" xfId="4" applyFont="1" applyFill="1" applyAlignment="1">
      <alignment horizontal="left" indent="1"/>
    </xf>
    <xf numFmtId="0" fontId="27" fillId="0" borderId="2" xfId="0" applyFont="1" applyBorder="1" applyAlignment="1">
      <alignment horizontal="left"/>
    </xf>
    <xf numFmtId="0" fontId="27" fillId="0" borderId="3" xfId="0" applyFont="1" applyBorder="1"/>
    <xf numFmtId="0" fontId="27" fillId="0" borderId="8" xfId="0" applyFont="1" applyBorder="1"/>
    <xf numFmtId="165" fontId="26" fillId="0" borderId="0" xfId="1" applyNumberFormat="1" applyFont="1" applyBorder="1"/>
    <xf numFmtId="165" fontId="26" fillId="0" borderId="11" xfId="1" applyNumberFormat="1" applyFont="1" applyBorder="1"/>
    <xf numFmtId="0" fontId="27" fillId="0" borderId="38" xfId="0" applyFont="1" applyBorder="1"/>
    <xf numFmtId="0" fontId="26" fillId="0" borderId="39" xfId="0" applyFont="1" applyBorder="1"/>
    <xf numFmtId="0" fontId="28" fillId="19" borderId="40" xfId="58" applyFont="1" applyBorder="1" applyAlignment="1">
      <alignment horizontal="center" vertical="center" wrapText="1"/>
    </xf>
    <xf numFmtId="0" fontId="28" fillId="19" borderId="41" xfId="58" applyFont="1" applyBorder="1" applyAlignment="1">
      <alignment horizontal="center" vertical="center" wrapText="1"/>
    </xf>
    <xf numFmtId="166" fontId="26" fillId="0" borderId="40" xfId="5" applyNumberFormat="1" applyFont="1" applyBorder="1"/>
    <xf numFmtId="166" fontId="26" fillId="0" borderId="41" xfId="5" applyNumberFormat="1" applyFont="1" applyBorder="1"/>
    <xf numFmtId="166" fontId="26" fillId="0" borderId="42" xfId="5" applyNumberFormat="1" applyFont="1" applyBorder="1"/>
    <xf numFmtId="166" fontId="26" fillId="0" borderId="43" xfId="5" applyNumberFormat="1" applyFont="1" applyBorder="1"/>
    <xf numFmtId="0" fontId="26" fillId="0" borderId="37" xfId="0" applyFont="1" applyBorder="1"/>
    <xf numFmtId="43" fontId="26" fillId="0" borderId="37" xfId="5" applyFont="1" applyBorder="1"/>
    <xf numFmtId="10" fontId="26" fillId="0" borderId="37" xfId="1" applyNumberFormat="1" applyFont="1" applyBorder="1"/>
    <xf numFmtId="166" fontId="26" fillId="0" borderId="37" xfId="5" applyNumberFormat="1" applyFont="1" applyBorder="1"/>
    <xf numFmtId="0" fontId="8" fillId="30" borderId="0" xfId="58" applyFont="1" applyFill="1" applyAlignment="1">
      <alignment horizontal="center" vertical="center" wrapText="1"/>
    </xf>
    <xf numFmtId="0" fontId="3" fillId="0" borderId="0" xfId="2"/>
    <xf numFmtId="9" fontId="41" fillId="0" borderId="37" xfId="4" applyNumberFormat="1" applyFont="1" applyBorder="1" applyAlignment="1">
      <alignment horizontal="center"/>
    </xf>
    <xf numFmtId="9" fontId="42" fillId="0" borderId="37" xfId="4" applyNumberFormat="1" applyFont="1" applyBorder="1" applyAlignment="1">
      <alignment horizontal="center"/>
    </xf>
    <xf numFmtId="0" fontId="43" fillId="0" borderId="0" xfId="62" applyFont="1" applyAlignment="1">
      <alignment horizontal="center"/>
    </xf>
    <xf numFmtId="0" fontId="28" fillId="4" borderId="0" xfId="58" applyFont="1" applyFill="1" applyBorder="1" applyAlignment="1">
      <alignment horizontal="center"/>
    </xf>
    <xf numFmtId="0" fontId="26" fillId="31" borderId="0" xfId="4" applyFont="1" applyFill="1"/>
    <xf numFmtId="0" fontId="26" fillId="0" borderId="29" xfId="0" applyFont="1" applyFill="1" applyBorder="1" applyAlignment="1">
      <alignment horizontal="center"/>
    </xf>
    <xf numFmtId="0" fontId="28" fillId="0" borderId="0" xfId="58" applyFont="1" applyFill="1" applyAlignment="1">
      <alignment horizontal="center" vertical="center" wrapText="1"/>
    </xf>
    <xf numFmtId="9" fontId="26" fillId="0" borderId="45" xfId="1" applyFont="1" applyBorder="1" applyProtection="1"/>
    <xf numFmtId="9" fontId="26" fillId="0" borderId="37" xfId="1" applyFont="1" applyBorder="1" applyProtection="1"/>
    <xf numFmtId="0" fontId="28" fillId="19" borderId="44" xfId="58" applyFont="1" applyBorder="1" applyAlignment="1">
      <alignment horizontal="center" vertical="center" wrapText="1"/>
    </xf>
    <xf numFmtId="9" fontId="26" fillId="0" borderId="47" xfId="1" applyFont="1" applyBorder="1"/>
    <xf numFmtId="9" fontId="26" fillId="0" borderId="45" xfId="1" applyFont="1" applyBorder="1"/>
    <xf numFmtId="9" fontId="26" fillId="0" borderId="48" xfId="1" applyFont="1" applyBorder="1"/>
    <xf numFmtId="9" fontId="26" fillId="0" borderId="46" xfId="1" applyFont="1" applyBorder="1"/>
    <xf numFmtId="0" fontId="34" fillId="0" borderId="0" xfId="4" applyFont="1" applyFill="1"/>
    <xf numFmtId="9" fontId="30" fillId="0" borderId="0" xfId="1" applyFont="1" applyFill="1" applyBorder="1" applyProtection="1">
      <protection locked="0"/>
    </xf>
    <xf numFmtId="43" fontId="26" fillId="0" borderId="37" xfId="5" applyFont="1" applyFill="1" applyBorder="1"/>
    <xf numFmtId="10" fontId="26" fillId="0" borderId="37" xfId="1" applyNumberFormat="1" applyFont="1" applyFill="1" applyBorder="1"/>
    <xf numFmtId="9" fontId="26" fillId="0" borderId="0" xfId="1" applyFont="1" applyBorder="1" applyProtection="1"/>
    <xf numFmtId="11" fontId="26" fillId="0" borderId="34" xfId="1" applyNumberFormat="1" applyFont="1" applyBorder="1"/>
    <xf numFmtId="0" fontId="35" fillId="0" borderId="0" xfId="0" applyFont="1" applyBorder="1" applyProtection="1"/>
    <xf numFmtId="0" fontId="26" fillId="0" borderId="3" xfId="0" applyFont="1" applyFill="1" applyBorder="1" applyProtection="1"/>
    <xf numFmtId="0" fontId="26" fillId="0" borderId="4" xfId="0" applyFont="1" applyFill="1" applyBorder="1" applyProtection="1"/>
    <xf numFmtId="0" fontId="26" fillId="0" borderId="6" xfId="0" applyFont="1" applyFill="1" applyBorder="1" applyProtection="1"/>
    <xf numFmtId="0" fontId="26" fillId="0" borderId="3" xfId="0" applyFont="1" applyFill="1" applyBorder="1" applyAlignment="1" applyProtection="1">
      <alignment horizontal="left"/>
    </xf>
    <xf numFmtId="9" fontId="26" fillId="0" borderId="5" xfId="0" applyNumberFormat="1" applyFont="1" applyFill="1" applyBorder="1" applyAlignment="1" applyProtection="1">
      <alignment horizontal="left"/>
    </xf>
    <xf numFmtId="9" fontId="26" fillId="0" borderId="7" xfId="0" applyNumberFormat="1" applyFont="1" applyFill="1" applyBorder="1" applyAlignment="1" applyProtection="1">
      <alignment horizontal="left"/>
    </xf>
    <xf numFmtId="0" fontId="27" fillId="0" borderId="2" xfId="0" applyFont="1" applyFill="1" applyBorder="1" applyProtection="1"/>
    <xf numFmtId="9" fontId="26" fillId="0" borderId="12" xfId="0" applyNumberFormat="1" applyFont="1" applyFill="1" applyBorder="1" applyAlignment="1" applyProtection="1">
      <alignment horizontal="left"/>
    </xf>
    <xf numFmtId="11" fontId="26" fillId="0" borderId="8" xfId="0" applyNumberFormat="1" applyFont="1" applyFill="1" applyBorder="1" applyProtection="1"/>
    <xf numFmtId="10" fontId="26" fillId="0" borderId="0" xfId="1" applyNumberFormat="1" applyFont="1" applyFill="1" applyBorder="1" applyProtection="1"/>
    <xf numFmtId="0" fontId="26" fillId="0" borderId="5" xfId="0" applyFont="1" applyFill="1" applyBorder="1" applyProtection="1"/>
    <xf numFmtId="11" fontId="26" fillId="0" borderId="0" xfId="0" applyNumberFormat="1" applyFont="1" applyFill="1" applyBorder="1" applyProtection="1"/>
    <xf numFmtId="0" fontId="26" fillId="0" borderId="9" xfId="0" applyFont="1" applyFill="1" applyBorder="1" applyProtection="1"/>
    <xf numFmtId="0" fontId="26" fillId="0" borderId="7" xfId="0" applyFont="1" applyFill="1" applyBorder="1" applyProtection="1"/>
    <xf numFmtId="0" fontId="27" fillId="0" borderId="10" xfId="0" applyFont="1" applyFill="1" applyBorder="1" applyProtection="1"/>
    <xf numFmtId="0" fontId="3" fillId="2" borderId="4" xfId="2" applyFill="1" applyBorder="1" applyProtection="1">
      <protection locked="0"/>
    </xf>
    <xf numFmtId="0" fontId="3" fillId="2" borderId="6" xfId="2" applyFill="1" applyBorder="1" applyProtection="1">
      <protection locked="0"/>
    </xf>
    <xf numFmtId="0" fontId="3" fillId="0" borderId="15" xfId="2" applyBorder="1" applyProtection="1">
      <protection locked="0"/>
    </xf>
    <xf numFmtId="0" fontId="26" fillId="23" borderId="1" xfId="0" applyFont="1" applyFill="1" applyBorder="1" applyAlignment="1" applyProtection="1">
      <alignment horizontal="center" vertical="center" wrapText="1"/>
      <protection locked="0"/>
    </xf>
    <xf numFmtId="9" fontId="30" fillId="9" borderId="5" xfId="3" applyNumberFormat="1" applyFont="1" applyBorder="1" applyProtection="1">
      <protection locked="0"/>
    </xf>
    <xf numFmtId="9" fontId="30" fillId="9" borderId="7" xfId="3" applyNumberFormat="1" applyFont="1" applyBorder="1" applyProtection="1">
      <protection locked="0"/>
    </xf>
    <xf numFmtId="0" fontId="27" fillId="0" borderId="10" xfId="0" applyFont="1" applyBorder="1" applyProtection="1"/>
    <xf numFmtId="0" fontId="26" fillId="0" borderId="11" xfId="0" applyFont="1" applyBorder="1"/>
    <xf numFmtId="9" fontId="27" fillId="0" borderId="12" xfId="1" applyNumberFormat="1" applyFont="1" applyFill="1" applyBorder="1" applyProtection="1"/>
    <xf numFmtId="0" fontId="27" fillId="0" borderId="6" xfId="0" applyFont="1" applyFill="1" applyBorder="1"/>
    <xf numFmtId="11" fontId="31" fillId="32" borderId="3" xfId="3" applyNumberFormat="1" applyFont="1" applyFill="1" applyBorder="1" applyProtection="1">
      <protection locked="0"/>
    </xf>
    <xf numFmtId="43" fontId="31" fillId="32" borderId="0" xfId="5" applyNumberFormat="1" applyFont="1" applyFill="1" applyBorder="1"/>
    <xf numFmtId="0" fontId="27" fillId="0" borderId="8" xfId="4" applyFont="1" applyBorder="1"/>
    <xf numFmtId="0" fontId="27" fillId="0" borderId="8" xfId="0" applyFont="1" applyFill="1" applyBorder="1"/>
    <xf numFmtId="0" fontId="27" fillId="0" borderId="3" xfId="0" applyFont="1" applyFill="1" applyBorder="1"/>
    <xf numFmtId="0" fontId="26" fillId="0" borderId="4" xfId="0" applyFont="1" applyBorder="1" applyAlignment="1">
      <alignment horizontal="left" indent="1"/>
    </xf>
    <xf numFmtId="0" fontId="26" fillId="30" borderId="0" xfId="59" applyFont="1" applyFill="1" applyBorder="1" applyAlignment="1">
      <alignment horizontal="left" indent="1"/>
    </xf>
    <xf numFmtId="0" fontId="26" fillId="0" borderId="0" xfId="0" applyFont="1" applyBorder="1" applyAlignment="1">
      <alignment horizontal="left" indent="1"/>
    </xf>
    <xf numFmtId="0" fontId="26" fillId="0" borderId="5" xfId="0" applyFont="1" applyFill="1" applyBorder="1" applyAlignment="1">
      <alignment horizontal="left" indent="1"/>
    </xf>
    <xf numFmtId="0" fontId="26" fillId="20" borderId="0" xfId="59" applyFont="1" applyBorder="1" applyAlignment="1">
      <alignment horizontal="left" indent="1"/>
    </xf>
    <xf numFmtId="0" fontId="26" fillId="0" borderId="4" xfId="0" applyFont="1" applyBorder="1" applyAlignment="1">
      <alignment horizontal="left" indent="2"/>
    </xf>
    <xf numFmtId="0" fontId="26" fillId="0" borderId="5" xfId="0" applyFont="1" applyFill="1" applyBorder="1"/>
    <xf numFmtId="0" fontId="26" fillId="0" borderId="6" xfId="0" applyFont="1" applyBorder="1" applyAlignment="1">
      <alignment horizontal="left" indent="2"/>
    </xf>
    <xf numFmtId="0" fontId="26" fillId="0" borderId="9" xfId="0" applyFont="1" applyBorder="1" applyAlignment="1">
      <alignment horizontal="left" indent="1"/>
    </xf>
    <xf numFmtId="0" fontId="26" fillId="0" borderId="9" xfId="0" applyFont="1" applyFill="1" applyBorder="1"/>
    <xf numFmtId="0" fontId="26" fillId="0" borderId="7" xfId="0" applyFont="1" applyFill="1" applyBorder="1"/>
    <xf numFmtId="9" fontId="26" fillId="0" borderId="0" xfId="1" applyNumberFormat="1" applyFont="1" applyFill="1"/>
    <xf numFmtId="0" fontId="12" fillId="9" borderId="16" xfId="3"/>
    <xf numFmtId="9" fontId="26" fillId="0" borderId="12" xfId="1" applyNumberFormat="1" applyFont="1" applyFill="1" applyBorder="1"/>
    <xf numFmtId="0" fontId="31" fillId="19" borderId="0" xfId="58" applyFont="1" applyAlignment="1">
      <alignment horizontal="left" vertical="center" wrapText="1"/>
    </xf>
    <xf numFmtId="174" fontId="26" fillId="0" borderId="0" xfId="64" applyNumberFormat="1" applyFont="1" applyProtection="1"/>
    <xf numFmtId="10" fontId="26" fillId="0" borderId="0" xfId="1" applyNumberFormat="1" applyFont="1" applyProtection="1"/>
    <xf numFmtId="174" fontId="26" fillId="0" borderId="0" xfId="0" applyNumberFormat="1" applyFont="1" applyProtection="1"/>
    <xf numFmtId="0" fontId="45" fillId="0" borderId="0" xfId="4" applyFont="1"/>
  </cellXfs>
  <cellStyles count="65">
    <cellStyle name="40% - Accent4" xfId="59" builtinId="43"/>
    <cellStyle name="60% - Accent4" xfId="60" builtinId="44"/>
    <cellStyle name="Accent2" xfId="58" builtinId="33"/>
    <cellStyle name="Calculated" xfId="6" xr:uid="{2DCEC187-6C21-4E03-9A18-48483CC3D047}"/>
    <cellStyle name="Calculated 2" xfId="7" xr:uid="{E0788A3C-5316-4D59-BB15-76A2E8993760}"/>
    <cellStyle name="Calculated 3" xfId="8" xr:uid="{160AC8E2-E2AC-4E72-A89D-2B06E5435766}"/>
    <cellStyle name="Check!" xfId="9" xr:uid="{A1067490-2CA2-43E9-B81B-3EDDE449F3EC}"/>
    <cellStyle name="Comma" xfId="5" builtinId="3"/>
    <cellStyle name="Comma [0] 2" xfId="10" xr:uid="{2599F03E-3E33-4ABB-B9E7-1DACCDDEC5AF}"/>
    <cellStyle name="Comma 12" xfId="11" xr:uid="{036648FA-C8C4-4595-BD01-21738101347D}"/>
    <cellStyle name="Comma 12 2" xfId="12" xr:uid="{A9816F2A-0706-466D-A387-8C3984108C91}"/>
    <cellStyle name="Comma 2" xfId="13" xr:uid="{3A8446A2-5A8D-4B70-BAC7-6CE436C8183C}"/>
    <cellStyle name="Comma 2 2" xfId="14" xr:uid="{BB51CB5B-29B2-4576-8B8D-162D64007C58}"/>
    <cellStyle name="Comma 3" xfId="15" xr:uid="{AA29AF81-29D9-4A5D-980E-9AFAEF106940}"/>
    <cellStyle name="Cumulative" xfId="16" xr:uid="{EB9B941E-0DF5-448A-B12D-6DF1E853C0E7}"/>
    <cellStyle name="Currency" xfId="64" builtinId="4"/>
    <cellStyle name="Currency 2" xfId="17" xr:uid="{E64C1C0F-FC1D-44E5-9E8A-83D403EB1E2F}"/>
    <cellStyle name="Currency 2 2" xfId="18" xr:uid="{A2060069-BCD4-48A2-B1D2-C80957088855}"/>
    <cellStyle name="Currency 3" xfId="19" xr:uid="{0EB44BB1-9C1F-460D-9564-ED55EDE299E6}"/>
    <cellStyle name="Currency 8" xfId="20" xr:uid="{4DCAEE03-DC37-48BC-ABAE-E5C204FB3D3C}"/>
    <cellStyle name="Currency 8 2" xfId="21" xr:uid="{0B051AC6-0E0A-4210-92D8-9CBD0BAAE335}"/>
    <cellStyle name="Date" xfId="22" xr:uid="{E6B8278D-9B4A-4017-BD2C-76F24045175D}"/>
    <cellStyle name="Date 2" xfId="23" xr:uid="{4F0AB106-C218-4253-90C8-D0D03ACB0CB4}"/>
    <cellStyle name="Est_Number" xfId="24" xr:uid="{08196DA1-B9BD-486C-BC36-1478145E6923}"/>
    <cellStyle name="Explanatory Text" xfId="61" builtinId="53"/>
    <cellStyle name="Heading 1 2" xfId="25" xr:uid="{3909EDE7-FED2-49E9-80B7-5D079B2CA635}"/>
    <cellStyle name="Hyperlink" xfId="2" builtinId="8"/>
    <cellStyle name="Input" xfId="3" builtinId="20" customBuiltin="1"/>
    <cellStyle name="Input 2" xfId="26" xr:uid="{23E5D4D4-5E75-4395-A32A-039EFE98C801}"/>
    <cellStyle name="Input 2 2" xfId="63" xr:uid="{55422AB0-0A6C-4680-96D9-F033461316F4}"/>
    <cellStyle name="Input 3" xfId="27" xr:uid="{42438351-2626-4E2B-A12D-03090250D3A3}"/>
    <cellStyle name="Key" xfId="28" xr:uid="{02636882-94EF-4593-8CB7-7C4A14DE74A2}"/>
    <cellStyle name="Key 2" xfId="29" xr:uid="{D7A30D06-E7BD-49E0-8D53-9EB072885BF5}"/>
    <cellStyle name="Key 3" xfId="30" xr:uid="{40FCE75F-A257-4AD0-AAA4-6362DD8DF61E}"/>
    <cellStyle name="Label" xfId="31" xr:uid="{5EE83BA5-7CA4-4A23-9FEB-47828C712CDE}"/>
    <cellStyle name="Label 2" xfId="32" xr:uid="{E3E8DF56-6AE4-4C04-9525-273BE7EB0455}"/>
    <cellStyle name="Label_Bold" xfId="33" xr:uid="{C0DBB188-EC3D-4E99-8C9C-75C186F11E1E}"/>
    <cellStyle name="List" xfId="34" xr:uid="{797EE316-6E30-4072-B4A1-1EA35C49586B}"/>
    <cellStyle name="Locked" xfId="35" xr:uid="{CD479AE9-66F7-4FF4-BB26-0ADFABC8A579}"/>
    <cellStyle name="Locked 2" xfId="36" xr:uid="{D7094CC0-7F79-4AAC-9DBD-A4F32D20415C}"/>
    <cellStyle name="Normal" xfId="0" builtinId="0"/>
    <cellStyle name="Normal 10" xfId="37" xr:uid="{D693EC53-F1D5-4322-A45A-9A7CA0320F5B}"/>
    <cellStyle name="Normal 15" xfId="38" xr:uid="{92455FF5-DC01-4AAD-9A43-AE8D60713D5F}"/>
    <cellStyle name="Normal 160" xfId="39" xr:uid="{12B6F73A-0AE6-4887-89B6-E884DE7D3EFE}"/>
    <cellStyle name="Normal 168" xfId="40" xr:uid="{FF6E71DE-5284-4F56-90FA-E431A6374FFC}"/>
    <cellStyle name="Normal 169" xfId="41" xr:uid="{F8693439-C115-460F-9F97-F62AD0A12067}"/>
    <cellStyle name="Normal 170" xfId="42" xr:uid="{A9C8578C-9CBE-484C-B28E-0959D0D8716F}"/>
    <cellStyle name="Normal 2" xfId="4" xr:uid="{00000000-0005-0000-0000-000003000000}"/>
    <cellStyle name="Normal 2 11" xfId="43" xr:uid="{DEEB5E25-755A-4174-B6C7-A4EFFD55EF4B}"/>
    <cellStyle name="Normal 2 3" xfId="44" xr:uid="{FD4983C8-74FD-4690-8889-96180A78F27E}"/>
    <cellStyle name="Normal 27" xfId="45" xr:uid="{7C48D6AD-3566-4565-9BC9-632DB1EF31BD}"/>
    <cellStyle name="Normal 3" xfId="46" xr:uid="{AC5B6DAB-7F4B-4620-A503-AE627416488E}"/>
    <cellStyle name="Normal 4" xfId="47" xr:uid="{4FAD4C17-0EE8-4F0F-8983-BC52FC229865}"/>
    <cellStyle name="Normal 5" xfId="48" xr:uid="{1BA73C32-B172-4577-B9D0-BFD467906D18}"/>
    <cellStyle name="Normal 6" xfId="49" xr:uid="{714932CC-D814-48D8-A18A-5DA1205B2B4E}"/>
    <cellStyle name="Normal 6 2" xfId="50" xr:uid="{2018A02A-1833-4DBE-8235-3ADA6BA54F7F}"/>
    <cellStyle name="Normal Text" xfId="51" xr:uid="{D4C6F129-C315-45D9-9E4D-F4F96EB6F4DB}"/>
    <cellStyle name="Percent" xfId="1" builtinId="5"/>
    <cellStyle name="Percent 2" xfId="52" xr:uid="{1AD92CE7-05E0-4735-9D1B-C62EF81B691D}"/>
    <cellStyle name="Percent 3" xfId="53" xr:uid="{DA7D4D50-51F8-4732-9E0B-F76938CA7FC7}"/>
    <cellStyle name="Sheet_Title" xfId="54" xr:uid="{0D0AD673-5549-4187-AE51-A9E5CD21B37A}"/>
    <cellStyle name="Short_Num" xfId="55" xr:uid="{1F3C8C9F-022B-481F-8462-5D76A8357BC3}"/>
    <cellStyle name="Sub_Totals" xfId="56" xr:uid="{154997A6-D923-4642-8E19-B0B8EEF3A70C}"/>
    <cellStyle name="Totals" xfId="57" xr:uid="{D407F0A3-9285-42A2-9806-FEB9334FF28F}"/>
    <cellStyle name="Warning Text" xfId="62" builtinId="11"/>
  </cellStyles>
  <dxfs count="13">
    <dxf>
      <font>
        <color rgb="FFFFC000"/>
      </font>
    </dxf>
    <dxf>
      <font>
        <color theme="3" tint="0.39994506668294322"/>
      </font>
    </dxf>
    <dxf>
      <font>
        <color theme="0" tint="-0.34998626667073579"/>
      </font>
    </dxf>
    <dxf>
      <font>
        <color rgb="FFFF0000"/>
      </font>
    </dxf>
    <dxf>
      <font>
        <color rgb="FF00B050"/>
      </font>
    </dxf>
    <dxf>
      <font>
        <strike val="0"/>
        <color theme="0" tint="-0.34998626667073579"/>
      </font>
    </dxf>
    <dxf>
      <font>
        <color rgb="FFFFC000"/>
      </font>
    </dxf>
    <dxf>
      <font>
        <color theme="3" tint="0.39994506668294322"/>
      </font>
    </dxf>
    <dxf>
      <font>
        <color theme="0" tint="-0.34998626667073579"/>
      </font>
    </dxf>
    <dxf>
      <font>
        <color rgb="FFFFC000"/>
      </font>
    </dxf>
    <dxf>
      <font>
        <color theme="3" tint="0.39994506668294322"/>
      </font>
    </dxf>
    <dxf>
      <font>
        <color rgb="FFC00000"/>
      </font>
    </dxf>
    <dxf>
      <font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900392167960133"/>
          <c:y val="4.6363042947415271E-2"/>
          <c:w val="0.44921750934589333"/>
          <c:h val="0.8743371067382140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Calculation!$M$7</c:f>
              <c:strCache>
                <c:ptCount val="1"/>
                <c:pt idx="0">
                  <c:v>Centreline KM / Capital Value</c:v>
                </c:pt>
              </c:strCache>
            </c:strRef>
          </c:tx>
          <c:invertIfNegative val="0"/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Calculation!$M$8:$M$85</c:f>
              <c:numCache>
                <c:formatCode>0.000000000</c:formatCode>
                <c:ptCount val="78"/>
                <c:pt idx="0">
                  <c:v>7.8192085653765373</c:v>
                </c:pt>
                <c:pt idx="1">
                  <c:v>2.3591060211188921</c:v>
                </c:pt>
                <c:pt idx="2">
                  <c:v>0.83716063397198126</c:v>
                </c:pt>
                <c:pt idx="3">
                  <c:v>0.20408393611390063</c:v>
                </c:pt>
                <c:pt idx="4">
                  <c:v>1.8238149636630383</c:v>
                </c:pt>
                <c:pt idx="5">
                  <c:v>1.7203023668262136</c:v>
                </c:pt>
                <c:pt idx="6">
                  <c:v>1.8485621986864365</c:v>
                </c:pt>
                <c:pt idx="7">
                  <c:v>1.9113051830599876</c:v>
                </c:pt>
                <c:pt idx="8">
                  <c:v>0.85776140878829887</c:v>
                </c:pt>
                <c:pt idx="9">
                  <c:v>0.80204280228800018</c:v>
                </c:pt>
                <c:pt idx="10">
                  <c:v>2.3923777771186105</c:v>
                </c:pt>
                <c:pt idx="11">
                  <c:v>0.44815709838914558</c:v>
                </c:pt>
                <c:pt idx="12">
                  <c:v>1.9087874221386678</c:v>
                </c:pt>
                <c:pt idx="13">
                  <c:v>1.7911409758068191</c:v>
                </c:pt>
                <c:pt idx="14">
                  <c:v>1.5058630873658005</c:v>
                </c:pt>
                <c:pt idx="15">
                  <c:v>1.5874622554250903</c:v>
                </c:pt>
                <c:pt idx="16">
                  <c:v>0.56007917299950538</c:v>
                </c:pt>
                <c:pt idx="17">
                  <c:v>0.99380254426039372</c:v>
                </c:pt>
                <c:pt idx="18">
                  <c:v>1.9588526429972068</c:v>
                </c:pt>
                <c:pt idx="19">
                  <c:v>1.060505468053818</c:v>
                </c:pt>
                <c:pt idx="20">
                  <c:v>1.1674928141390846</c:v>
                </c:pt>
                <c:pt idx="21">
                  <c:v>1.1133463053236157</c:v>
                </c:pt>
                <c:pt idx="22">
                  <c:v>0.58816286975930931</c:v>
                </c:pt>
                <c:pt idx="23">
                  <c:v>0.54027838433993769</c:v>
                </c:pt>
                <c:pt idx="24">
                  <c:v>0.39398130732095299</c:v>
                </c:pt>
                <c:pt idx="25">
                  <c:v>1.6395019431905125</c:v>
                </c:pt>
                <c:pt idx="26">
                  <c:v>1.3229153306507291</c:v>
                </c:pt>
                <c:pt idx="27">
                  <c:v>1.3564014925387895</c:v>
                </c:pt>
                <c:pt idx="28">
                  <c:v>0.75668321941100125</c:v>
                </c:pt>
                <c:pt idx="29">
                  <c:v>0.29707105068041784</c:v>
                </c:pt>
                <c:pt idx="30">
                  <c:v>0.61914333828913293</c:v>
                </c:pt>
                <c:pt idx="31">
                  <c:v>0.33229413686303999</c:v>
                </c:pt>
                <c:pt idx="32">
                  <c:v>0.37545995854766218</c:v>
                </c:pt>
                <c:pt idx="33">
                  <c:v>1.3431896229424978</c:v>
                </c:pt>
                <c:pt idx="34">
                  <c:v>1.4898698716723482</c:v>
                </c:pt>
                <c:pt idx="35">
                  <c:v>6.9560705978156445E-2</c:v>
                </c:pt>
                <c:pt idx="36">
                  <c:v>1.1728202842863482</c:v>
                </c:pt>
                <c:pt idx="37">
                  <c:v>0.84354305067378643</c:v>
                </c:pt>
                <c:pt idx="38">
                  <c:v>0.3906344634967393</c:v>
                </c:pt>
                <c:pt idx="39">
                  <c:v>0.71509519311331593</c:v>
                </c:pt>
                <c:pt idx="40">
                  <c:v>0.97910289455413801</c:v>
                </c:pt>
                <c:pt idx="41">
                  <c:v>0.3273684519597132</c:v>
                </c:pt>
                <c:pt idx="42">
                  <c:v>0.93358676814824326</c:v>
                </c:pt>
                <c:pt idx="43">
                  <c:v>0.80555133658754163</c:v>
                </c:pt>
                <c:pt idx="44">
                  <c:v>0.60430681751329129</c:v>
                </c:pt>
                <c:pt idx="45">
                  <c:v>0.5008613740862311</c:v>
                </c:pt>
                <c:pt idx="46">
                  <c:v>0.49242575330423044</c:v>
                </c:pt>
                <c:pt idx="47">
                  <c:v>0.84035154286629665</c:v>
                </c:pt>
                <c:pt idx="48">
                  <c:v>8.50873550792699E-2</c:v>
                </c:pt>
                <c:pt idx="49">
                  <c:v>0.15853436543882948</c:v>
                </c:pt>
                <c:pt idx="50">
                  <c:v>0.23035019448336858</c:v>
                </c:pt>
                <c:pt idx="51">
                  <c:v>0.76931262565401026</c:v>
                </c:pt>
                <c:pt idx="52">
                  <c:v>1.0720819426877872</c:v>
                </c:pt>
                <c:pt idx="53">
                  <c:v>4.3293103516286568E-2</c:v>
                </c:pt>
                <c:pt idx="54">
                  <c:v>0.1327326177256487</c:v>
                </c:pt>
                <c:pt idx="55">
                  <c:v>0.33349076796188759</c:v>
                </c:pt>
                <c:pt idx="56">
                  <c:v>0.10368529541526716</c:v>
                </c:pt>
                <c:pt idx="57">
                  <c:v>1.0690945980406676</c:v>
                </c:pt>
                <c:pt idx="58">
                  <c:v>0.56706441966108112</c:v>
                </c:pt>
                <c:pt idx="59">
                  <c:v>0.46194762047448479</c:v>
                </c:pt>
                <c:pt idx="60">
                  <c:v>0.21851487980784368</c:v>
                </c:pt>
                <c:pt idx="61">
                  <c:v>5.7881924390625783E-2</c:v>
                </c:pt>
                <c:pt idx="62">
                  <c:v>0.3466259329868861</c:v>
                </c:pt>
                <c:pt idx="63">
                  <c:v>9.226068320523273E-2</c:v>
                </c:pt>
                <c:pt idx="64">
                  <c:v>0.30208053719434547</c:v>
                </c:pt>
                <c:pt idx="65">
                  <c:v>0.10849719647823353</c:v>
                </c:pt>
                <c:pt idx="66">
                  <c:v>0.62938576623024955</c:v>
                </c:pt>
                <c:pt idx="67">
                  <c:v>1.2714771616716081E-2</c:v>
                </c:pt>
                <c:pt idx="68">
                  <c:v>0.17807657800233923</c:v>
                </c:pt>
                <c:pt idx="69">
                  <c:v>0.72664326544291746</c:v>
                </c:pt>
                <c:pt idx="70">
                  <c:v>0.60398949380690892</c:v>
                </c:pt>
                <c:pt idx="71">
                  <c:v>9.7325305980146992E-2</c:v>
                </c:pt>
                <c:pt idx="72">
                  <c:v>0</c:v>
                </c:pt>
                <c:pt idx="73">
                  <c:v>0.32300604816634748</c:v>
                </c:pt>
                <c:pt idx="74">
                  <c:v>9.0377967930241221E-2</c:v>
                </c:pt>
                <c:pt idx="75">
                  <c:v>0.12044400452332837</c:v>
                </c:pt>
                <c:pt idx="76">
                  <c:v>0.45147490311331123</c:v>
                </c:pt>
                <c:pt idx="77">
                  <c:v>7.490443135341196E-3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7-404F-B408-F7A3C50D43BA}"/>
            </c:ext>
          </c:extLst>
        </c:ser>
        <c:ser>
          <c:idx val="2"/>
          <c:order val="1"/>
          <c:tx>
            <c:strRef>
              <c:f>Calculation!$K$7</c:f>
              <c:strCache>
                <c:ptCount val="1"/>
                <c:pt idx="0">
                  <c:v>Rateable Units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Calculation!$K$8:$K$85</c:f>
              <c:numCache>
                <c:formatCode>0.000000000</c:formatCode>
                <c:ptCount val="78"/>
                <c:pt idx="0">
                  <c:v>7.2259418913445232</c:v>
                </c:pt>
                <c:pt idx="1">
                  <c:v>7.1478946521325213</c:v>
                </c:pt>
                <c:pt idx="2">
                  <c:v>7.1615516378514963</c:v>
                </c:pt>
                <c:pt idx="3">
                  <c:v>7.1959503307740542</c:v>
                </c:pt>
                <c:pt idx="4">
                  <c:v>7.1616797521640567</c:v>
                </c:pt>
                <c:pt idx="5">
                  <c:v>7.1185949088498806</c:v>
                </c:pt>
                <c:pt idx="6">
                  <c:v>7.1391956903096476</c:v>
                </c:pt>
                <c:pt idx="7">
                  <c:v>7.1078717408885472</c:v>
                </c:pt>
                <c:pt idx="8">
                  <c:v>6.7600285708548871</c:v>
                </c:pt>
                <c:pt idx="9">
                  <c:v>6.9344818302688438</c:v>
                </c:pt>
                <c:pt idx="10">
                  <c:v>7.0898076228174824</c:v>
                </c:pt>
                <c:pt idx="11">
                  <c:v>7.1037336485928346</c:v>
                </c:pt>
                <c:pt idx="12">
                  <c:v>7.1782321213469045</c:v>
                </c:pt>
                <c:pt idx="13">
                  <c:v>6.9459480612430298</c:v>
                </c:pt>
                <c:pt idx="14">
                  <c:v>7.1309963743057603</c:v>
                </c:pt>
                <c:pt idx="15">
                  <c:v>7.1238347842336145</c:v>
                </c:pt>
                <c:pt idx="16">
                  <c:v>7.0304138275143249</c:v>
                </c:pt>
                <c:pt idx="17">
                  <c:v>7.0515526890868463</c:v>
                </c:pt>
                <c:pt idx="18">
                  <c:v>7.1492014181206409</c:v>
                </c:pt>
                <c:pt idx="19">
                  <c:v>7.0456850535715647</c:v>
                </c:pt>
                <c:pt idx="20">
                  <c:v>7.1723516744003666</c:v>
                </c:pt>
                <c:pt idx="21">
                  <c:v>7.1699431253242247</c:v>
                </c:pt>
                <c:pt idx="22">
                  <c:v>6.9635381563576191</c:v>
                </c:pt>
                <c:pt idx="23">
                  <c:v>7.0909350287680173</c:v>
                </c:pt>
                <c:pt idx="24">
                  <c:v>7.0061745995778333</c:v>
                </c:pt>
                <c:pt idx="25">
                  <c:v>7.1485096008328135</c:v>
                </c:pt>
                <c:pt idx="26">
                  <c:v>7.1374277127963088</c:v>
                </c:pt>
                <c:pt idx="27">
                  <c:v>7.0567285073143005</c:v>
                </c:pt>
                <c:pt idx="28">
                  <c:v>7.0715000875525531</c:v>
                </c:pt>
                <c:pt idx="29">
                  <c:v>6.8578822827887782</c:v>
                </c:pt>
                <c:pt idx="30">
                  <c:v>5.9977868454122625</c:v>
                </c:pt>
                <c:pt idx="31">
                  <c:v>6.6583570524066849</c:v>
                </c:pt>
                <c:pt idx="32">
                  <c:v>6.831734151595132</c:v>
                </c:pt>
                <c:pt idx="33">
                  <c:v>7.1303173684491883</c:v>
                </c:pt>
                <c:pt idx="34">
                  <c:v>6.9910442992644102</c:v>
                </c:pt>
                <c:pt idx="35">
                  <c:v>6.9896606646887536</c:v>
                </c:pt>
                <c:pt idx="36">
                  <c:v>6.5821418478643015</c:v>
                </c:pt>
                <c:pt idx="37">
                  <c:v>7.0548580383509139</c:v>
                </c:pt>
                <c:pt idx="38">
                  <c:v>7.0457234878653328</c:v>
                </c:pt>
                <c:pt idx="39">
                  <c:v>7.1949510391360807</c:v>
                </c:pt>
                <c:pt idx="40">
                  <c:v>7.1710961541372713</c:v>
                </c:pt>
                <c:pt idx="41">
                  <c:v>6.9088717791879519</c:v>
                </c:pt>
                <c:pt idx="42">
                  <c:v>7.0362302173045821</c:v>
                </c:pt>
                <c:pt idx="43">
                  <c:v>6.9508164051203378</c:v>
                </c:pt>
                <c:pt idx="44">
                  <c:v>6.5314085800902495</c:v>
                </c:pt>
                <c:pt idx="45">
                  <c:v>6.8141056221867746</c:v>
                </c:pt>
                <c:pt idx="46">
                  <c:v>6.3226078734787583</c:v>
                </c:pt>
                <c:pt idx="47">
                  <c:v>7.146600697575658</c:v>
                </c:pt>
                <c:pt idx="48">
                  <c:v>6.9049771040861057</c:v>
                </c:pt>
                <c:pt idx="49">
                  <c:v>6.8767791438914871</c:v>
                </c:pt>
                <c:pt idx="50">
                  <c:v>6.936826322188705</c:v>
                </c:pt>
                <c:pt idx="51">
                  <c:v>5.7955071573101131</c:v>
                </c:pt>
                <c:pt idx="52">
                  <c:v>7.1729538116694016</c:v>
                </c:pt>
                <c:pt idx="53">
                  <c:v>6.4620987369948901</c:v>
                </c:pt>
                <c:pt idx="54">
                  <c:v>6.8123248332421804</c:v>
                </c:pt>
                <c:pt idx="55">
                  <c:v>6.7737880480239099</c:v>
                </c:pt>
                <c:pt idx="56">
                  <c:v>6.7249124377819882</c:v>
                </c:pt>
                <c:pt idx="57">
                  <c:v>7.0560238785952158</c:v>
                </c:pt>
                <c:pt idx="58">
                  <c:v>6.9243607995765455</c:v>
                </c:pt>
                <c:pt idx="59">
                  <c:v>6.8939208389121145</c:v>
                </c:pt>
                <c:pt idx="60">
                  <c:v>6.91785259249846</c:v>
                </c:pt>
                <c:pt idx="61">
                  <c:v>6.9518028853270559</c:v>
                </c:pt>
                <c:pt idx="62">
                  <c:v>6.5352135751733034</c:v>
                </c:pt>
                <c:pt idx="63">
                  <c:v>7.013669286862636</c:v>
                </c:pt>
                <c:pt idx="64">
                  <c:v>6.9484206674754523</c:v>
                </c:pt>
                <c:pt idx="65">
                  <c:v>6.9116006140454962</c:v>
                </c:pt>
                <c:pt idx="66">
                  <c:v>6.8998653430149322</c:v>
                </c:pt>
                <c:pt idx="67">
                  <c:v>6.4809827866663428</c:v>
                </c:pt>
                <c:pt idx="68">
                  <c:v>5.4789238795412736</c:v>
                </c:pt>
                <c:pt idx="69">
                  <c:v>6.8898339923414262</c:v>
                </c:pt>
                <c:pt idx="70">
                  <c:v>5.7028036407411635</c:v>
                </c:pt>
                <c:pt idx="71">
                  <c:v>6.897597719682607</c:v>
                </c:pt>
                <c:pt idx="72">
                  <c:v>6.2244851214884891</c:v>
                </c:pt>
                <c:pt idx="73">
                  <c:v>4.5119682940578461</c:v>
                </c:pt>
                <c:pt idx="74">
                  <c:v>5.0115628673197001</c:v>
                </c:pt>
                <c:pt idx="75">
                  <c:v>4.6215316541597886</c:v>
                </c:pt>
                <c:pt idx="76">
                  <c:v>3.5996278400190609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7-404F-B408-F7A3C50D43BA}"/>
            </c:ext>
          </c:extLst>
        </c:ser>
        <c:ser>
          <c:idx val="5"/>
          <c:order val="2"/>
          <c:tx>
            <c:strRef>
              <c:f>Calculation!$L$7</c:f>
              <c:strCache>
                <c:ptCount val="1"/>
                <c:pt idx="0">
                  <c:v>NZ Index of Deprivation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Calculation!$L$8:$L$85</c:f>
              <c:numCache>
                <c:formatCode>0.000000000</c:formatCode>
                <c:ptCount val="78"/>
                <c:pt idx="0">
                  <c:v>2.877273799359493</c:v>
                </c:pt>
                <c:pt idx="1">
                  <c:v>4.9568655860021096</c:v>
                </c:pt>
                <c:pt idx="2">
                  <c:v>5.024140075427125</c:v>
                </c:pt>
                <c:pt idx="3">
                  <c:v>5.2118541867854375</c:v>
                </c:pt>
                <c:pt idx="4">
                  <c:v>3.4048493915119611</c:v>
                </c:pt>
                <c:pt idx="5">
                  <c:v>3.4870405636711865</c:v>
                </c:pt>
                <c:pt idx="6">
                  <c:v>3.0975839998068784</c:v>
                </c:pt>
                <c:pt idx="7">
                  <c:v>2.6588205147839812</c:v>
                </c:pt>
                <c:pt idx="8">
                  <c:v>3.97997757804327</c:v>
                </c:pt>
                <c:pt idx="9">
                  <c:v>3.5580707129558609</c:v>
                </c:pt>
                <c:pt idx="10">
                  <c:v>1.6702214557064097</c:v>
                </c:pt>
                <c:pt idx="11">
                  <c:v>3.5268575637632593</c:v>
                </c:pt>
                <c:pt idx="12">
                  <c:v>1.9851090744395097</c:v>
                </c:pt>
                <c:pt idx="13">
                  <c:v>2.3314934202479924</c:v>
                </c:pt>
                <c:pt idx="14">
                  <c:v>2.2990696468924918</c:v>
                </c:pt>
                <c:pt idx="15">
                  <c:v>2.1913033196415133</c:v>
                </c:pt>
                <c:pt idx="16">
                  <c:v>3.2878156281384805</c:v>
                </c:pt>
                <c:pt idx="17">
                  <c:v>2.7863486212428348</c:v>
                </c:pt>
                <c:pt idx="18">
                  <c:v>1.6990500326232478</c:v>
                </c:pt>
                <c:pt idx="19">
                  <c:v>2.5987793597662256</c:v>
                </c:pt>
                <c:pt idx="20">
                  <c:v>2.2414509025530145</c:v>
                </c:pt>
                <c:pt idx="21">
                  <c:v>2.2949588904733798</c:v>
                </c:pt>
                <c:pt idx="22">
                  <c:v>2.9964558257175011</c:v>
                </c:pt>
                <c:pt idx="23">
                  <c:v>2.8463041671492282</c:v>
                </c:pt>
                <c:pt idx="24">
                  <c:v>3.0679878238393972</c:v>
                </c:pt>
                <c:pt idx="25">
                  <c:v>1.6409581524589165</c:v>
                </c:pt>
                <c:pt idx="26">
                  <c:v>1.8764446440546194</c:v>
                </c:pt>
                <c:pt idx="27">
                  <c:v>1.6484800397610766</c:v>
                </c:pt>
                <c:pt idx="28">
                  <c:v>2.2184732936293274</c:v>
                </c:pt>
                <c:pt idx="29">
                  <c:v>2.8742106208425056</c:v>
                </c:pt>
                <c:pt idx="30">
                  <c:v>3.1058177011800061</c:v>
                </c:pt>
                <c:pt idx="31">
                  <c:v>2.606320504099219</c:v>
                </c:pt>
                <c:pt idx="32">
                  <c:v>2.3429937803811023</c:v>
                </c:pt>
                <c:pt idx="33">
                  <c:v>1.063804738262589</c:v>
                </c:pt>
                <c:pt idx="34">
                  <c:v>1.0468473690193427</c:v>
                </c:pt>
                <c:pt idx="35">
                  <c:v>2.4169719613841947</c:v>
                </c:pt>
                <c:pt idx="36">
                  <c:v>1.6632672461841238</c:v>
                </c:pt>
                <c:pt idx="37">
                  <c:v>1.493909619911477</c:v>
                </c:pt>
                <c:pt idx="38">
                  <c:v>1.929092915465499</c:v>
                </c:pt>
                <c:pt idx="39">
                  <c:v>1.4221442480619251</c:v>
                </c:pt>
                <c:pt idx="40">
                  <c:v>1.1622387251321387</c:v>
                </c:pt>
                <c:pt idx="41">
                  <c:v>2.0192261514934509</c:v>
                </c:pt>
                <c:pt idx="42">
                  <c:v>1.2228921131699526</c:v>
                </c:pt>
                <c:pt idx="43">
                  <c:v>1.4355184267610004</c:v>
                </c:pt>
                <c:pt idx="44">
                  <c:v>2.0186255935985415</c:v>
                </c:pt>
                <c:pt idx="45">
                  <c:v>1.8388429330079152</c:v>
                </c:pt>
                <c:pt idx="46">
                  <c:v>2.3326910635024243</c:v>
                </c:pt>
                <c:pt idx="47">
                  <c:v>1.0788296077870543</c:v>
                </c:pt>
                <c:pt idx="48">
                  <c:v>2.0707504328508168</c:v>
                </c:pt>
                <c:pt idx="49">
                  <c:v>1.9655947027786536</c:v>
                </c:pt>
                <c:pt idx="50">
                  <c:v>1.8056869552014254</c:v>
                </c:pt>
                <c:pt idx="51">
                  <c:v>2.3919602944545026</c:v>
                </c:pt>
                <c:pt idx="52">
                  <c:v>0.66076060247399471</c:v>
                </c:pt>
                <c:pt idx="53">
                  <c:v>2.3840597253972211</c:v>
                </c:pt>
                <c:pt idx="54">
                  <c:v>1.9230602905355971</c:v>
                </c:pt>
                <c:pt idx="55">
                  <c:v>1.7303679195664599</c:v>
                </c:pt>
                <c:pt idx="56">
                  <c:v>1.8786778842351746</c:v>
                </c:pt>
                <c:pt idx="57">
                  <c:v>0.54411097139981468</c:v>
                </c:pt>
                <c:pt idx="58">
                  <c:v>1.1647745906640481</c:v>
                </c:pt>
                <c:pt idx="59">
                  <c:v>1.2468909957185572</c:v>
                </c:pt>
                <c:pt idx="60">
                  <c:v>1.4284405892753274</c:v>
                </c:pt>
                <c:pt idx="61">
                  <c:v>1.5304876840691215</c:v>
                </c:pt>
                <c:pt idx="62">
                  <c:v>1.5999181445261996</c:v>
                </c:pt>
                <c:pt idx="63">
                  <c:v>1.3197497670531804</c:v>
                </c:pt>
                <c:pt idx="64">
                  <c:v>1.1155994652640933</c:v>
                </c:pt>
                <c:pt idx="65">
                  <c:v>1.2727889854010779</c:v>
                </c:pt>
                <c:pt idx="66">
                  <c:v>0.72315999806420717</c:v>
                </c:pt>
                <c:pt idx="67">
                  <c:v>1.4634263069107578</c:v>
                </c:pt>
                <c:pt idx="68">
                  <c:v>2.1832646112086187</c:v>
                </c:pt>
                <c:pt idx="69">
                  <c:v>0</c:v>
                </c:pt>
                <c:pt idx="70">
                  <c:v>1.2518793637119736</c:v>
                </c:pt>
                <c:pt idx="71">
                  <c:v>0.10478803987155905</c:v>
                </c:pt>
                <c:pt idx="72">
                  <c:v>0.87431663116975189</c:v>
                </c:pt>
                <c:pt idx="73">
                  <c:v>2.1352778216772834</c:v>
                </c:pt>
                <c:pt idx="74">
                  <c:v>1.4681446701239589</c:v>
                </c:pt>
                <c:pt idx="75">
                  <c:v>1.4117506242904763</c:v>
                </c:pt>
                <c:pt idx="76">
                  <c:v>1.2204146154738302</c:v>
                </c:pt>
                <c:pt idx="77">
                  <c:v>1.8476217514000113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7-404F-B408-F7A3C50D4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3556736"/>
        <c:axId val="73558272"/>
      </c:barChart>
      <c:catAx>
        <c:axId val="73556736"/>
        <c:scaling>
          <c:orientation val="maxMin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73558272"/>
        <c:crosses val="autoZero"/>
        <c:auto val="1"/>
        <c:lblAlgn val="ctr"/>
        <c:lblOffset val="100"/>
        <c:tickLblSkip val="1"/>
        <c:noMultiLvlLbl val="0"/>
      </c:catAx>
      <c:valAx>
        <c:axId val="735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NZ"/>
                  <a:t>Combined factor</a:t>
                </a:r>
                <a:r>
                  <a:rPr lang="en-NZ" baseline="0"/>
                  <a:t> </a:t>
                </a:r>
                <a:r>
                  <a:rPr lang="en-NZ"/>
                  <a:t>weights</a:t>
                </a:r>
              </a:p>
            </c:rich>
          </c:tx>
          <c:layout>
            <c:manualLayout>
              <c:xMode val="edge"/>
              <c:yMode val="edge"/>
              <c:x val="0.36185005176239765"/>
              <c:y val="0.936953236503227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0000000" sourceLinked="1"/>
        <c:majorTickMark val="none"/>
        <c:minorTickMark val="none"/>
        <c:tickLblPos val="none"/>
        <c:crossAx val="73556736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8933812518718178E-2"/>
          <c:y val="7.9956632145101233E-3"/>
          <c:w val="0.88918837975441745"/>
          <c:h val="1.9613129356805818E-2"/>
        </c:manualLayout>
      </c:layout>
      <c:overlay val="1"/>
      <c:txPr>
        <a:bodyPr/>
        <a:lstStyle/>
        <a:p>
          <a:pPr>
            <a:defRPr sz="1000">
              <a:latin typeface="Calibri" panose="020F0502020204030204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0.75000000000000167" l="0.70000000000000062" r="0.70000000000000062" t="0.75000000000000167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9832249229716E-2"/>
          <c:y val="6.1892516850995213E-2"/>
          <c:w val="0.81550747460915207"/>
          <c:h val="0.86466421203740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Calculation!$AA$7</c:f>
              <c:strCache>
                <c:ptCount val="1"/>
                <c:pt idx="0">
                  <c:v>Board Approved End Transition Normal FAR 2021</c:v>
                </c:pt>
              </c:strCache>
            </c:strRef>
          </c:tx>
          <c:spPr>
            <a:noFill/>
            <a:ln>
              <a:solidFill>
                <a:schemeClr val="tx2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Calculation!$AA$8:$AA$85</c:f>
              <c:numCache>
                <c:formatCode>0%</c:formatCode>
                <c:ptCount val="78"/>
                <c:pt idx="0">
                  <c:v>0.88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0.73</c:v>
                </c:pt>
                <c:pt idx="5">
                  <c:v>0.72</c:v>
                </c:pt>
                <c:pt idx="6">
                  <c:v>0.66</c:v>
                </c:pt>
                <c:pt idx="7">
                  <c:v>0.66</c:v>
                </c:pt>
                <c:pt idx="8">
                  <c:v>0.66</c:v>
                </c:pt>
                <c:pt idx="9">
                  <c:v>0.68</c:v>
                </c:pt>
                <c:pt idx="10">
                  <c:v>0.59</c:v>
                </c:pt>
                <c:pt idx="11">
                  <c:v>0.62</c:v>
                </c:pt>
                <c:pt idx="12">
                  <c:v>0.6</c:v>
                </c:pt>
                <c:pt idx="13">
                  <c:v>0.6</c:v>
                </c:pt>
                <c:pt idx="14">
                  <c:v>0.63</c:v>
                </c:pt>
                <c:pt idx="15">
                  <c:v>0.57999999999999996</c:v>
                </c:pt>
                <c:pt idx="16">
                  <c:v>0.64</c:v>
                </c:pt>
                <c:pt idx="17">
                  <c:v>0.57999999999999996</c:v>
                </c:pt>
                <c:pt idx="18">
                  <c:v>0.59</c:v>
                </c:pt>
                <c:pt idx="19">
                  <c:v>0.61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</c:v>
                </c:pt>
                <c:pt idx="24">
                  <c:v>0.59</c:v>
                </c:pt>
                <c:pt idx="25">
                  <c:v>0.55000000000000004</c:v>
                </c:pt>
                <c:pt idx="26">
                  <c:v>0.6</c:v>
                </c:pt>
                <c:pt idx="27">
                  <c:v>0.55000000000000004</c:v>
                </c:pt>
                <c:pt idx="28">
                  <c:v>0.56999999999999995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0.53</c:v>
                </c:pt>
                <c:pt idx="32">
                  <c:v>0.54</c:v>
                </c:pt>
                <c:pt idx="33">
                  <c:v>0.51</c:v>
                </c:pt>
                <c:pt idx="34">
                  <c:v>0.51</c:v>
                </c:pt>
                <c:pt idx="35">
                  <c:v>0.56000000000000005</c:v>
                </c:pt>
                <c:pt idx="36">
                  <c:v>0.51</c:v>
                </c:pt>
                <c:pt idx="37">
                  <c:v>0.53</c:v>
                </c:pt>
                <c:pt idx="38">
                  <c:v>0.51</c:v>
                </c:pt>
                <c:pt idx="39">
                  <c:v>0.51</c:v>
                </c:pt>
                <c:pt idx="40">
                  <c:v>0.53</c:v>
                </c:pt>
                <c:pt idx="41">
                  <c:v>0.51</c:v>
                </c:pt>
                <c:pt idx="42">
                  <c:v>0.51</c:v>
                </c:pt>
                <c:pt idx="43">
                  <c:v>0.51</c:v>
                </c:pt>
                <c:pt idx="44">
                  <c:v>0.51</c:v>
                </c:pt>
                <c:pt idx="45">
                  <c:v>0.52</c:v>
                </c:pt>
                <c:pt idx="46">
                  <c:v>0.51</c:v>
                </c:pt>
                <c:pt idx="47">
                  <c:v>0.52</c:v>
                </c:pt>
                <c:pt idx="48">
                  <c:v>0.51</c:v>
                </c:pt>
                <c:pt idx="49">
                  <c:v>0.51</c:v>
                </c:pt>
                <c:pt idx="50">
                  <c:v>0.51</c:v>
                </c:pt>
                <c:pt idx="51">
                  <c:v>0.51</c:v>
                </c:pt>
                <c:pt idx="52">
                  <c:v>0.51</c:v>
                </c:pt>
                <c:pt idx="53">
                  <c:v>0.51</c:v>
                </c:pt>
                <c:pt idx="54">
                  <c:v>0.51</c:v>
                </c:pt>
                <c:pt idx="55">
                  <c:v>0.51</c:v>
                </c:pt>
                <c:pt idx="56">
                  <c:v>0.51</c:v>
                </c:pt>
                <c:pt idx="57">
                  <c:v>0.51</c:v>
                </c:pt>
                <c:pt idx="58">
                  <c:v>0.51</c:v>
                </c:pt>
                <c:pt idx="59">
                  <c:v>0.51</c:v>
                </c:pt>
                <c:pt idx="60">
                  <c:v>0.51</c:v>
                </c:pt>
                <c:pt idx="61">
                  <c:v>0.51</c:v>
                </c:pt>
                <c:pt idx="62">
                  <c:v>0.51</c:v>
                </c:pt>
                <c:pt idx="63">
                  <c:v>0.51</c:v>
                </c:pt>
                <c:pt idx="64">
                  <c:v>0.51</c:v>
                </c:pt>
                <c:pt idx="65">
                  <c:v>0.51</c:v>
                </c:pt>
                <c:pt idx="66">
                  <c:v>0.51</c:v>
                </c:pt>
                <c:pt idx="67">
                  <c:v>0.51</c:v>
                </c:pt>
                <c:pt idx="68">
                  <c:v>0.51</c:v>
                </c:pt>
                <c:pt idx="69">
                  <c:v>0.51</c:v>
                </c:pt>
                <c:pt idx="70">
                  <c:v>0.51</c:v>
                </c:pt>
                <c:pt idx="71">
                  <c:v>0.51</c:v>
                </c:pt>
                <c:pt idx="72">
                  <c:v>0.51</c:v>
                </c:pt>
                <c:pt idx="73">
                  <c:v>0.51</c:v>
                </c:pt>
                <c:pt idx="74">
                  <c:v>0.51</c:v>
                </c:pt>
                <c:pt idx="75">
                  <c:v>0.51</c:v>
                </c:pt>
                <c:pt idx="76">
                  <c:v>0.51</c:v>
                </c:pt>
                <c:pt idx="77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5-45EF-A3D7-06BFBD9F39DD}"/>
            </c:ext>
          </c:extLst>
        </c:ser>
        <c:ser>
          <c:idx val="1"/>
          <c:order val="1"/>
          <c:tx>
            <c:strRef>
              <c:f>Calculation!$Z$7</c:f>
              <c:strCache>
                <c:ptCount val="1"/>
                <c:pt idx="0">
                  <c:v>Calculated FAR 2021/24</c:v>
                </c:pt>
              </c:strCache>
            </c:strRef>
          </c:tx>
          <c:spPr>
            <a:solidFill>
              <a:schemeClr val="accent3">
                <a:lumMod val="75000"/>
                <a:alpha val="7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Calculation!$D$8:$D$85</c:f>
              <c:strCache>
                <c:ptCount val="78"/>
                <c:pt idx="0">
                  <c:v>Chatham Islands Territory</c:v>
                </c:pt>
                <c:pt idx="1">
                  <c:v>Wairoa District</c:v>
                </c:pt>
                <c:pt idx="2">
                  <c:v>Opotiki District</c:v>
                </c:pt>
                <c:pt idx="3">
                  <c:v>Kawerau District</c:v>
                </c:pt>
                <c:pt idx="4">
                  <c:v>Waitomo District</c:v>
                </c:pt>
                <c:pt idx="5">
                  <c:v>Ruapehu District</c:v>
                </c:pt>
                <c:pt idx="6">
                  <c:v>Buller District</c:v>
                </c:pt>
                <c:pt idx="7">
                  <c:v>Tararua District</c:v>
                </c:pt>
                <c:pt idx="8">
                  <c:v>Far North District</c:v>
                </c:pt>
                <c:pt idx="9">
                  <c:v>Gisborne District</c:v>
                </c:pt>
                <c:pt idx="10">
                  <c:v>Clutha District</c:v>
                </c:pt>
                <c:pt idx="11">
                  <c:v>South Waikato District</c:v>
                </c:pt>
                <c:pt idx="12">
                  <c:v>Waimate District</c:v>
                </c:pt>
                <c:pt idx="13">
                  <c:v>West Coast Regional</c:v>
                </c:pt>
                <c:pt idx="14">
                  <c:v>Rangitikei District</c:v>
                </c:pt>
                <c:pt idx="15">
                  <c:v>Grey District</c:v>
                </c:pt>
                <c:pt idx="16">
                  <c:v>Whakatane District</c:v>
                </c:pt>
                <c:pt idx="17">
                  <c:v>South Taranaki District</c:v>
                </c:pt>
                <c:pt idx="18">
                  <c:v>Westland District</c:v>
                </c:pt>
                <c:pt idx="19">
                  <c:v>Kaipara District</c:v>
                </c:pt>
                <c:pt idx="20">
                  <c:v>Stratford District</c:v>
                </c:pt>
                <c:pt idx="21">
                  <c:v>Otorohanga District</c:v>
                </c:pt>
                <c:pt idx="22">
                  <c:v>Wanganui District</c:v>
                </c:pt>
                <c:pt idx="23">
                  <c:v>Hauraki District</c:v>
                </c:pt>
                <c:pt idx="24">
                  <c:v>Horowhenua District</c:v>
                </c:pt>
                <c:pt idx="25">
                  <c:v>Gore District</c:v>
                </c:pt>
                <c:pt idx="26">
                  <c:v>Central Hawke's Bay District</c:v>
                </c:pt>
                <c:pt idx="27">
                  <c:v>Waitaki District</c:v>
                </c:pt>
                <c:pt idx="28">
                  <c:v>Masterton District</c:v>
                </c:pt>
                <c:pt idx="29">
                  <c:v>Rotorua District</c:v>
                </c:pt>
                <c:pt idx="30">
                  <c:v>Northland Regional</c:v>
                </c:pt>
                <c:pt idx="31">
                  <c:v>Whangarei District</c:v>
                </c:pt>
                <c:pt idx="32">
                  <c:v>Hastings District</c:v>
                </c:pt>
                <c:pt idx="33">
                  <c:v>Hurunui District</c:v>
                </c:pt>
                <c:pt idx="34">
                  <c:v>Southland District</c:v>
                </c:pt>
                <c:pt idx="35">
                  <c:v>Porirua City</c:v>
                </c:pt>
                <c:pt idx="36">
                  <c:v>Southland Regional</c:v>
                </c:pt>
                <c:pt idx="37">
                  <c:v>Manawatu District</c:v>
                </c:pt>
                <c:pt idx="38">
                  <c:v>Matamata-Piako District</c:v>
                </c:pt>
                <c:pt idx="39">
                  <c:v>Kaikoura District</c:v>
                </c:pt>
                <c:pt idx="40">
                  <c:v>Carterton District</c:v>
                </c:pt>
                <c:pt idx="41">
                  <c:v>Invercargill City</c:v>
                </c:pt>
                <c:pt idx="42">
                  <c:v>Ashburton District</c:v>
                </c:pt>
                <c:pt idx="43">
                  <c:v>Timaru District</c:v>
                </c:pt>
                <c:pt idx="44">
                  <c:v>Taranaki Regional</c:v>
                </c:pt>
                <c:pt idx="45">
                  <c:v>Waikato District</c:v>
                </c:pt>
                <c:pt idx="46">
                  <c:v>Hawkes Bay Regional</c:v>
                </c:pt>
                <c:pt idx="47">
                  <c:v>South Wairarapa District</c:v>
                </c:pt>
                <c:pt idx="48">
                  <c:v>Napier City</c:v>
                </c:pt>
                <c:pt idx="49">
                  <c:v>Thames-Coromandel District</c:v>
                </c:pt>
                <c:pt idx="50">
                  <c:v>Taupo District</c:v>
                </c:pt>
                <c:pt idx="51">
                  <c:v>Manawatu-Wanganui Regional</c:v>
                </c:pt>
                <c:pt idx="52">
                  <c:v>Mackenzie District</c:v>
                </c:pt>
                <c:pt idx="53">
                  <c:v>Hamilton City</c:v>
                </c:pt>
                <c:pt idx="54">
                  <c:v>Palmerston North City</c:v>
                </c:pt>
                <c:pt idx="55">
                  <c:v>New Plymouth District</c:v>
                </c:pt>
                <c:pt idx="56">
                  <c:v>Lower Hutt City</c:v>
                </c:pt>
                <c:pt idx="57">
                  <c:v>Central Otago District</c:v>
                </c:pt>
                <c:pt idx="58">
                  <c:v>Tasman District</c:v>
                </c:pt>
                <c:pt idx="59">
                  <c:v>Marlborough District</c:v>
                </c:pt>
                <c:pt idx="60">
                  <c:v>Western Bay of Plenty District</c:v>
                </c:pt>
                <c:pt idx="61">
                  <c:v>Nelson City</c:v>
                </c:pt>
                <c:pt idx="62">
                  <c:v>Dunedin City</c:v>
                </c:pt>
                <c:pt idx="63">
                  <c:v>Upper Hutt City</c:v>
                </c:pt>
                <c:pt idx="64">
                  <c:v>Waipa District</c:v>
                </c:pt>
                <c:pt idx="65">
                  <c:v>Kapiti Coast District</c:v>
                </c:pt>
                <c:pt idx="66">
                  <c:v>Waimakariri District</c:v>
                </c:pt>
                <c:pt idx="67">
                  <c:v>Tauranga City</c:v>
                </c:pt>
                <c:pt idx="68">
                  <c:v>Bay of Plenty Regional</c:v>
                </c:pt>
                <c:pt idx="69">
                  <c:v>Selwyn District</c:v>
                </c:pt>
                <c:pt idx="70">
                  <c:v>Otago Regional</c:v>
                </c:pt>
                <c:pt idx="71">
                  <c:v>Queenstown-Lakes District</c:v>
                </c:pt>
                <c:pt idx="72">
                  <c:v>Wellington City</c:v>
                </c:pt>
                <c:pt idx="73">
                  <c:v>Waikato Regional</c:v>
                </c:pt>
                <c:pt idx="74">
                  <c:v>Christchurch City</c:v>
                </c:pt>
                <c:pt idx="75">
                  <c:v>Wellington Regional</c:v>
                </c:pt>
                <c:pt idx="76">
                  <c:v>Canterbury Regional</c:v>
                </c:pt>
                <c:pt idx="77">
                  <c:v>Auckland</c:v>
                </c:pt>
              </c:strCache>
            </c:strRef>
          </c:cat>
          <c:val>
            <c:numRef>
              <c:f>Calculation!$Z$8:$Z$85</c:f>
              <c:numCache>
                <c:formatCode>0%</c:formatCode>
                <c:ptCount val="78"/>
                <c:pt idx="0">
                  <c:v>0.88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0.74</c:v>
                </c:pt>
                <c:pt idx="6">
                  <c:v>0.72</c:v>
                </c:pt>
                <c:pt idx="7">
                  <c:v>0.69</c:v>
                </c:pt>
                <c:pt idx="8">
                  <c:v>0.69</c:v>
                </c:pt>
                <c:pt idx="9">
                  <c:v>0.66</c:v>
                </c:pt>
                <c:pt idx="10">
                  <c:v>0.65</c:v>
                </c:pt>
                <c:pt idx="11">
                  <c:v>0.64</c:v>
                </c:pt>
                <c:pt idx="12">
                  <c:v>0.64</c:v>
                </c:pt>
                <c:pt idx="13">
                  <c:v>0.64</c:v>
                </c:pt>
                <c:pt idx="14">
                  <c:v>0.63</c:v>
                </c:pt>
                <c:pt idx="15">
                  <c:v>0.63</c:v>
                </c:pt>
                <c:pt idx="16">
                  <c:v>0.63</c:v>
                </c:pt>
                <c:pt idx="17">
                  <c:v>0.63</c:v>
                </c:pt>
                <c:pt idx="18">
                  <c:v>0.62</c:v>
                </c:pt>
                <c:pt idx="19">
                  <c:v>0.62</c:v>
                </c:pt>
                <c:pt idx="20">
                  <c:v>0.61</c:v>
                </c:pt>
                <c:pt idx="21">
                  <c:v>0.61</c:v>
                </c:pt>
                <c:pt idx="22">
                  <c:v>0.6</c:v>
                </c:pt>
                <c:pt idx="23">
                  <c:v>0.6</c:v>
                </c:pt>
                <c:pt idx="24">
                  <c:v>0.6</c:v>
                </c:pt>
                <c:pt idx="25">
                  <c:v>0.59</c:v>
                </c:pt>
                <c:pt idx="26">
                  <c:v>0.59</c:v>
                </c:pt>
                <c:pt idx="27">
                  <c:v>0.56999999999999995</c:v>
                </c:pt>
                <c:pt idx="28">
                  <c:v>0.56000000000000005</c:v>
                </c:pt>
                <c:pt idx="29">
                  <c:v>0.56000000000000005</c:v>
                </c:pt>
                <c:pt idx="30">
                  <c:v>0.54</c:v>
                </c:pt>
                <c:pt idx="31">
                  <c:v>0.53</c:v>
                </c:pt>
                <c:pt idx="32">
                  <c:v>0.53</c:v>
                </c:pt>
                <c:pt idx="33">
                  <c:v>0.52</c:v>
                </c:pt>
                <c:pt idx="34">
                  <c:v>0.52</c:v>
                </c:pt>
                <c:pt idx="35">
                  <c:v>0.52</c:v>
                </c:pt>
                <c:pt idx="36">
                  <c:v>0.52</c:v>
                </c:pt>
                <c:pt idx="37">
                  <c:v>0.51</c:v>
                </c:pt>
                <c:pt idx="38">
                  <c:v>0.51</c:v>
                </c:pt>
                <c:pt idx="39">
                  <c:v>0.51</c:v>
                </c:pt>
                <c:pt idx="40">
                  <c:v>0.51</c:v>
                </c:pt>
                <c:pt idx="41">
                  <c:v>0.51</c:v>
                </c:pt>
                <c:pt idx="42">
                  <c:v>0.51</c:v>
                </c:pt>
                <c:pt idx="43">
                  <c:v>0.51</c:v>
                </c:pt>
                <c:pt idx="44">
                  <c:v>0.51</c:v>
                </c:pt>
                <c:pt idx="45">
                  <c:v>0.51</c:v>
                </c:pt>
                <c:pt idx="46">
                  <c:v>0.51</c:v>
                </c:pt>
                <c:pt idx="47">
                  <c:v>0.51</c:v>
                </c:pt>
                <c:pt idx="48">
                  <c:v>0.51</c:v>
                </c:pt>
                <c:pt idx="49">
                  <c:v>0.51</c:v>
                </c:pt>
                <c:pt idx="50">
                  <c:v>0.51</c:v>
                </c:pt>
                <c:pt idx="51">
                  <c:v>0.51</c:v>
                </c:pt>
                <c:pt idx="52">
                  <c:v>0.51</c:v>
                </c:pt>
                <c:pt idx="53">
                  <c:v>0.51</c:v>
                </c:pt>
                <c:pt idx="54">
                  <c:v>0.51</c:v>
                </c:pt>
                <c:pt idx="55">
                  <c:v>0.51</c:v>
                </c:pt>
                <c:pt idx="56">
                  <c:v>0.51</c:v>
                </c:pt>
                <c:pt idx="57">
                  <c:v>0.51</c:v>
                </c:pt>
                <c:pt idx="58">
                  <c:v>0.51</c:v>
                </c:pt>
                <c:pt idx="59">
                  <c:v>0.51</c:v>
                </c:pt>
                <c:pt idx="60">
                  <c:v>0.51</c:v>
                </c:pt>
                <c:pt idx="61">
                  <c:v>0.51</c:v>
                </c:pt>
                <c:pt idx="62">
                  <c:v>0.51</c:v>
                </c:pt>
                <c:pt idx="63">
                  <c:v>0.51</c:v>
                </c:pt>
                <c:pt idx="64">
                  <c:v>0.51</c:v>
                </c:pt>
                <c:pt idx="65">
                  <c:v>0.51</c:v>
                </c:pt>
                <c:pt idx="66">
                  <c:v>0.51</c:v>
                </c:pt>
                <c:pt idx="67">
                  <c:v>0.51</c:v>
                </c:pt>
                <c:pt idx="68">
                  <c:v>0.51</c:v>
                </c:pt>
                <c:pt idx="69">
                  <c:v>0.51</c:v>
                </c:pt>
                <c:pt idx="70">
                  <c:v>0.51</c:v>
                </c:pt>
                <c:pt idx="71">
                  <c:v>0.51</c:v>
                </c:pt>
                <c:pt idx="72">
                  <c:v>0.51</c:v>
                </c:pt>
                <c:pt idx="73">
                  <c:v>0.51</c:v>
                </c:pt>
                <c:pt idx="74">
                  <c:v>0.51</c:v>
                </c:pt>
                <c:pt idx="75">
                  <c:v>0.51</c:v>
                </c:pt>
                <c:pt idx="76">
                  <c:v>0.51</c:v>
                </c:pt>
                <c:pt idx="77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5-45EF-A3D7-06BFBD9F3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6103680"/>
        <c:axId val="76105216"/>
      </c:barChart>
      <c:catAx>
        <c:axId val="76103680"/>
        <c:scaling>
          <c:orientation val="maxMin"/>
        </c:scaling>
        <c:delete val="0"/>
        <c:axPos val="l"/>
        <c:majorGridlines/>
        <c:numFmt formatCode="General" sourceLinked="0"/>
        <c:majorTickMark val="out"/>
        <c:minorTickMark val="none"/>
        <c:tickLblPos val="none"/>
        <c:crossAx val="76105216"/>
        <c:crosses val="autoZero"/>
        <c:auto val="1"/>
        <c:lblAlgn val="ctr"/>
        <c:lblOffset val="100"/>
        <c:tickLblSkip val="1"/>
        <c:noMultiLvlLbl val="0"/>
      </c:catAx>
      <c:valAx>
        <c:axId val="76105216"/>
        <c:scaling>
          <c:orientation val="minMax"/>
          <c:max val="0.9"/>
          <c:min val="0.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FAR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crossAx val="76103680"/>
        <c:crosses val="max"/>
        <c:crossBetween val="between"/>
        <c:majorUnit val="0.2"/>
      </c:valAx>
    </c:plotArea>
    <c:legend>
      <c:legendPos val="t"/>
      <c:legendEntry>
        <c:idx val="0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9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7.4783720675561591E-2"/>
          <c:y val="2.3977102080418537E-2"/>
          <c:w val="0.87540403344602113"/>
          <c:h val="3.0027574707162736E-2"/>
        </c:manualLayout>
      </c:layout>
      <c:overlay val="1"/>
      <c:spPr>
        <a:noFill/>
      </c:spPr>
    </c:legend>
    <c:plotVisOnly val="1"/>
    <c:dispBlanksAs val="gap"/>
    <c:showDLblsOverMax val="0"/>
  </c:chart>
  <c:spPr>
    <a:noFill/>
    <a:ln>
      <a:noFill/>
    </a:ln>
  </c:spPr>
  <c:printSettings>
    <c:headerFooter alignWithMargins="0"/>
    <c:pageMargins b="0.75000000000000178" l="0.70000000000000062" r="0.70000000000000062" t="0.750000000000001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89832249229716E-2"/>
          <c:y val="5.9139877973244492E-2"/>
          <c:w val="0.69410549645242448"/>
          <c:h val="0.8644716488634466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Calculation!$AQ$7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Calculation!$AQ$8:$AQ$163</c:f>
              <c:numCache>
                <c:formatCode>_-* #,##0_-;\-* #,##0_-;_-* "-"??_-;_-@_-</c:formatCode>
                <c:ptCount val="156"/>
                <c:pt idx="0">
                  <c:v>13265013.52</c:v>
                </c:pt>
                <c:pt idx="2">
                  <c:v>20412006</c:v>
                </c:pt>
                <c:pt idx="4">
                  <c:v>7815948</c:v>
                </c:pt>
                <c:pt idx="6">
                  <c:v>1922025</c:v>
                </c:pt>
                <c:pt idx="8">
                  <c:v>26707206</c:v>
                </c:pt>
                <c:pt idx="10">
                  <c:v>31683758</c:v>
                </c:pt>
                <c:pt idx="12">
                  <c:v>9557662</c:v>
                </c:pt>
                <c:pt idx="14">
                  <c:v>30328990</c:v>
                </c:pt>
                <c:pt idx="16">
                  <c:v>73967164</c:v>
                </c:pt>
                <c:pt idx="18">
                  <c:v>58953917</c:v>
                </c:pt>
                <c:pt idx="20">
                  <c:v>33865995</c:v>
                </c:pt>
                <c:pt idx="22">
                  <c:v>14714197</c:v>
                </c:pt>
                <c:pt idx="24">
                  <c:v>9986639</c:v>
                </c:pt>
                <c:pt idx="26">
                  <c:v>318449</c:v>
                </c:pt>
                <c:pt idx="28">
                  <c:v>27508219.830000002</c:v>
                </c:pt>
                <c:pt idx="30">
                  <c:v>13053506</c:v>
                </c:pt>
                <c:pt idx="32">
                  <c:v>26064770</c:v>
                </c:pt>
                <c:pt idx="34">
                  <c:v>33139948</c:v>
                </c:pt>
                <c:pt idx="36">
                  <c:v>9565882</c:v>
                </c:pt>
                <c:pt idx="38">
                  <c:v>42581457</c:v>
                </c:pt>
                <c:pt idx="40">
                  <c:v>12517535</c:v>
                </c:pt>
                <c:pt idx="42">
                  <c:v>15209115</c:v>
                </c:pt>
                <c:pt idx="44">
                  <c:v>30965361</c:v>
                </c:pt>
                <c:pt idx="46">
                  <c:v>13701736</c:v>
                </c:pt>
                <c:pt idx="48">
                  <c:v>15424561</c:v>
                </c:pt>
                <c:pt idx="50">
                  <c:v>8849455</c:v>
                </c:pt>
                <c:pt idx="52">
                  <c:v>25370520.969999999</c:v>
                </c:pt>
                <c:pt idx="54">
                  <c:v>24715766.579999998</c:v>
                </c:pt>
                <c:pt idx="56">
                  <c:v>17065144.32</c:v>
                </c:pt>
                <c:pt idx="58">
                  <c:v>25074218</c:v>
                </c:pt>
                <c:pt idx="60">
                  <c:v>5008300</c:v>
                </c:pt>
                <c:pt idx="62">
                  <c:v>73698564.350000009</c:v>
                </c:pt>
                <c:pt idx="64">
                  <c:v>59080315.290000007</c:v>
                </c:pt>
                <c:pt idx="66">
                  <c:v>15837195</c:v>
                </c:pt>
                <c:pt idx="68">
                  <c:v>55110240.640000001</c:v>
                </c:pt>
                <c:pt idx="70">
                  <c:v>30612070.32</c:v>
                </c:pt>
                <c:pt idx="72">
                  <c:v>468025.48000000004</c:v>
                </c:pt>
                <c:pt idx="74">
                  <c:v>23169220.949999999</c:v>
                </c:pt>
                <c:pt idx="76">
                  <c:v>23314986.09</c:v>
                </c:pt>
                <c:pt idx="78">
                  <c:v>2098311</c:v>
                </c:pt>
                <c:pt idx="80">
                  <c:v>5761100.7599999998</c:v>
                </c:pt>
                <c:pt idx="82">
                  <c:v>24315863.129999999</c:v>
                </c:pt>
                <c:pt idx="84">
                  <c:v>24239780.82</c:v>
                </c:pt>
                <c:pt idx="86">
                  <c:v>29617286.609999999</c:v>
                </c:pt>
                <c:pt idx="88">
                  <c:v>6379256.9699999997</c:v>
                </c:pt>
                <c:pt idx="90">
                  <c:v>68017604.519999996</c:v>
                </c:pt>
                <c:pt idx="92">
                  <c:v>8288052.3300000001</c:v>
                </c:pt>
                <c:pt idx="94">
                  <c:v>6607214.2199999997</c:v>
                </c:pt>
                <c:pt idx="96">
                  <c:v>18704057.219999999</c:v>
                </c:pt>
                <c:pt idx="98">
                  <c:v>25236473</c:v>
                </c:pt>
                <c:pt idx="100">
                  <c:v>11903562.18</c:v>
                </c:pt>
                <c:pt idx="102">
                  <c:v>14031354.6</c:v>
                </c:pt>
                <c:pt idx="104">
                  <c:v>6681693.0899999999</c:v>
                </c:pt>
                <c:pt idx="106">
                  <c:v>62725430.910000004</c:v>
                </c:pt>
                <c:pt idx="108">
                  <c:v>30803526.210000001</c:v>
                </c:pt>
                <c:pt idx="110">
                  <c:v>29846907.990000002</c:v>
                </c:pt>
                <c:pt idx="112">
                  <c:v>36563217.840000004</c:v>
                </c:pt>
                <c:pt idx="114">
                  <c:v>15828863.880000001</c:v>
                </c:pt>
                <c:pt idx="116">
                  <c:v>25749037.59</c:v>
                </c:pt>
                <c:pt idx="118">
                  <c:v>29056063.23</c:v>
                </c:pt>
                <c:pt idx="120">
                  <c:v>39686307</c:v>
                </c:pt>
                <c:pt idx="122">
                  <c:v>18402172.41</c:v>
                </c:pt>
                <c:pt idx="124">
                  <c:v>70965408.599999994</c:v>
                </c:pt>
                <c:pt idx="126">
                  <c:v>11739492.630000001</c:v>
                </c:pt>
                <c:pt idx="128">
                  <c:v>26897995.68</c:v>
                </c:pt>
                <c:pt idx="130">
                  <c:v>15763794</c:v>
                </c:pt>
                <c:pt idx="132">
                  <c:v>24974864.219999999</c:v>
                </c:pt>
                <c:pt idx="134">
                  <c:v>65498019</c:v>
                </c:pt>
                <c:pt idx="136">
                  <c:v>30001894.949999999</c:v>
                </c:pt>
                <c:pt idx="138">
                  <c:v>26868334.59</c:v>
                </c:pt>
                <c:pt idx="140">
                  <c:v>30065973.900000002</c:v>
                </c:pt>
                <c:pt idx="142">
                  <c:v>34042765.710000001</c:v>
                </c:pt>
                <c:pt idx="144">
                  <c:v>88266970.409999996</c:v>
                </c:pt>
                <c:pt idx="146">
                  <c:v>40085583.840000004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3-4F4E-B80E-ED5AC07960FC}"/>
            </c:ext>
          </c:extLst>
        </c:ser>
        <c:ser>
          <c:idx val="1"/>
          <c:order val="1"/>
          <c:tx>
            <c:strRef>
              <c:f>Calculation!$AR$7</c:f>
              <c:strCache>
                <c:ptCount val="1"/>
                <c:pt idx="0">
                  <c:v>Increase</c:v>
                </c:pt>
              </c:strCache>
            </c:strRef>
          </c:tx>
          <c:spPr>
            <a:solidFill>
              <a:srgbClr val="00B050"/>
            </a:solidFill>
            <a:ln w="3175">
              <a:noFill/>
            </a:ln>
          </c:spPr>
          <c:invertIfNegative val="0"/>
          <c:val>
            <c:numRef>
              <c:f>Calculation!$AR$8:$AR$163</c:f>
              <c:numCache>
                <c:formatCode>_-* #,##0_-;\-* #,##0_-;_-* "-"??_-;_-@_-</c:formatCode>
                <c:ptCount val="156"/>
                <c:pt idx="0">
                  <c:v>0</c:v>
                </c:pt>
                <c:pt idx="2">
                  <c:v>1166072.25</c:v>
                </c:pt>
                <c:pt idx="4">
                  <c:v>1828711.5</c:v>
                </c:pt>
                <c:pt idx="6">
                  <c:v>78865.5</c:v>
                </c:pt>
                <c:pt idx="8">
                  <c:v>3670066.5</c:v>
                </c:pt>
                <c:pt idx="10">
                  <c:v>3277533.1199999973</c:v>
                </c:pt>
                <c:pt idx="12">
                  <c:v>1348586.2400000002</c:v>
                </c:pt>
                <c:pt idx="14">
                  <c:v>2331797.7499999963</c:v>
                </c:pt>
                <c:pt idx="16">
                  <c:v>8767488.1699999869</c:v>
                </c:pt>
                <c:pt idx="18">
                  <c:v>1669909.1200000048</c:v>
                </c:pt>
                <c:pt idx="20">
                  <c:v>1844738.5</c:v>
                </c:pt>
                <c:pt idx="22">
                  <c:v>1143521.4000000004</c:v>
                </c:pt>
                <c:pt idx="24">
                  <c:v>1323333.4800000004</c:v>
                </c:pt>
                <c:pt idx="26">
                  <c:v>41364.760000000009</c:v>
                </c:pt>
                <c:pt idx="28">
                  <c:v>0</c:v>
                </c:pt>
                <c:pt idx="30">
                  <c:v>287935.33000000007</c:v>
                </c:pt>
                <c:pt idx="32">
                  <c:v>2172039.7899999991</c:v>
                </c:pt>
                <c:pt idx="34">
                  <c:v>3399352.700000003</c:v>
                </c:pt>
                <c:pt idx="36">
                  <c:v>579842.6400000006</c:v>
                </c:pt>
                <c:pt idx="38">
                  <c:v>450478.1400000006</c:v>
                </c:pt>
                <c:pt idx="40">
                  <c:v>1001855.959999999</c:v>
                </c:pt>
                <c:pt idx="42">
                  <c:v>1031659.8100000005</c:v>
                </c:pt>
                <c:pt idx="44">
                  <c:v>0</c:v>
                </c:pt>
                <c:pt idx="46">
                  <c:v>301127</c:v>
                </c:pt>
                <c:pt idx="48">
                  <c:v>1536204.1999999993</c:v>
                </c:pt>
                <c:pt idx="50">
                  <c:v>465018.95999999903</c:v>
                </c:pt>
                <c:pt idx="52">
                  <c:v>0</c:v>
                </c:pt>
                <c:pt idx="54">
                  <c:v>0</c:v>
                </c:pt>
                <c:pt idx="56">
                  <c:v>0</c:v>
                </c:pt>
                <c:pt idx="58">
                  <c:v>1450194.320000004</c:v>
                </c:pt>
                <c:pt idx="60">
                  <c:v>2932.9400000004098</c:v>
                </c:pt>
                <c:pt idx="62">
                  <c:v>0</c:v>
                </c:pt>
                <c:pt idx="64">
                  <c:v>0</c:v>
                </c:pt>
                <c:pt idx="66">
                  <c:v>150711.48000000045</c:v>
                </c:pt>
                <c:pt idx="68">
                  <c:v>0</c:v>
                </c:pt>
                <c:pt idx="70">
                  <c:v>0</c:v>
                </c:pt>
                <c:pt idx="72">
                  <c:v>0</c:v>
                </c:pt>
                <c:pt idx="74">
                  <c:v>0</c:v>
                </c:pt>
                <c:pt idx="76">
                  <c:v>0</c:v>
                </c:pt>
                <c:pt idx="78">
                  <c:v>55232.339999999851</c:v>
                </c:pt>
                <c:pt idx="80">
                  <c:v>0</c:v>
                </c:pt>
                <c:pt idx="82">
                  <c:v>0</c:v>
                </c:pt>
                <c:pt idx="84">
                  <c:v>0</c:v>
                </c:pt>
                <c:pt idx="86">
                  <c:v>0</c:v>
                </c:pt>
                <c:pt idx="88">
                  <c:v>0</c:v>
                </c:pt>
                <c:pt idx="90">
                  <c:v>0</c:v>
                </c:pt>
                <c:pt idx="92">
                  <c:v>0</c:v>
                </c:pt>
                <c:pt idx="94">
                  <c:v>0</c:v>
                </c:pt>
                <c:pt idx="96">
                  <c:v>0</c:v>
                </c:pt>
                <c:pt idx="98">
                  <c:v>847921.71999999881</c:v>
                </c:pt>
                <c:pt idx="100">
                  <c:v>0</c:v>
                </c:pt>
                <c:pt idx="102">
                  <c:v>0</c:v>
                </c:pt>
                <c:pt idx="104">
                  <c:v>0</c:v>
                </c:pt>
                <c:pt idx="106">
                  <c:v>0</c:v>
                </c:pt>
                <c:pt idx="108">
                  <c:v>0</c:v>
                </c:pt>
                <c:pt idx="110">
                  <c:v>0</c:v>
                </c:pt>
                <c:pt idx="112">
                  <c:v>0</c:v>
                </c:pt>
                <c:pt idx="114">
                  <c:v>0</c:v>
                </c:pt>
                <c:pt idx="116">
                  <c:v>0</c:v>
                </c:pt>
                <c:pt idx="118">
                  <c:v>0</c:v>
                </c:pt>
                <c:pt idx="120">
                  <c:v>437329.46999999881</c:v>
                </c:pt>
                <c:pt idx="122">
                  <c:v>0</c:v>
                </c:pt>
                <c:pt idx="124">
                  <c:v>0</c:v>
                </c:pt>
                <c:pt idx="126">
                  <c:v>0</c:v>
                </c:pt>
                <c:pt idx="128">
                  <c:v>0</c:v>
                </c:pt>
                <c:pt idx="130">
                  <c:v>0</c:v>
                </c:pt>
                <c:pt idx="132">
                  <c:v>0</c:v>
                </c:pt>
                <c:pt idx="134">
                  <c:v>311946.48000000417</c:v>
                </c:pt>
                <c:pt idx="136">
                  <c:v>0</c:v>
                </c:pt>
                <c:pt idx="138">
                  <c:v>0</c:v>
                </c:pt>
                <c:pt idx="140">
                  <c:v>0</c:v>
                </c:pt>
                <c:pt idx="142">
                  <c:v>0</c:v>
                </c:pt>
                <c:pt idx="144">
                  <c:v>0</c:v>
                </c:pt>
                <c:pt idx="1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3-4F4E-B80E-ED5AC07960FC}"/>
            </c:ext>
          </c:extLst>
        </c:ser>
        <c:ser>
          <c:idx val="2"/>
          <c:order val="2"/>
          <c:tx>
            <c:strRef>
              <c:f>Calculation!$AS$7</c:f>
              <c:strCache>
                <c:ptCount val="1"/>
                <c:pt idx="0">
                  <c:v>Decrease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val>
            <c:numRef>
              <c:f>Calculation!$AS$8:$AS$163</c:f>
              <c:numCache>
                <c:formatCode>_-* #,##0_-;\-* #,##0_-;_-* "-"??_-;_-@_-</c:formatCode>
                <c:ptCount val="156"/>
                <c:pt idx="0">
                  <c:v>117145.48000000045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4">
                  <c:v>0</c:v>
                </c:pt>
                <c:pt idx="26">
                  <c:v>0</c:v>
                </c:pt>
                <c:pt idx="28">
                  <c:v>130957.16999999806</c:v>
                </c:pt>
                <c:pt idx="30">
                  <c:v>0</c:v>
                </c:pt>
                <c:pt idx="32">
                  <c:v>0</c:v>
                </c:pt>
                <c:pt idx="34">
                  <c:v>0</c:v>
                </c:pt>
                <c:pt idx="36">
                  <c:v>0</c:v>
                </c:pt>
                <c:pt idx="38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1804119</c:v>
                </c:pt>
                <c:pt idx="46">
                  <c:v>0</c:v>
                </c:pt>
                <c:pt idx="48">
                  <c:v>0</c:v>
                </c:pt>
                <c:pt idx="50">
                  <c:v>0</c:v>
                </c:pt>
                <c:pt idx="52">
                  <c:v>430008.03000000119</c:v>
                </c:pt>
                <c:pt idx="54">
                  <c:v>94606.420000001788</c:v>
                </c:pt>
                <c:pt idx="56">
                  <c:v>535829.6799999997</c:v>
                </c:pt>
                <c:pt idx="58">
                  <c:v>0</c:v>
                </c:pt>
                <c:pt idx="60">
                  <c:v>0</c:v>
                </c:pt>
                <c:pt idx="62">
                  <c:v>2506541.6499999911</c:v>
                </c:pt>
                <c:pt idx="64">
                  <c:v>3770939.7099999934</c:v>
                </c:pt>
                <c:pt idx="66">
                  <c:v>0</c:v>
                </c:pt>
                <c:pt idx="68">
                  <c:v>781544.3599999994</c:v>
                </c:pt>
                <c:pt idx="70">
                  <c:v>1515562.6799999997</c:v>
                </c:pt>
                <c:pt idx="72">
                  <c:v>89395.51999999996</c:v>
                </c:pt>
                <c:pt idx="74">
                  <c:v>1193939.0500000007</c:v>
                </c:pt>
                <c:pt idx="76">
                  <c:v>489899.91000000015</c:v>
                </c:pt>
                <c:pt idx="78">
                  <c:v>0</c:v>
                </c:pt>
                <c:pt idx="80">
                  <c:v>324157.24000000022</c:v>
                </c:pt>
                <c:pt idx="82">
                  <c:v>4379077.870000001</c:v>
                </c:pt>
                <c:pt idx="84">
                  <c:v>319359.1799999997</c:v>
                </c:pt>
                <c:pt idx="86">
                  <c:v>1867954.3900000006</c:v>
                </c:pt>
                <c:pt idx="88">
                  <c:v>241312.03000000026</c:v>
                </c:pt>
                <c:pt idx="90">
                  <c:v>2769221.4800000042</c:v>
                </c:pt>
                <c:pt idx="92">
                  <c:v>877420.66999999993</c:v>
                </c:pt>
                <c:pt idx="94">
                  <c:v>238327.78000000026</c:v>
                </c:pt>
                <c:pt idx="96">
                  <c:v>486236.78000000119</c:v>
                </c:pt>
                <c:pt idx="98">
                  <c:v>0</c:v>
                </c:pt>
                <c:pt idx="100">
                  <c:v>481046.8200000003</c:v>
                </c:pt>
                <c:pt idx="102">
                  <c:v>997773.40000000037</c:v>
                </c:pt>
                <c:pt idx="104">
                  <c:v>196398.91000000015</c:v>
                </c:pt>
                <c:pt idx="106">
                  <c:v>3504683.0899999961</c:v>
                </c:pt>
                <c:pt idx="108">
                  <c:v>2051969.7899999991</c:v>
                </c:pt>
                <c:pt idx="110">
                  <c:v>1669996.0099999979</c:v>
                </c:pt>
                <c:pt idx="112">
                  <c:v>54440.159999996424</c:v>
                </c:pt>
                <c:pt idx="114">
                  <c:v>370161.11999999918</c:v>
                </c:pt>
                <c:pt idx="116">
                  <c:v>745410.41000000015</c:v>
                </c:pt>
                <c:pt idx="118">
                  <c:v>953653.76999999955</c:v>
                </c:pt>
                <c:pt idx="120">
                  <c:v>0</c:v>
                </c:pt>
                <c:pt idx="122">
                  <c:v>254646.58999999985</c:v>
                </c:pt>
                <c:pt idx="124">
                  <c:v>8904860.400000006</c:v>
                </c:pt>
                <c:pt idx="126">
                  <c:v>718968.36999999918</c:v>
                </c:pt>
                <c:pt idx="128">
                  <c:v>1120507.3200000003</c:v>
                </c:pt>
                <c:pt idx="130">
                  <c:v>305035</c:v>
                </c:pt>
                <c:pt idx="132">
                  <c:v>270574.78000000119</c:v>
                </c:pt>
                <c:pt idx="134">
                  <c:v>0</c:v>
                </c:pt>
                <c:pt idx="136">
                  <c:v>483813.05000000075</c:v>
                </c:pt>
                <c:pt idx="138">
                  <c:v>510664.41000000015</c:v>
                </c:pt>
                <c:pt idx="140">
                  <c:v>901927.09999999776</c:v>
                </c:pt>
                <c:pt idx="142">
                  <c:v>2076515.2899999991</c:v>
                </c:pt>
                <c:pt idx="144">
                  <c:v>4264280.5900000036</c:v>
                </c:pt>
                <c:pt idx="146">
                  <c:v>716117.15999999642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B3-4F4E-B80E-ED5AC07960FC}"/>
            </c:ext>
          </c:extLst>
        </c:ser>
        <c:ser>
          <c:idx val="3"/>
          <c:order val="3"/>
          <c:tx>
            <c:strRef>
              <c:f>Calculation!$AT$7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Calculation!$AT$8:$AT$163</c:f>
              <c:numCache>
                <c:formatCode>_-* #,##0_-;\-* #,##0_-;_-* "-"??_-;_-@_-</c:formatCode>
                <c:ptCount val="156"/>
                <c:pt idx="1">
                  <c:v>1691720</c:v>
                </c:pt>
                <c:pt idx="3">
                  <c:v>7192692.75</c:v>
                </c:pt>
                <c:pt idx="5">
                  <c:v>3214886.5</c:v>
                </c:pt>
                <c:pt idx="7">
                  <c:v>666963.5</c:v>
                </c:pt>
                <c:pt idx="9">
                  <c:v>10125757.5</c:v>
                </c:pt>
                <c:pt idx="11">
                  <c:v>12283696.880000003</c:v>
                </c:pt>
                <c:pt idx="13">
                  <c:v>4241318.76</c:v>
                </c:pt>
                <c:pt idx="15">
                  <c:v>14673687.250000004</c:v>
                </c:pt>
                <c:pt idx="17">
                  <c:v>37170640.830000013</c:v>
                </c:pt>
                <c:pt idx="19">
                  <c:v>31230455.879999995</c:v>
                </c:pt>
                <c:pt idx="21">
                  <c:v>19228856.5</c:v>
                </c:pt>
                <c:pt idx="23">
                  <c:v>8919966.5999999996</c:v>
                </c:pt>
                <c:pt idx="25">
                  <c:v>6361859.5199999996</c:v>
                </c:pt>
                <c:pt idx="27">
                  <c:v>202395.24</c:v>
                </c:pt>
                <c:pt idx="29">
                  <c:v>16024664</c:v>
                </c:pt>
                <c:pt idx="31">
                  <c:v>7835449.6699999999</c:v>
                </c:pt>
                <c:pt idx="33">
                  <c:v>16583523.210000001</c:v>
                </c:pt>
                <c:pt idx="35">
                  <c:v>21459589.299999997</c:v>
                </c:pt>
                <c:pt idx="37">
                  <c:v>6218347.3599999994</c:v>
                </c:pt>
                <c:pt idx="39">
                  <c:v>26374411.859999999</c:v>
                </c:pt>
                <c:pt idx="41">
                  <c:v>8643545.040000001</c:v>
                </c:pt>
                <c:pt idx="43">
                  <c:v>10383446.189999999</c:v>
                </c:pt>
                <c:pt idx="45">
                  <c:v>18839455</c:v>
                </c:pt>
                <c:pt idx="47">
                  <c:v>9335242</c:v>
                </c:pt>
                <c:pt idx="49">
                  <c:v>11307176.800000001</c:v>
                </c:pt>
                <c:pt idx="51">
                  <c:v>6472770.040000001</c:v>
                </c:pt>
                <c:pt idx="53">
                  <c:v>17200354</c:v>
                </c:pt>
                <c:pt idx="55">
                  <c:v>18550621</c:v>
                </c:pt>
                <c:pt idx="57">
                  <c:v>12872498</c:v>
                </c:pt>
                <c:pt idx="59">
                  <c:v>20840609.679999996</c:v>
                </c:pt>
                <c:pt idx="61">
                  <c:v>4268828.0599999996</c:v>
                </c:pt>
                <c:pt idx="63">
                  <c:v>62848789</c:v>
                </c:pt>
                <c:pt idx="65">
                  <c:v>48621038</c:v>
                </c:pt>
                <c:pt idx="67">
                  <c:v>14758067.52</c:v>
                </c:pt>
                <c:pt idx="69">
                  <c:v>50089447</c:v>
                </c:pt>
                <c:pt idx="71">
                  <c:v>26741733</c:v>
                </c:pt>
                <c:pt idx="73">
                  <c:v>342628</c:v>
                </c:pt>
                <c:pt idx="75">
                  <c:v>21066685</c:v>
                </c:pt>
                <c:pt idx="77">
                  <c:v>21910773</c:v>
                </c:pt>
                <c:pt idx="79">
                  <c:v>2069090.6600000001</c:v>
                </c:pt>
                <c:pt idx="81">
                  <c:v>5211018</c:v>
                </c:pt>
                <c:pt idx="83">
                  <c:v>18983222</c:v>
                </c:pt>
                <c:pt idx="85">
                  <c:v>22969842</c:v>
                </c:pt>
                <c:pt idx="87">
                  <c:v>26587870</c:v>
                </c:pt>
                <c:pt idx="89">
                  <c:v>5887778</c:v>
                </c:pt>
                <c:pt idx="91">
                  <c:v>62581026</c:v>
                </c:pt>
                <c:pt idx="93">
                  <c:v>7085610</c:v>
                </c:pt>
                <c:pt idx="95">
                  <c:v>6109780</c:v>
                </c:pt>
                <c:pt idx="97">
                  <c:v>17484328</c:v>
                </c:pt>
                <c:pt idx="99">
                  <c:v>25061477.280000001</c:v>
                </c:pt>
                <c:pt idx="101">
                  <c:v>10955709</c:v>
                </c:pt>
                <c:pt idx="103">
                  <c:v>12483332</c:v>
                </c:pt>
                <c:pt idx="105">
                  <c:v>6223267</c:v>
                </c:pt>
                <c:pt idx="107">
                  <c:v>56760927</c:v>
                </c:pt>
                <c:pt idx="109">
                  <c:v>27543575</c:v>
                </c:pt>
                <c:pt idx="111">
                  <c:v>27006445</c:v>
                </c:pt>
                <c:pt idx="113">
                  <c:v>35074926</c:v>
                </c:pt>
                <c:pt idx="115">
                  <c:v>14837963</c:v>
                </c:pt>
                <c:pt idx="117">
                  <c:v>23993861</c:v>
                </c:pt>
                <c:pt idx="119">
                  <c:v>26962956</c:v>
                </c:pt>
                <c:pt idx="121">
                  <c:v>38550160.530000001</c:v>
                </c:pt>
                <c:pt idx="123">
                  <c:v>17425872</c:v>
                </c:pt>
                <c:pt idx="125">
                  <c:v>59277591</c:v>
                </c:pt>
                <c:pt idx="127">
                  <c:v>10560152</c:v>
                </c:pt>
                <c:pt idx="129">
                  <c:v>24722665</c:v>
                </c:pt>
                <c:pt idx="131">
                  <c:v>14840571</c:v>
                </c:pt>
                <c:pt idx="133">
                  <c:v>23724883</c:v>
                </c:pt>
                <c:pt idx="135">
                  <c:v>63229182.519999996</c:v>
                </c:pt>
                <c:pt idx="137">
                  <c:v>28341537</c:v>
                </c:pt>
                <c:pt idx="139">
                  <c:v>25304010</c:v>
                </c:pt>
                <c:pt idx="141">
                  <c:v>27984989</c:v>
                </c:pt>
                <c:pt idx="143">
                  <c:v>30631240</c:v>
                </c:pt>
                <c:pt idx="145">
                  <c:v>80541240</c:v>
                </c:pt>
                <c:pt idx="147">
                  <c:v>37797483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B3-4F4E-B80E-ED5AC07960FC}"/>
            </c:ext>
          </c:extLst>
        </c:ser>
        <c:ser>
          <c:idx val="4"/>
          <c:order val="4"/>
          <c:tx>
            <c:strRef>
              <c:f>Calculation!$AU$7</c:f>
              <c:strCache>
                <c:ptCount val="1"/>
                <c:pt idx="0">
                  <c:v>Increase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val>
            <c:numRef>
              <c:f>Calculation!$AU$8:$AU$163</c:f>
              <c:numCache>
                <c:formatCode>_-* #,##0_-;\-* #,##0_-;_-* "-"??_-;_-@_-</c:formatCode>
                <c:ptCount val="156"/>
                <c:pt idx="1">
                  <c:v>117145.48000000045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130957.16999999806</c:v>
                </c:pt>
                <c:pt idx="31">
                  <c:v>0</c:v>
                </c:pt>
                <c:pt idx="33">
                  <c:v>0</c:v>
                </c:pt>
                <c:pt idx="35">
                  <c:v>0</c:v>
                </c:pt>
                <c:pt idx="37">
                  <c:v>0</c:v>
                </c:pt>
                <c:pt idx="39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1804119</c:v>
                </c:pt>
                <c:pt idx="47">
                  <c:v>0</c:v>
                </c:pt>
                <c:pt idx="49">
                  <c:v>0</c:v>
                </c:pt>
                <c:pt idx="51">
                  <c:v>0</c:v>
                </c:pt>
                <c:pt idx="53">
                  <c:v>430008.03000000119</c:v>
                </c:pt>
                <c:pt idx="55">
                  <c:v>94606.420000001788</c:v>
                </c:pt>
                <c:pt idx="57">
                  <c:v>535829.6799999997</c:v>
                </c:pt>
                <c:pt idx="59">
                  <c:v>0</c:v>
                </c:pt>
                <c:pt idx="61">
                  <c:v>0</c:v>
                </c:pt>
                <c:pt idx="63">
                  <c:v>2506541.6499999911</c:v>
                </c:pt>
                <c:pt idx="65">
                  <c:v>3770939.7099999934</c:v>
                </c:pt>
                <c:pt idx="67">
                  <c:v>0</c:v>
                </c:pt>
                <c:pt idx="69">
                  <c:v>781544.3599999994</c:v>
                </c:pt>
                <c:pt idx="71">
                  <c:v>1515562.6799999997</c:v>
                </c:pt>
                <c:pt idx="73">
                  <c:v>89395.51999999996</c:v>
                </c:pt>
                <c:pt idx="75">
                  <c:v>1193939.0500000007</c:v>
                </c:pt>
                <c:pt idx="77">
                  <c:v>489899.91000000015</c:v>
                </c:pt>
                <c:pt idx="79">
                  <c:v>0</c:v>
                </c:pt>
                <c:pt idx="81">
                  <c:v>324157.24000000022</c:v>
                </c:pt>
                <c:pt idx="83">
                  <c:v>4379077.870000001</c:v>
                </c:pt>
                <c:pt idx="85">
                  <c:v>319359.1799999997</c:v>
                </c:pt>
                <c:pt idx="87">
                  <c:v>1867954.3900000006</c:v>
                </c:pt>
                <c:pt idx="89">
                  <c:v>241312.03000000026</c:v>
                </c:pt>
                <c:pt idx="91">
                  <c:v>2769221.4800000042</c:v>
                </c:pt>
                <c:pt idx="93">
                  <c:v>877420.66999999993</c:v>
                </c:pt>
                <c:pt idx="95">
                  <c:v>238327.78000000026</c:v>
                </c:pt>
                <c:pt idx="97">
                  <c:v>486236.78000000119</c:v>
                </c:pt>
                <c:pt idx="99">
                  <c:v>0</c:v>
                </c:pt>
                <c:pt idx="101">
                  <c:v>481046.8200000003</c:v>
                </c:pt>
                <c:pt idx="103">
                  <c:v>997773.40000000037</c:v>
                </c:pt>
                <c:pt idx="105">
                  <c:v>196398.91000000015</c:v>
                </c:pt>
                <c:pt idx="107">
                  <c:v>3504683.0899999961</c:v>
                </c:pt>
                <c:pt idx="109">
                  <c:v>2051969.7899999991</c:v>
                </c:pt>
                <c:pt idx="111">
                  <c:v>1669996.0099999979</c:v>
                </c:pt>
                <c:pt idx="113">
                  <c:v>54440.159999996424</c:v>
                </c:pt>
                <c:pt idx="115">
                  <c:v>370161.11999999918</c:v>
                </c:pt>
                <c:pt idx="117">
                  <c:v>745410.41000000015</c:v>
                </c:pt>
                <c:pt idx="119">
                  <c:v>953653.76999999955</c:v>
                </c:pt>
                <c:pt idx="121">
                  <c:v>0</c:v>
                </c:pt>
                <c:pt idx="123">
                  <c:v>254646.58999999985</c:v>
                </c:pt>
                <c:pt idx="125">
                  <c:v>8904860.400000006</c:v>
                </c:pt>
                <c:pt idx="127">
                  <c:v>718968.36999999918</c:v>
                </c:pt>
                <c:pt idx="129">
                  <c:v>1120507.3200000003</c:v>
                </c:pt>
                <c:pt idx="131">
                  <c:v>305035</c:v>
                </c:pt>
                <c:pt idx="133">
                  <c:v>270574.78000000119</c:v>
                </c:pt>
                <c:pt idx="135">
                  <c:v>0</c:v>
                </c:pt>
                <c:pt idx="137">
                  <c:v>483813.05000000075</c:v>
                </c:pt>
                <c:pt idx="139">
                  <c:v>510664.41000000015</c:v>
                </c:pt>
                <c:pt idx="141">
                  <c:v>901927.09999999776</c:v>
                </c:pt>
                <c:pt idx="143">
                  <c:v>2076515.2899999991</c:v>
                </c:pt>
                <c:pt idx="145">
                  <c:v>4264280.5900000036</c:v>
                </c:pt>
                <c:pt idx="147">
                  <c:v>716117.15999999642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B3-4F4E-B80E-ED5AC07960FC}"/>
            </c:ext>
          </c:extLst>
        </c:ser>
        <c:ser>
          <c:idx val="5"/>
          <c:order val="5"/>
          <c:tx>
            <c:strRef>
              <c:f>Calculation!$AV$7</c:f>
              <c:strCache>
                <c:ptCount val="1"/>
                <c:pt idx="0">
                  <c:v>Decrease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val>
            <c:numRef>
              <c:f>Calculation!$AV$8:$AV$163</c:f>
              <c:numCache>
                <c:formatCode>_-* #,##0_-;\-* #,##0_-;_-* "-"??_-;_-@_-</c:formatCode>
                <c:ptCount val="156"/>
                <c:pt idx="1">
                  <c:v>0</c:v>
                </c:pt>
                <c:pt idx="3">
                  <c:v>1166072.25</c:v>
                </c:pt>
                <c:pt idx="5">
                  <c:v>1828711.5</c:v>
                </c:pt>
                <c:pt idx="7">
                  <c:v>78865.5</c:v>
                </c:pt>
                <c:pt idx="9">
                  <c:v>3670066.5</c:v>
                </c:pt>
                <c:pt idx="11">
                  <c:v>3277533.1199999973</c:v>
                </c:pt>
                <c:pt idx="13">
                  <c:v>1348586.2400000002</c:v>
                </c:pt>
                <c:pt idx="15">
                  <c:v>2331797.7499999963</c:v>
                </c:pt>
                <c:pt idx="17">
                  <c:v>8767488.1699999869</c:v>
                </c:pt>
                <c:pt idx="19">
                  <c:v>1669909.1200000048</c:v>
                </c:pt>
                <c:pt idx="21">
                  <c:v>1844738.5</c:v>
                </c:pt>
                <c:pt idx="23">
                  <c:v>1143521.4000000004</c:v>
                </c:pt>
                <c:pt idx="25">
                  <c:v>1323333.4800000004</c:v>
                </c:pt>
                <c:pt idx="27">
                  <c:v>41364.760000000009</c:v>
                </c:pt>
                <c:pt idx="29">
                  <c:v>0</c:v>
                </c:pt>
                <c:pt idx="31">
                  <c:v>287935.33000000007</c:v>
                </c:pt>
                <c:pt idx="33">
                  <c:v>2172039.7899999991</c:v>
                </c:pt>
                <c:pt idx="35">
                  <c:v>3399352.700000003</c:v>
                </c:pt>
                <c:pt idx="37">
                  <c:v>579842.6400000006</c:v>
                </c:pt>
                <c:pt idx="39">
                  <c:v>450478.1400000006</c:v>
                </c:pt>
                <c:pt idx="41">
                  <c:v>1001855.959999999</c:v>
                </c:pt>
                <c:pt idx="43">
                  <c:v>1031659.8100000005</c:v>
                </c:pt>
                <c:pt idx="45">
                  <c:v>0</c:v>
                </c:pt>
                <c:pt idx="47">
                  <c:v>301127</c:v>
                </c:pt>
                <c:pt idx="49">
                  <c:v>1536204.1999999993</c:v>
                </c:pt>
                <c:pt idx="51">
                  <c:v>465018.95999999903</c:v>
                </c:pt>
                <c:pt idx="53">
                  <c:v>0</c:v>
                </c:pt>
                <c:pt idx="55">
                  <c:v>0</c:v>
                </c:pt>
                <c:pt idx="57">
                  <c:v>0</c:v>
                </c:pt>
                <c:pt idx="59">
                  <c:v>1450194.320000004</c:v>
                </c:pt>
                <c:pt idx="61">
                  <c:v>2932.9400000004098</c:v>
                </c:pt>
                <c:pt idx="63">
                  <c:v>0</c:v>
                </c:pt>
                <c:pt idx="65">
                  <c:v>0</c:v>
                </c:pt>
                <c:pt idx="67">
                  <c:v>150711.48000000045</c:v>
                </c:pt>
                <c:pt idx="69">
                  <c:v>0</c:v>
                </c:pt>
                <c:pt idx="71">
                  <c:v>0</c:v>
                </c:pt>
                <c:pt idx="73">
                  <c:v>0</c:v>
                </c:pt>
                <c:pt idx="75">
                  <c:v>0</c:v>
                </c:pt>
                <c:pt idx="77">
                  <c:v>0</c:v>
                </c:pt>
                <c:pt idx="79">
                  <c:v>55232.339999999851</c:v>
                </c:pt>
                <c:pt idx="81">
                  <c:v>0</c:v>
                </c:pt>
                <c:pt idx="83">
                  <c:v>0</c:v>
                </c:pt>
                <c:pt idx="85">
                  <c:v>0</c:v>
                </c:pt>
                <c:pt idx="87">
                  <c:v>0</c:v>
                </c:pt>
                <c:pt idx="89">
                  <c:v>0</c:v>
                </c:pt>
                <c:pt idx="91">
                  <c:v>0</c:v>
                </c:pt>
                <c:pt idx="93">
                  <c:v>0</c:v>
                </c:pt>
                <c:pt idx="95">
                  <c:v>0</c:v>
                </c:pt>
                <c:pt idx="97">
                  <c:v>0</c:v>
                </c:pt>
                <c:pt idx="99">
                  <c:v>847921.71999999881</c:v>
                </c:pt>
                <c:pt idx="101">
                  <c:v>0</c:v>
                </c:pt>
                <c:pt idx="103">
                  <c:v>0</c:v>
                </c:pt>
                <c:pt idx="105">
                  <c:v>0</c:v>
                </c:pt>
                <c:pt idx="107">
                  <c:v>0</c:v>
                </c:pt>
                <c:pt idx="109">
                  <c:v>0</c:v>
                </c:pt>
                <c:pt idx="111">
                  <c:v>0</c:v>
                </c:pt>
                <c:pt idx="113">
                  <c:v>0</c:v>
                </c:pt>
                <c:pt idx="115">
                  <c:v>0</c:v>
                </c:pt>
                <c:pt idx="117">
                  <c:v>0</c:v>
                </c:pt>
                <c:pt idx="119">
                  <c:v>0</c:v>
                </c:pt>
                <c:pt idx="121">
                  <c:v>437329.46999999881</c:v>
                </c:pt>
                <c:pt idx="123">
                  <c:v>0</c:v>
                </c:pt>
                <c:pt idx="125">
                  <c:v>0</c:v>
                </c:pt>
                <c:pt idx="127">
                  <c:v>0</c:v>
                </c:pt>
                <c:pt idx="129">
                  <c:v>0</c:v>
                </c:pt>
                <c:pt idx="131">
                  <c:v>0</c:v>
                </c:pt>
                <c:pt idx="133">
                  <c:v>0</c:v>
                </c:pt>
                <c:pt idx="135">
                  <c:v>311946.48000000417</c:v>
                </c:pt>
                <c:pt idx="137">
                  <c:v>0</c:v>
                </c:pt>
                <c:pt idx="139">
                  <c:v>0</c:v>
                </c:pt>
                <c:pt idx="141">
                  <c:v>0</c:v>
                </c:pt>
                <c:pt idx="143">
                  <c:v>0</c:v>
                </c:pt>
                <c:pt idx="145">
                  <c:v>0</c:v>
                </c:pt>
                <c:pt idx="1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B3-4F4E-B80E-ED5AC0796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75376128"/>
        <c:axId val="75377664"/>
      </c:barChart>
      <c:catAx>
        <c:axId val="75376128"/>
        <c:scaling>
          <c:orientation val="maxMin"/>
        </c:scaling>
        <c:delete val="0"/>
        <c:axPos val="l"/>
        <c:majorGridlines/>
        <c:majorTickMark val="out"/>
        <c:minorTickMark val="none"/>
        <c:tickLblPos val="none"/>
        <c:crossAx val="75377664"/>
        <c:crosses val="autoZero"/>
        <c:auto val="1"/>
        <c:lblAlgn val="ctr"/>
        <c:lblOffset val="100"/>
        <c:tickMarkSkip val="2"/>
        <c:noMultiLvlLbl val="0"/>
      </c:catAx>
      <c:valAx>
        <c:axId val="7537766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$ Millions</a:t>
                </a:r>
              </a:p>
            </c:rich>
          </c:tx>
          <c:overlay val="0"/>
        </c:title>
        <c:numFmt formatCode="&quot;$&quot;#,##0" sourceLinked="0"/>
        <c:majorTickMark val="out"/>
        <c:minorTickMark val="none"/>
        <c:tickLblPos val="nextTo"/>
        <c:crossAx val="75376128"/>
        <c:crosses val="max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Percentage</a:t>
            </a:r>
            <a:r>
              <a:rPr lang="en-NZ" baseline="0"/>
              <a:t> change in changed inputs 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Analysis2!$E$6</c:f>
              <c:strCache>
                <c:ptCount val="1"/>
                <c:pt idx="0">
                  <c:v>Centreline KM, 1.14% National Average Change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Analysis2!$B$7:$B$84</c:f>
              <c:strCache>
                <c:ptCount val="78"/>
                <c:pt idx="0">
                  <c:v>Far North District</c:v>
                </c:pt>
                <c:pt idx="1">
                  <c:v>Kaipara District</c:v>
                </c:pt>
                <c:pt idx="2">
                  <c:v>Whangarei District</c:v>
                </c:pt>
                <c:pt idx="3">
                  <c:v>Auckland</c:v>
                </c:pt>
                <c:pt idx="4">
                  <c:v>Hamilton City</c:v>
                </c:pt>
                <c:pt idx="5">
                  <c:v>Hauraki District</c:v>
                </c:pt>
                <c:pt idx="6">
                  <c:v>Matamata-Piako District</c:v>
                </c:pt>
                <c:pt idx="7">
                  <c:v>Otorohanga District</c:v>
                </c:pt>
                <c:pt idx="8">
                  <c:v>South Waikato District</c:v>
                </c:pt>
                <c:pt idx="9">
                  <c:v>Taupo District</c:v>
                </c:pt>
                <c:pt idx="10">
                  <c:v>Thames-Coromandel District</c:v>
                </c:pt>
                <c:pt idx="11">
                  <c:v>Waikato District</c:v>
                </c:pt>
                <c:pt idx="12">
                  <c:v>Waipa District</c:v>
                </c:pt>
                <c:pt idx="13">
                  <c:v>Waitomo District</c:v>
                </c:pt>
                <c:pt idx="14">
                  <c:v>Kawerau District</c:v>
                </c:pt>
                <c:pt idx="15">
                  <c:v>Opotiki District</c:v>
                </c:pt>
                <c:pt idx="16">
                  <c:v>Rotorua District</c:v>
                </c:pt>
                <c:pt idx="17">
                  <c:v>Tauranga City</c:v>
                </c:pt>
                <c:pt idx="18">
                  <c:v>Western Bay of Plenty District</c:v>
                </c:pt>
                <c:pt idx="19">
                  <c:v>Whakatane District</c:v>
                </c:pt>
                <c:pt idx="20">
                  <c:v>Gisborne District</c:v>
                </c:pt>
                <c:pt idx="21">
                  <c:v>Central Hawke's Bay District</c:v>
                </c:pt>
                <c:pt idx="22">
                  <c:v>Hastings District</c:v>
                </c:pt>
                <c:pt idx="23">
                  <c:v>Napier City</c:v>
                </c:pt>
                <c:pt idx="24">
                  <c:v>Wairoa District</c:v>
                </c:pt>
                <c:pt idx="25">
                  <c:v>New Plymouth District</c:v>
                </c:pt>
                <c:pt idx="26">
                  <c:v>South Taranaki District</c:v>
                </c:pt>
                <c:pt idx="27">
                  <c:v>Stratford District</c:v>
                </c:pt>
                <c:pt idx="28">
                  <c:v>Horowhenua District</c:v>
                </c:pt>
                <c:pt idx="29">
                  <c:v>Manawatu District</c:v>
                </c:pt>
                <c:pt idx="30">
                  <c:v>Palmerston North City</c:v>
                </c:pt>
                <c:pt idx="31">
                  <c:v>Rangitikei District</c:v>
                </c:pt>
                <c:pt idx="32">
                  <c:v>Ruapehu District</c:v>
                </c:pt>
                <c:pt idx="33">
                  <c:v>Tararua District</c:v>
                </c:pt>
                <c:pt idx="34">
                  <c:v>Wanganui District</c:v>
                </c:pt>
                <c:pt idx="35">
                  <c:v>Carterton District</c:v>
                </c:pt>
                <c:pt idx="36">
                  <c:v>Kapiti Coast District</c:v>
                </c:pt>
                <c:pt idx="37">
                  <c:v>Lower Hutt City</c:v>
                </c:pt>
                <c:pt idx="38">
                  <c:v>Masterton District</c:v>
                </c:pt>
                <c:pt idx="39">
                  <c:v>Porirua City</c:v>
                </c:pt>
                <c:pt idx="40">
                  <c:v>South Wairarapa District</c:v>
                </c:pt>
                <c:pt idx="41">
                  <c:v>Upper Hutt City</c:v>
                </c:pt>
                <c:pt idx="42">
                  <c:v>Wellington City</c:v>
                </c:pt>
                <c:pt idx="43">
                  <c:v>Kaikoura District</c:v>
                </c:pt>
                <c:pt idx="44">
                  <c:v>Marlborough District</c:v>
                </c:pt>
                <c:pt idx="45">
                  <c:v>Nelson City</c:v>
                </c:pt>
                <c:pt idx="46">
                  <c:v>Tasman District</c:v>
                </c:pt>
                <c:pt idx="47">
                  <c:v>Ashburton District</c:v>
                </c:pt>
                <c:pt idx="48">
                  <c:v>Christchurch City</c:v>
                </c:pt>
                <c:pt idx="49">
                  <c:v>Hurunui District</c:v>
                </c:pt>
                <c:pt idx="50">
                  <c:v>Mackenzie District</c:v>
                </c:pt>
                <c:pt idx="51">
                  <c:v>Selwyn District</c:v>
                </c:pt>
                <c:pt idx="52">
                  <c:v>Timaru District</c:v>
                </c:pt>
                <c:pt idx="53">
                  <c:v>Waimakariri District</c:v>
                </c:pt>
                <c:pt idx="54">
                  <c:v>Waimate District</c:v>
                </c:pt>
                <c:pt idx="55">
                  <c:v>Buller District</c:v>
                </c:pt>
                <c:pt idx="56">
                  <c:v>Grey District</c:v>
                </c:pt>
                <c:pt idx="57">
                  <c:v>Westland District</c:v>
                </c:pt>
                <c:pt idx="58">
                  <c:v>Central Otago District</c:v>
                </c:pt>
                <c:pt idx="59">
                  <c:v>Clutha District</c:v>
                </c:pt>
                <c:pt idx="60">
                  <c:v>Dunedin City</c:v>
                </c:pt>
                <c:pt idx="61">
                  <c:v>Queenstown-Lakes District</c:v>
                </c:pt>
                <c:pt idx="62">
                  <c:v>Waitaki District</c:v>
                </c:pt>
                <c:pt idx="63">
                  <c:v>Gore District</c:v>
                </c:pt>
                <c:pt idx="64">
                  <c:v>Invercargill City</c:v>
                </c:pt>
                <c:pt idx="65">
                  <c:v>Southland District</c:v>
                </c:pt>
                <c:pt idx="66">
                  <c:v>Chatham Islands Territory</c:v>
                </c:pt>
                <c:pt idx="67">
                  <c:v>Northland Regional</c:v>
                </c:pt>
                <c:pt idx="68">
                  <c:v>Waikato Regional</c:v>
                </c:pt>
                <c:pt idx="69">
                  <c:v>Bay of Plenty Regional</c:v>
                </c:pt>
                <c:pt idx="70">
                  <c:v>Hawkes Bay Regional</c:v>
                </c:pt>
                <c:pt idx="71">
                  <c:v>Taranaki Regional</c:v>
                </c:pt>
                <c:pt idx="72">
                  <c:v>Manawatu-Wanganui Regional</c:v>
                </c:pt>
                <c:pt idx="73">
                  <c:v>Wellington Regional</c:v>
                </c:pt>
                <c:pt idx="74">
                  <c:v>West Coast Regional</c:v>
                </c:pt>
                <c:pt idx="75">
                  <c:v>Canterbury Regional</c:v>
                </c:pt>
                <c:pt idx="76">
                  <c:v>Otago Regional</c:v>
                </c:pt>
                <c:pt idx="77">
                  <c:v>Southland Regional</c:v>
                </c:pt>
              </c:strCache>
            </c:strRef>
          </c:cat>
          <c:val>
            <c:numRef>
              <c:f>Analysis2!$E$7:$E$84</c:f>
              <c:numCache>
                <c:formatCode>0.00%</c:formatCode>
                <c:ptCount val="78"/>
                <c:pt idx="0">
                  <c:v>-1.4226763607781598E-2</c:v>
                </c:pt>
                <c:pt idx="1">
                  <c:v>3.1906068534235214E-3</c:v>
                </c:pt>
                <c:pt idx="2">
                  <c:v>-1.7538928551351859E-2</c:v>
                </c:pt>
                <c:pt idx="3">
                  <c:v>4.5588622232069879E-2</c:v>
                </c:pt>
                <c:pt idx="4">
                  <c:v>7.4673793428706184E-2</c:v>
                </c:pt>
                <c:pt idx="5">
                  <c:v>-1.7109970446414685E-2</c:v>
                </c:pt>
                <c:pt idx="6">
                  <c:v>1.4361755548860052E-2</c:v>
                </c:pt>
                <c:pt idx="7">
                  <c:v>0</c:v>
                </c:pt>
                <c:pt idx="8">
                  <c:v>1.4541167223423249E-2</c:v>
                </c:pt>
                <c:pt idx="9">
                  <c:v>4.5185866281360648E-2</c:v>
                </c:pt>
                <c:pt idx="10">
                  <c:v>2.2899649941656844E-2</c:v>
                </c:pt>
                <c:pt idx="11">
                  <c:v>2.079277637410441E-2</c:v>
                </c:pt>
                <c:pt idx="12">
                  <c:v>3.2695002335357312E-2</c:v>
                </c:pt>
                <c:pt idx="13">
                  <c:v>-5.284780578898228E-2</c:v>
                </c:pt>
                <c:pt idx="14">
                  <c:v>3.5353535353535318E-2</c:v>
                </c:pt>
                <c:pt idx="15">
                  <c:v>8.9126559714781495E-4</c:v>
                </c:pt>
                <c:pt idx="16">
                  <c:v>-1.2944339340833959E-3</c:v>
                </c:pt>
                <c:pt idx="17">
                  <c:v>0.10727611940298508</c:v>
                </c:pt>
                <c:pt idx="18">
                  <c:v>3.0491357545154488E-2</c:v>
                </c:pt>
                <c:pt idx="19">
                  <c:v>6.3122923588039108E-3</c:v>
                </c:pt>
                <c:pt idx="20">
                  <c:v>-1.3526365845926192E-2</c:v>
                </c:pt>
                <c:pt idx="21">
                  <c:v>1.9000870873247275E-3</c:v>
                </c:pt>
                <c:pt idx="22">
                  <c:v>1.055668078315844E-2</c:v>
                </c:pt>
                <c:pt idx="23">
                  <c:v>3.3389450056116821E-2</c:v>
                </c:pt>
                <c:pt idx="24">
                  <c:v>0</c:v>
                </c:pt>
                <c:pt idx="25">
                  <c:v>1.0402815799765314E-2</c:v>
                </c:pt>
                <c:pt idx="26">
                  <c:v>5.1711401132725088E-3</c:v>
                </c:pt>
                <c:pt idx="27">
                  <c:v>2.3753763800602283E-2</c:v>
                </c:pt>
                <c:pt idx="28">
                  <c:v>1.2071046732194028E-3</c:v>
                </c:pt>
                <c:pt idx="29">
                  <c:v>9.1952331911137261E-3</c:v>
                </c:pt>
                <c:pt idx="30">
                  <c:v>-5.1497005988023994E-2</c:v>
                </c:pt>
                <c:pt idx="31">
                  <c:v>1.5522875816993464E-2</c:v>
                </c:pt>
                <c:pt idx="32">
                  <c:v>2.3187972174434413E-3</c:v>
                </c:pt>
                <c:pt idx="33">
                  <c:v>-2.561349693251529E-2</c:v>
                </c:pt>
                <c:pt idx="34">
                  <c:v>8.2054941134498492E-3</c:v>
                </c:pt>
                <c:pt idx="35">
                  <c:v>5.6620798556282478E-2</c:v>
                </c:pt>
                <c:pt idx="36">
                  <c:v>4.5088161209067952E-2</c:v>
                </c:pt>
                <c:pt idx="37">
                  <c:v>8.731808731808708E-3</c:v>
                </c:pt>
                <c:pt idx="38">
                  <c:v>4.8543689320389482E-3</c:v>
                </c:pt>
                <c:pt idx="39">
                  <c:v>4.1989400733795396E-2</c:v>
                </c:pt>
                <c:pt idx="40">
                  <c:v>3.5998200089995156E-3</c:v>
                </c:pt>
                <c:pt idx="41">
                  <c:v>3.9446076374318115E-2</c:v>
                </c:pt>
                <c:pt idx="42">
                  <c:v>8.3972781236426146E-3</c:v>
                </c:pt>
                <c:pt idx="43">
                  <c:v>-9.868099658036146E-2</c:v>
                </c:pt>
                <c:pt idx="44">
                  <c:v>1.1425959780621572E-2</c:v>
                </c:pt>
                <c:pt idx="45">
                  <c:v>4.5731707317072948E-2</c:v>
                </c:pt>
                <c:pt idx="46">
                  <c:v>1.0740270239057575E-2</c:v>
                </c:pt>
                <c:pt idx="47">
                  <c:v>-1.7745028008571685E-2</c:v>
                </c:pt>
                <c:pt idx="48">
                  <c:v>3.2627336648945252E-2</c:v>
                </c:pt>
                <c:pt idx="49">
                  <c:v>2.1967460698841721E-3</c:v>
                </c:pt>
                <c:pt idx="50">
                  <c:v>3.7727910238429141E-2</c:v>
                </c:pt>
                <c:pt idx="51">
                  <c:v>4.358295208283184E-2</c:v>
                </c:pt>
                <c:pt idx="52">
                  <c:v>3.6126325603076828E-3</c:v>
                </c:pt>
                <c:pt idx="53">
                  <c:v>2.9923723841189187E-2</c:v>
                </c:pt>
                <c:pt idx="54">
                  <c:v>2.4711696869853094E-3</c:v>
                </c:pt>
                <c:pt idx="55">
                  <c:v>5.8207217694994174E-3</c:v>
                </c:pt>
                <c:pt idx="56">
                  <c:v>4.1037426132632957E-3</c:v>
                </c:pt>
                <c:pt idx="57">
                  <c:v>2.6136026136026169E-2</c:v>
                </c:pt>
                <c:pt idx="58">
                  <c:v>2.3134882733736553E-2</c:v>
                </c:pt>
                <c:pt idx="59">
                  <c:v>-6.8183375591037102E-3</c:v>
                </c:pt>
                <c:pt idx="60">
                  <c:v>-5.0910736508647111E-4</c:v>
                </c:pt>
                <c:pt idx="61">
                  <c:v>6.4662021757731294E-2</c:v>
                </c:pt>
                <c:pt idx="62">
                  <c:v>-5.6375393798706935E-3</c:v>
                </c:pt>
                <c:pt idx="63">
                  <c:v>1.1185682326621925E-2</c:v>
                </c:pt>
                <c:pt idx="64">
                  <c:v>-2.3107836570663207E-2</c:v>
                </c:pt>
                <c:pt idx="65">
                  <c:v>4.4275392944127025E-4</c:v>
                </c:pt>
                <c:pt idx="66">
                  <c:v>-2.2371364653242577E-3</c:v>
                </c:pt>
                <c:pt idx="67">
                  <c:v>-1.0593328240387157E-2</c:v>
                </c:pt>
                <c:pt idx="68">
                  <c:v>1.4274989051323187E-2</c:v>
                </c:pt>
                <c:pt idx="69">
                  <c:v>2.4679811913854467E-2</c:v>
                </c:pt>
                <c:pt idx="70">
                  <c:v>7.5969515724483884E-3</c:v>
                </c:pt>
                <c:pt idx="71">
                  <c:v>1.0255091838774997E-2</c:v>
                </c:pt>
                <c:pt idx="72">
                  <c:v>-4.8213560698335363E-3</c:v>
                </c:pt>
                <c:pt idx="73">
                  <c:v>1.9920821040421616E-2</c:v>
                </c:pt>
                <c:pt idx="74">
                  <c:v>1.2527204204044752E-2</c:v>
                </c:pt>
                <c:pt idx="75">
                  <c:v>1.4040432013292794E-2</c:v>
                </c:pt>
                <c:pt idx="76">
                  <c:v>7.1208036180203261E-3</c:v>
                </c:pt>
                <c:pt idx="77">
                  <c:v>-2.4767418461006088E-4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A-446F-969B-813714F33D4F}"/>
            </c:ext>
          </c:extLst>
        </c:ser>
        <c:ser>
          <c:idx val="1"/>
          <c:order val="1"/>
          <c:tx>
            <c:strRef>
              <c:f>Analysis2!$I$6</c:f>
              <c:strCache>
                <c:ptCount val="1"/>
                <c:pt idx="0">
                  <c:v>Capital Value, 26.93% National Average Change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Analysis2!$B$7:$B$84</c:f>
              <c:strCache>
                <c:ptCount val="78"/>
                <c:pt idx="0">
                  <c:v>Far North District</c:v>
                </c:pt>
                <c:pt idx="1">
                  <c:v>Kaipara District</c:v>
                </c:pt>
                <c:pt idx="2">
                  <c:v>Whangarei District</c:v>
                </c:pt>
                <c:pt idx="3">
                  <c:v>Auckland</c:v>
                </c:pt>
                <c:pt idx="4">
                  <c:v>Hamilton City</c:v>
                </c:pt>
                <c:pt idx="5">
                  <c:v>Hauraki District</c:v>
                </c:pt>
                <c:pt idx="6">
                  <c:v>Matamata-Piako District</c:v>
                </c:pt>
                <c:pt idx="7">
                  <c:v>Otorohanga District</c:v>
                </c:pt>
                <c:pt idx="8">
                  <c:v>South Waikato District</c:v>
                </c:pt>
                <c:pt idx="9">
                  <c:v>Taupo District</c:v>
                </c:pt>
                <c:pt idx="10">
                  <c:v>Thames-Coromandel District</c:v>
                </c:pt>
                <c:pt idx="11">
                  <c:v>Waikato District</c:v>
                </c:pt>
                <c:pt idx="12">
                  <c:v>Waipa District</c:v>
                </c:pt>
                <c:pt idx="13">
                  <c:v>Waitomo District</c:v>
                </c:pt>
                <c:pt idx="14">
                  <c:v>Kawerau District</c:v>
                </c:pt>
                <c:pt idx="15">
                  <c:v>Opotiki District</c:v>
                </c:pt>
                <c:pt idx="16">
                  <c:v>Rotorua District</c:v>
                </c:pt>
                <c:pt idx="17">
                  <c:v>Tauranga City</c:v>
                </c:pt>
                <c:pt idx="18">
                  <c:v>Western Bay of Plenty District</c:v>
                </c:pt>
                <c:pt idx="19">
                  <c:v>Whakatane District</c:v>
                </c:pt>
                <c:pt idx="20">
                  <c:v>Gisborne District</c:v>
                </c:pt>
                <c:pt idx="21">
                  <c:v>Central Hawke's Bay District</c:v>
                </c:pt>
                <c:pt idx="22">
                  <c:v>Hastings District</c:v>
                </c:pt>
                <c:pt idx="23">
                  <c:v>Napier City</c:v>
                </c:pt>
                <c:pt idx="24">
                  <c:v>Wairoa District</c:v>
                </c:pt>
                <c:pt idx="25">
                  <c:v>New Plymouth District</c:v>
                </c:pt>
                <c:pt idx="26">
                  <c:v>South Taranaki District</c:v>
                </c:pt>
                <c:pt idx="27">
                  <c:v>Stratford District</c:v>
                </c:pt>
                <c:pt idx="28">
                  <c:v>Horowhenua District</c:v>
                </c:pt>
                <c:pt idx="29">
                  <c:v>Manawatu District</c:v>
                </c:pt>
                <c:pt idx="30">
                  <c:v>Palmerston North City</c:v>
                </c:pt>
                <c:pt idx="31">
                  <c:v>Rangitikei District</c:v>
                </c:pt>
                <c:pt idx="32">
                  <c:v>Ruapehu District</c:v>
                </c:pt>
                <c:pt idx="33">
                  <c:v>Tararua District</c:v>
                </c:pt>
                <c:pt idx="34">
                  <c:v>Wanganui District</c:v>
                </c:pt>
                <c:pt idx="35">
                  <c:v>Carterton District</c:v>
                </c:pt>
                <c:pt idx="36">
                  <c:v>Kapiti Coast District</c:v>
                </c:pt>
                <c:pt idx="37">
                  <c:v>Lower Hutt City</c:v>
                </c:pt>
                <c:pt idx="38">
                  <c:v>Masterton District</c:v>
                </c:pt>
                <c:pt idx="39">
                  <c:v>Porirua City</c:v>
                </c:pt>
                <c:pt idx="40">
                  <c:v>South Wairarapa District</c:v>
                </c:pt>
                <c:pt idx="41">
                  <c:v>Upper Hutt City</c:v>
                </c:pt>
                <c:pt idx="42">
                  <c:v>Wellington City</c:v>
                </c:pt>
                <c:pt idx="43">
                  <c:v>Kaikoura District</c:v>
                </c:pt>
                <c:pt idx="44">
                  <c:v>Marlborough District</c:v>
                </c:pt>
                <c:pt idx="45">
                  <c:v>Nelson City</c:v>
                </c:pt>
                <c:pt idx="46">
                  <c:v>Tasman District</c:v>
                </c:pt>
                <c:pt idx="47">
                  <c:v>Ashburton District</c:v>
                </c:pt>
                <c:pt idx="48">
                  <c:v>Christchurch City</c:v>
                </c:pt>
                <c:pt idx="49">
                  <c:v>Hurunui District</c:v>
                </c:pt>
                <c:pt idx="50">
                  <c:v>Mackenzie District</c:v>
                </c:pt>
                <c:pt idx="51">
                  <c:v>Selwyn District</c:v>
                </c:pt>
                <c:pt idx="52">
                  <c:v>Timaru District</c:v>
                </c:pt>
                <c:pt idx="53">
                  <c:v>Waimakariri District</c:v>
                </c:pt>
                <c:pt idx="54">
                  <c:v>Waimate District</c:v>
                </c:pt>
                <c:pt idx="55">
                  <c:v>Buller District</c:v>
                </c:pt>
                <c:pt idx="56">
                  <c:v>Grey District</c:v>
                </c:pt>
                <c:pt idx="57">
                  <c:v>Westland District</c:v>
                </c:pt>
                <c:pt idx="58">
                  <c:v>Central Otago District</c:v>
                </c:pt>
                <c:pt idx="59">
                  <c:v>Clutha District</c:v>
                </c:pt>
                <c:pt idx="60">
                  <c:v>Dunedin City</c:v>
                </c:pt>
                <c:pt idx="61">
                  <c:v>Queenstown-Lakes District</c:v>
                </c:pt>
                <c:pt idx="62">
                  <c:v>Waitaki District</c:v>
                </c:pt>
                <c:pt idx="63">
                  <c:v>Gore District</c:v>
                </c:pt>
                <c:pt idx="64">
                  <c:v>Invercargill City</c:v>
                </c:pt>
                <c:pt idx="65">
                  <c:v>Southland District</c:v>
                </c:pt>
                <c:pt idx="66">
                  <c:v>Chatham Islands Territory</c:v>
                </c:pt>
                <c:pt idx="67">
                  <c:v>Northland Regional</c:v>
                </c:pt>
                <c:pt idx="68">
                  <c:v>Waikato Regional</c:v>
                </c:pt>
                <c:pt idx="69">
                  <c:v>Bay of Plenty Regional</c:v>
                </c:pt>
                <c:pt idx="70">
                  <c:v>Hawkes Bay Regional</c:v>
                </c:pt>
                <c:pt idx="71">
                  <c:v>Taranaki Regional</c:v>
                </c:pt>
                <c:pt idx="72">
                  <c:v>Manawatu-Wanganui Regional</c:v>
                </c:pt>
                <c:pt idx="73">
                  <c:v>Wellington Regional</c:v>
                </c:pt>
                <c:pt idx="74">
                  <c:v>West Coast Regional</c:v>
                </c:pt>
                <c:pt idx="75">
                  <c:v>Canterbury Regional</c:v>
                </c:pt>
                <c:pt idx="76">
                  <c:v>Otago Regional</c:v>
                </c:pt>
                <c:pt idx="77">
                  <c:v>Southland Regional</c:v>
                </c:pt>
              </c:strCache>
            </c:strRef>
          </c:cat>
          <c:val>
            <c:numRef>
              <c:f>Analysis2!$I$7:$I$84</c:f>
              <c:numCache>
                <c:formatCode>0.00%</c:formatCode>
                <c:ptCount val="78"/>
                <c:pt idx="0">
                  <c:v>0.31545163943938431</c:v>
                </c:pt>
                <c:pt idx="1">
                  <c:v>0.32298408786810828</c:v>
                </c:pt>
                <c:pt idx="2">
                  <c:v>0.4317410747162686</c:v>
                </c:pt>
                <c:pt idx="3">
                  <c:v>0.16565586174814789</c:v>
                </c:pt>
                <c:pt idx="4">
                  <c:v>0.22880008207844851</c:v>
                </c:pt>
                <c:pt idx="5">
                  <c:v>0.16790427664000773</c:v>
                </c:pt>
                <c:pt idx="6">
                  <c:v>0.19130389761125113</c:v>
                </c:pt>
                <c:pt idx="7">
                  <c:v>0.16807824686024725</c:v>
                </c:pt>
                <c:pt idx="8">
                  <c:v>9.8123944637739907E-2</c:v>
                </c:pt>
                <c:pt idx="9">
                  <c:v>0.26432454317776666</c:v>
                </c:pt>
                <c:pt idx="10">
                  <c:v>0.29243384159640684</c:v>
                </c:pt>
                <c:pt idx="11">
                  <c:v>0.24094969810540565</c:v>
                </c:pt>
                <c:pt idx="12">
                  <c:v>0.32099035312901952</c:v>
                </c:pt>
                <c:pt idx="13">
                  <c:v>0.27033785232845237</c:v>
                </c:pt>
                <c:pt idx="14">
                  <c:v>0.64620869130689262</c:v>
                </c:pt>
                <c:pt idx="15">
                  <c:v>0.39040133341235045</c:v>
                </c:pt>
                <c:pt idx="16">
                  <c:v>0.31926803240985568</c:v>
                </c:pt>
                <c:pt idx="17">
                  <c:v>0.31670875139949395</c:v>
                </c:pt>
                <c:pt idx="18">
                  <c:v>0.3361288865942747</c:v>
                </c:pt>
                <c:pt idx="19">
                  <c:v>0.29306198837048075</c:v>
                </c:pt>
                <c:pt idx="20">
                  <c:v>0.47095973178618461</c:v>
                </c:pt>
                <c:pt idx="21">
                  <c:v>0.48634205242278267</c:v>
                </c:pt>
                <c:pt idx="22">
                  <c:v>0.46159662391947892</c:v>
                </c:pt>
                <c:pt idx="23">
                  <c:v>0.46698389190553913</c:v>
                </c:pt>
                <c:pt idx="24">
                  <c:v>0.39195604988792526</c:v>
                </c:pt>
                <c:pt idx="25">
                  <c:v>0.18555782076219687</c:v>
                </c:pt>
                <c:pt idx="26">
                  <c:v>2.4933117130680558E-2</c:v>
                </c:pt>
                <c:pt idx="27">
                  <c:v>0.20904480800987146</c:v>
                </c:pt>
                <c:pt idx="28">
                  <c:v>0.43279888461397259</c:v>
                </c:pt>
                <c:pt idx="29">
                  <c:v>0.36240622063314049</c:v>
                </c:pt>
                <c:pt idx="30">
                  <c:v>0.38566455763001239</c:v>
                </c:pt>
                <c:pt idx="31">
                  <c:v>0.44761763424434381</c:v>
                </c:pt>
                <c:pt idx="32">
                  <c:v>0.32159638547328662</c:v>
                </c:pt>
                <c:pt idx="33">
                  <c:v>0.31792591441879531</c:v>
                </c:pt>
                <c:pt idx="34">
                  <c:v>0.45932072601970003</c:v>
                </c:pt>
                <c:pt idx="35">
                  <c:v>0.40085855445511981</c:v>
                </c:pt>
                <c:pt idx="36">
                  <c:v>0.34583818075555317</c:v>
                </c:pt>
                <c:pt idx="37">
                  <c:v>0</c:v>
                </c:pt>
                <c:pt idx="38">
                  <c:v>0.41185495525516924</c:v>
                </c:pt>
                <c:pt idx="39">
                  <c:v>0.43227698174991042</c:v>
                </c:pt>
                <c:pt idx="40">
                  <c:v>0.43330167863928898</c:v>
                </c:pt>
                <c:pt idx="41">
                  <c:v>0.44772526864498446</c:v>
                </c:pt>
                <c:pt idx="42">
                  <c:v>0.28352240123896749</c:v>
                </c:pt>
                <c:pt idx="43">
                  <c:v>0.10577951472184695</c:v>
                </c:pt>
                <c:pt idx="44">
                  <c:v>0.25390540028995118</c:v>
                </c:pt>
                <c:pt idx="45">
                  <c:v>0.35635448689418092</c:v>
                </c:pt>
                <c:pt idx="46">
                  <c:v>0.34470942390462467</c:v>
                </c:pt>
                <c:pt idx="47">
                  <c:v>7.9971405324312239E-2</c:v>
                </c:pt>
                <c:pt idx="48">
                  <c:v>0.10469489683207098</c:v>
                </c:pt>
                <c:pt idx="49">
                  <c:v>9.2781438569350158E-2</c:v>
                </c:pt>
                <c:pt idx="50">
                  <c:v>0.28281068326467329</c:v>
                </c:pt>
                <c:pt idx="51">
                  <c:v>0.16259777046149179</c:v>
                </c:pt>
                <c:pt idx="52">
                  <c:v>0.10590748822770986</c:v>
                </c:pt>
                <c:pt idx="53">
                  <c:v>6.6828763844537564E-2</c:v>
                </c:pt>
                <c:pt idx="54">
                  <c:v>3.7434653207434186E-2</c:v>
                </c:pt>
                <c:pt idx="55">
                  <c:v>1.6471380092077603E-2</c:v>
                </c:pt>
                <c:pt idx="56">
                  <c:v>2.9578888649644256E-2</c:v>
                </c:pt>
                <c:pt idx="57">
                  <c:v>3.8579004760226694E-2</c:v>
                </c:pt>
                <c:pt idx="58">
                  <c:v>0.34953812326329808</c:v>
                </c:pt>
                <c:pt idx="59">
                  <c:v>9.1747533368062253E-2</c:v>
                </c:pt>
                <c:pt idx="60">
                  <c:v>0.36376070823389722</c:v>
                </c:pt>
                <c:pt idx="61">
                  <c:v>0.38985355160175805</c:v>
                </c:pt>
                <c:pt idx="62">
                  <c:v>0.16860024454578304</c:v>
                </c:pt>
                <c:pt idx="63">
                  <c:v>0.10120730562208023</c:v>
                </c:pt>
                <c:pt idx="64">
                  <c:v>0.37750485816095852</c:v>
                </c:pt>
                <c:pt idx="65">
                  <c:v>0.13825478481646414</c:v>
                </c:pt>
                <c:pt idx="66">
                  <c:v>0.12818648202917871</c:v>
                </c:pt>
                <c:pt idx="67">
                  <c:v>0.37448539369256151</c:v>
                </c:pt>
                <c:pt idx="68">
                  <c:v>0.23978085027233598</c:v>
                </c:pt>
                <c:pt idx="69">
                  <c:v>0.3235118667803672</c:v>
                </c:pt>
                <c:pt idx="70">
                  <c:v>0.46272011026987214</c:v>
                </c:pt>
                <c:pt idx="71">
                  <c:v>0.13573124448265325</c:v>
                </c:pt>
                <c:pt idx="72">
                  <c:v>0.39001667459806616</c:v>
                </c:pt>
                <c:pt idx="73">
                  <c:v>0.27615558255959011</c:v>
                </c:pt>
                <c:pt idx="74">
                  <c:v>2.8461038489918287E-2</c:v>
                </c:pt>
                <c:pt idx="75">
                  <c:v>0.10705141159617551</c:v>
                </c:pt>
                <c:pt idx="76">
                  <c:v>0.32353903198093137</c:v>
                </c:pt>
                <c:pt idx="77">
                  <c:v>0.1934168761256414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6A-446F-969B-813714F33D4F}"/>
            </c:ext>
          </c:extLst>
        </c:ser>
        <c:ser>
          <c:idx val="2"/>
          <c:order val="2"/>
          <c:tx>
            <c:strRef>
              <c:f>Analysis2!$M$6</c:f>
              <c:strCache>
                <c:ptCount val="1"/>
                <c:pt idx="0">
                  <c:v>Rateable Units, 2.07% National Average Change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Analysis2!$B$7:$B$84</c:f>
              <c:strCache>
                <c:ptCount val="78"/>
                <c:pt idx="0">
                  <c:v>Far North District</c:v>
                </c:pt>
                <c:pt idx="1">
                  <c:v>Kaipara District</c:v>
                </c:pt>
                <c:pt idx="2">
                  <c:v>Whangarei District</c:v>
                </c:pt>
                <c:pt idx="3">
                  <c:v>Auckland</c:v>
                </c:pt>
                <c:pt idx="4">
                  <c:v>Hamilton City</c:v>
                </c:pt>
                <c:pt idx="5">
                  <c:v>Hauraki District</c:v>
                </c:pt>
                <c:pt idx="6">
                  <c:v>Matamata-Piako District</c:v>
                </c:pt>
                <c:pt idx="7">
                  <c:v>Otorohanga District</c:v>
                </c:pt>
                <c:pt idx="8">
                  <c:v>South Waikato District</c:v>
                </c:pt>
                <c:pt idx="9">
                  <c:v>Taupo District</c:v>
                </c:pt>
                <c:pt idx="10">
                  <c:v>Thames-Coromandel District</c:v>
                </c:pt>
                <c:pt idx="11">
                  <c:v>Waikato District</c:v>
                </c:pt>
                <c:pt idx="12">
                  <c:v>Waipa District</c:v>
                </c:pt>
                <c:pt idx="13">
                  <c:v>Waitomo District</c:v>
                </c:pt>
                <c:pt idx="14">
                  <c:v>Kawerau District</c:v>
                </c:pt>
                <c:pt idx="15">
                  <c:v>Opotiki District</c:v>
                </c:pt>
                <c:pt idx="16">
                  <c:v>Rotorua District</c:v>
                </c:pt>
                <c:pt idx="17">
                  <c:v>Tauranga City</c:v>
                </c:pt>
                <c:pt idx="18">
                  <c:v>Western Bay of Plenty District</c:v>
                </c:pt>
                <c:pt idx="19">
                  <c:v>Whakatane District</c:v>
                </c:pt>
                <c:pt idx="20">
                  <c:v>Gisborne District</c:v>
                </c:pt>
                <c:pt idx="21">
                  <c:v>Central Hawke's Bay District</c:v>
                </c:pt>
                <c:pt idx="22">
                  <c:v>Hastings District</c:v>
                </c:pt>
                <c:pt idx="23">
                  <c:v>Napier City</c:v>
                </c:pt>
                <c:pt idx="24">
                  <c:v>Wairoa District</c:v>
                </c:pt>
                <c:pt idx="25">
                  <c:v>New Plymouth District</c:v>
                </c:pt>
                <c:pt idx="26">
                  <c:v>South Taranaki District</c:v>
                </c:pt>
                <c:pt idx="27">
                  <c:v>Stratford District</c:v>
                </c:pt>
                <c:pt idx="28">
                  <c:v>Horowhenua District</c:v>
                </c:pt>
                <c:pt idx="29">
                  <c:v>Manawatu District</c:v>
                </c:pt>
                <c:pt idx="30">
                  <c:v>Palmerston North City</c:v>
                </c:pt>
                <c:pt idx="31">
                  <c:v>Rangitikei District</c:v>
                </c:pt>
                <c:pt idx="32">
                  <c:v>Ruapehu District</c:v>
                </c:pt>
                <c:pt idx="33">
                  <c:v>Tararua District</c:v>
                </c:pt>
                <c:pt idx="34">
                  <c:v>Wanganui District</c:v>
                </c:pt>
                <c:pt idx="35">
                  <c:v>Carterton District</c:v>
                </c:pt>
                <c:pt idx="36">
                  <c:v>Kapiti Coast District</c:v>
                </c:pt>
                <c:pt idx="37">
                  <c:v>Lower Hutt City</c:v>
                </c:pt>
                <c:pt idx="38">
                  <c:v>Masterton District</c:v>
                </c:pt>
                <c:pt idx="39">
                  <c:v>Porirua City</c:v>
                </c:pt>
                <c:pt idx="40">
                  <c:v>South Wairarapa District</c:v>
                </c:pt>
                <c:pt idx="41">
                  <c:v>Upper Hutt City</c:v>
                </c:pt>
                <c:pt idx="42">
                  <c:v>Wellington City</c:v>
                </c:pt>
                <c:pt idx="43">
                  <c:v>Kaikoura District</c:v>
                </c:pt>
                <c:pt idx="44">
                  <c:v>Marlborough District</c:v>
                </c:pt>
                <c:pt idx="45">
                  <c:v>Nelson City</c:v>
                </c:pt>
                <c:pt idx="46">
                  <c:v>Tasman District</c:v>
                </c:pt>
                <c:pt idx="47">
                  <c:v>Ashburton District</c:v>
                </c:pt>
                <c:pt idx="48">
                  <c:v>Christchurch City</c:v>
                </c:pt>
                <c:pt idx="49">
                  <c:v>Hurunui District</c:v>
                </c:pt>
                <c:pt idx="50">
                  <c:v>Mackenzie District</c:v>
                </c:pt>
                <c:pt idx="51">
                  <c:v>Selwyn District</c:v>
                </c:pt>
                <c:pt idx="52">
                  <c:v>Timaru District</c:v>
                </c:pt>
                <c:pt idx="53">
                  <c:v>Waimakariri District</c:v>
                </c:pt>
                <c:pt idx="54">
                  <c:v>Waimate District</c:v>
                </c:pt>
                <c:pt idx="55">
                  <c:v>Buller District</c:v>
                </c:pt>
                <c:pt idx="56">
                  <c:v>Grey District</c:v>
                </c:pt>
                <c:pt idx="57">
                  <c:v>Westland District</c:v>
                </c:pt>
                <c:pt idx="58">
                  <c:v>Central Otago District</c:v>
                </c:pt>
                <c:pt idx="59">
                  <c:v>Clutha District</c:v>
                </c:pt>
                <c:pt idx="60">
                  <c:v>Dunedin City</c:v>
                </c:pt>
                <c:pt idx="61">
                  <c:v>Queenstown-Lakes District</c:v>
                </c:pt>
                <c:pt idx="62">
                  <c:v>Waitaki District</c:v>
                </c:pt>
                <c:pt idx="63">
                  <c:v>Gore District</c:v>
                </c:pt>
                <c:pt idx="64">
                  <c:v>Invercargill City</c:v>
                </c:pt>
                <c:pt idx="65">
                  <c:v>Southland District</c:v>
                </c:pt>
                <c:pt idx="66">
                  <c:v>Chatham Islands Territory</c:v>
                </c:pt>
                <c:pt idx="67">
                  <c:v>Northland Regional</c:v>
                </c:pt>
                <c:pt idx="68">
                  <c:v>Waikato Regional</c:v>
                </c:pt>
                <c:pt idx="69">
                  <c:v>Bay of Plenty Regional</c:v>
                </c:pt>
                <c:pt idx="70">
                  <c:v>Hawkes Bay Regional</c:v>
                </c:pt>
                <c:pt idx="71">
                  <c:v>Taranaki Regional</c:v>
                </c:pt>
                <c:pt idx="72">
                  <c:v>Manawatu-Wanganui Regional</c:v>
                </c:pt>
                <c:pt idx="73">
                  <c:v>Wellington Regional</c:v>
                </c:pt>
                <c:pt idx="74">
                  <c:v>West Coast Regional</c:v>
                </c:pt>
                <c:pt idx="75">
                  <c:v>Canterbury Regional</c:v>
                </c:pt>
                <c:pt idx="76">
                  <c:v>Otago Regional</c:v>
                </c:pt>
                <c:pt idx="77">
                  <c:v>Southland Regional</c:v>
                </c:pt>
              </c:strCache>
            </c:strRef>
          </c:cat>
          <c:val>
            <c:numRef>
              <c:f>Analysis2!$M$7:$M$84</c:f>
              <c:numCache>
                <c:formatCode>0.00%</c:formatCode>
                <c:ptCount val="78"/>
                <c:pt idx="0">
                  <c:v>1.8281586058567254E-2</c:v>
                </c:pt>
                <c:pt idx="1">
                  <c:v>1.3506961280044331E-2</c:v>
                </c:pt>
                <c:pt idx="2">
                  <c:v>9.7829544620353828E-2</c:v>
                </c:pt>
                <c:pt idx="3">
                  <c:v>5.2941264234480548E-2</c:v>
                </c:pt>
                <c:pt idx="4">
                  <c:v>4.8684439797874193E-2</c:v>
                </c:pt>
                <c:pt idx="5">
                  <c:v>2.483611854861047E-2</c:v>
                </c:pt>
                <c:pt idx="6">
                  <c:v>1.7598775737340012E-2</c:v>
                </c:pt>
                <c:pt idx="7">
                  <c:v>-2.2249190938511327E-3</c:v>
                </c:pt>
                <c:pt idx="8">
                  <c:v>9.0909090909090905E-3</c:v>
                </c:pt>
                <c:pt idx="9">
                  <c:v>3.4900890420153027E-2</c:v>
                </c:pt>
                <c:pt idx="10">
                  <c:v>2.2158527174512183E-2</c:v>
                </c:pt>
                <c:pt idx="11">
                  <c:v>6.9727891156462579E-2</c:v>
                </c:pt>
                <c:pt idx="12">
                  <c:v>6.2332695984703632E-2</c:v>
                </c:pt>
                <c:pt idx="13">
                  <c:v>8.9718284586398709E-4</c:v>
                </c:pt>
                <c:pt idx="14">
                  <c:v>1.0344827586206897E-3</c:v>
                </c:pt>
                <c:pt idx="15">
                  <c:v>3.952569169960474E-3</c:v>
                </c:pt>
                <c:pt idx="16">
                  <c:v>-5.2976534112133666E-3</c:v>
                </c:pt>
                <c:pt idx="17">
                  <c:v>7.8058723076075573E-2</c:v>
                </c:pt>
                <c:pt idx="18">
                  <c:v>6.4860888754272858E-2</c:v>
                </c:pt>
                <c:pt idx="19">
                  <c:v>7.320644216691069E-3</c:v>
                </c:pt>
                <c:pt idx="20">
                  <c:v>-2.0833333333333332E-2</c:v>
                </c:pt>
                <c:pt idx="21">
                  <c:v>2.1605360317243267E-2</c:v>
                </c:pt>
                <c:pt idx="22">
                  <c:v>1.9390942217595002E-2</c:v>
                </c:pt>
                <c:pt idx="23">
                  <c:v>1.6024751100710007E-2</c:v>
                </c:pt>
                <c:pt idx="24">
                  <c:v>4.6806583119432281E-3</c:v>
                </c:pt>
                <c:pt idx="25">
                  <c:v>3.2273852709161055E-2</c:v>
                </c:pt>
                <c:pt idx="26">
                  <c:v>1.6961130742049471E-3</c:v>
                </c:pt>
                <c:pt idx="27">
                  <c:v>-4.5463689398511364E-2</c:v>
                </c:pt>
                <c:pt idx="28">
                  <c:v>1.3327232168392152E-2</c:v>
                </c:pt>
                <c:pt idx="29">
                  <c:v>2.6859504132231406E-2</c:v>
                </c:pt>
                <c:pt idx="30">
                  <c:v>2.1234921029722673E-2</c:v>
                </c:pt>
                <c:pt idx="31">
                  <c:v>-9.1959736547781775E-3</c:v>
                </c:pt>
                <c:pt idx="32">
                  <c:v>-4.4538470103551945E-3</c:v>
                </c:pt>
                <c:pt idx="33">
                  <c:v>-7.5803402646502829E-2</c:v>
                </c:pt>
                <c:pt idx="34">
                  <c:v>1.1536243030186502E-2</c:v>
                </c:pt>
                <c:pt idx="35">
                  <c:v>5.4660278745644601E-2</c:v>
                </c:pt>
                <c:pt idx="36">
                  <c:v>1.9290906875685333E-2</c:v>
                </c:pt>
                <c:pt idx="37">
                  <c:v>0</c:v>
                </c:pt>
                <c:pt idx="38">
                  <c:v>3.0800653594771243E-2</c:v>
                </c:pt>
                <c:pt idx="39">
                  <c:v>2.8019689511548655E-2</c:v>
                </c:pt>
                <c:pt idx="40">
                  <c:v>3.5407725321888413E-2</c:v>
                </c:pt>
                <c:pt idx="41">
                  <c:v>3.0808111198026355E-2</c:v>
                </c:pt>
                <c:pt idx="42">
                  <c:v>1.8433239334592399E-2</c:v>
                </c:pt>
                <c:pt idx="43">
                  <c:v>1.3945578231292517E-2</c:v>
                </c:pt>
                <c:pt idx="44">
                  <c:v>8.263203990708656E-3</c:v>
                </c:pt>
                <c:pt idx="45">
                  <c:v>2.0351268469473098E-2</c:v>
                </c:pt>
                <c:pt idx="46">
                  <c:v>3.8879310344827583E-2</c:v>
                </c:pt>
                <c:pt idx="47">
                  <c:v>1.2049779416606309E-2</c:v>
                </c:pt>
                <c:pt idx="48">
                  <c:v>2.2404867752320083E-2</c:v>
                </c:pt>
                <c:pt idx="49">
                  <c:v>1.7623938126030175E-2</c:v>
                </c:pt>
                <c:pt idx="50">
                  <c:v>6.2415196743554953E-2</c:v>
                </c:pt>
                <c:pt idx="51">
                  <c:v>0.12725054686185427</c:v>
                </c:pt>
                <c:pt idx="52">
                  <c:v>3.9178169559473371E-3</c:v>
                </c:pt>
                <c:pt idx="53">
                  <c:v>4.3523607044004972E-2</c:v>
                </c:pt>
                <c:pt idx="54">
                  <c:v>3.5120580660266917E-3</c:v>
                </c:pt>
                <c:pt idx="55">
                  <c:v>1.0921501706484642E-3</c:v>
                </c:pt>
                <c:pt idx="56">
                  <c:v>4.4737461737697198E-3</c:v>
                </c:pt>
                <c:pt idx="57">
                  <c:v>-9.1491308325709062E-4</c:v>
                </c:pt>
                <c:pt idx="58">
                  <c:v>4.1274384273555773E-2</c:v>
                </c:pt>
                <c:pt idx="59">
                  <c:v>-6.3530593454423703E-2</c:v>
                </c:pt>
                <c:pt idx="60">
                  <c:v>1.2376651613982272E-2</c:v>
                </c:pt>
                <c:pt idx="61">
                  <c:v>0.11408396784210302</c:v>
                </c:pt>
                <c:pt idx="62">
                  <c:v>-2.1781746896101068E-4</c:v>
                </c:pt>
                <c:pt idx="63">
                  <c:v>4.1039671682626538E-3</c:v>
                </c:pt>
                <c:pt idx="64">
                  <c:v>5.0029779630732579E-3</c:v>
                </c:pt>
                <c:pt idx="65">
                  <c:v>3.718064481861157E-3</c:v>
                </c:pt>
                <c:pt idx="66">
                  <c:v>8.9766606822262122E-3</c:v>
                </c:pt>
                <c:pt idx="67">
                  <c:v>5.3030468494048272E-2</c:v>
                </c:pt>
                <c:pt idx="68">
                  <c:v>4.0258201016739964E-2</c:v>
                </c:pt>
                <c:pt idx="69">
                  <c:v>4.3706933349594489E-2</c:v>
                </c:pt>
                <c:pt idx="70">
                  <c:v>1.7014152225863229E-2</c:v>
                </c:pt>
                <c:pt idx="71">
                  <c:v>1.7064339429950795E-2</c:v>
                </c:pt>
                <c:pt idx="72">
                  <c:v>5.4116529732732436E-3</c:v>
                </c:pt>
                <c:pt idx="73">
                  <c:v>1.893922353682127E-2</c:v>
                </c:pt>
                <c:pt idx="74">
                  <c:v>1.7875497162264825E-3</c:v>
                </c:pt>
                <c:pt idx="75">
                  <c:v>3.1458549269907078E-2</c:v>
                </c:pt>
                <c:pt idx="76">
                  <c:v>2.6943610994093727E-2</c:v>
                </c:pt>
                <c:pt idx="77">
                  <c:v>4.4078986380976853E-3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6A-446F-969B-813714F3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8213376"/>
        <c:axId val="88214912"/>
      </c:barChart>
      <c:catAx>
        <c:axId val="88213376"/>
        <c:scaling>
          <c:orientation val="maxMin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214912"/>
        <c:crossesAt val="0"/>
        <c:auto val="1"/>
        <c:lblAlgn val="ctr"/>
        <c:lblOffset val="100"/>
        <c:tickLblSkip val="1"/>
        <c:noMultiLvlLbl val="0"/>
      </c:catAx>
      <c:valAx>
        <c:axId val="8821491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high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13376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</xdr:colOff>
      <xdr:row>2</xdr:row>
      <xdr:rowOff>102869</xdr:rowOff>
    </xdr:from>
    <xdr:to>
      <xdr:col>8</xdr:col>
      <xdr:colOff>419100</xdr:colOff>
      <xdr:row>44</xdr:row>
      <xdr:rowOff>9524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A5C9FCF-38FA-4CD3-B0DC-837B7C9207F7}"/>
            </a:ext>
          </a:extLst>
        </xdr:cNvPr>
        <xdr:cNvSpPr txBox="1"/>
      </xdr:nvSpPr>
      <xdr:spPr>
        <a:xfrm>
          <a:off x="805815" y="483869"/>
          <a:ext cx="5633085" cy="79076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NZ" sz="1100"/>
        </a:p>
        <a:p>
          <a:endParaRPr lang="en-NZ" sz="1100"/>
        </a:p>
        <a:p>
          <a:r>
            <a:rPr lang="en-NZ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2021-24</a:t>
          </a:r>
          <a:endParaRPr lang="en-NZ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NZ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NZ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September – November 2020, Waka Kotahi undertook a review of the models used to determine Funding Assistance Rates going back to 2015.</a:t>
          </a:r>
        </a:p>
        <a:p>
          <a:r>
            <a:rPr lang="en-NZ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NZ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review identified that some of the data sets used in the 2018-21 FAR model were not the most current available at the time of setting 2018-21 FARs. This resulted in errors in the FAR model for the 2018-21 NLTP period.</a:t>
          </a:r>
        </a:p>
        <a:p>
          <a:r>
            <a:rPr lang="en-NZ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NZ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 November 2020, the Waka Kotahi Board agreed to correct FARs for those Approved Organisations (AOs) that were disadvantaged (i.e. they would have received a higher FAR, and therefore a greater contribution from the NLTF, if not for the model errors). </a:t>
          </a:r>
        </a:p>
        <a:p>
          <a:r>
            <a:rPr lang="en-NZ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NZ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While the review determined the methodology had been applied correctly in the 2021-24 FAR model to determine normal FARs, the corrections to 2018-21 FARs had flow on effects for the rate that some AOs start at in 2021-24, and therefore how they transition to their normal FAR at the end of the 2021-24 NLTP.</a:t>
          </a:r>
        </a:p>
        <a:p>
          <a:r>
            <a:rPr lang="en-NZ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NZ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final applied FARs for the 2021-24 NLTP can be viewed at the link below, and include the transition pathway adjustments mentioned above.</a:t>
          </a:r>
        </a:p>
        <a:p>
          <a:r>
            <a:rPr lang="en-NZ" sz="12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https://www.nzta.govt.nz/planning-and-investment/planning-and-investment-knowledge-base/202124-nltp/2021-24-nltp-funding-assistance-rates/</a:t>
          </a:r>
          <a:r>
            <a:rPr lang="en-NZ" sz="12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NZ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NZ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en-NZ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24320</xdr:colOff>
      <xdr:row>93</xdr:row>
      <xdr:rowOff>129702</xdr:rowOff>
    </xdr:from>
    <xdr:to>
      <xdr:col>10</xdr:col>
      <xdr:colOff>340469</xdr:colOff>
      <xdr:row>120</xdr:row>
      <xdr:rowOff>53866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5781A5-F74B-45A7-881C-44778EBA0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511" y="14940064"/>
          <a:ext cx="5869022" cy="4516673"/>
        </a:xfrm>
        <a:prstGeom prst="rect">
          <a:avLst/>
        </a:prstGeom>
      </xdr:spPr>
    </xdr:pic>
    <xdr:clientData/>
  </xdr:twoCellAnchor>
  <xdr:twoCellAnchor editAs="oneCell">
    <xdr:from>
      <xdr:col>2</xdr:col>
      <xdr:colOff>32427</xdr:colOff>
      <xdr:row>76</xdr:row>
      <xdr:rowOff>40533</xdr:rowOff>
    </xdr:from>
    <xdr:to>
      <xdr:col>10</xdr:col>
      <xdr:colOff>494489</xdr:colOff>
      <xdr:row>91</xdr:row>
      <xdr:rowOff>58495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63F236-7A28-4597-A935-67D1CD45D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618" y="11956916"/>
          <a:ext cx="6014935" cy="2575283"/>
        </a:xfrm>
        <a:prstGeom prst="rect">
          <a:avLst/>
        </a:prstGeom>
      </xdr:spPr>
    </xdr:pic>
    <xdr:clientData/>
  </xdr:twoCellAnchor>
  <xdr:twoCellAnchor editAs="oneCell">
    <xdr:from>
      <xdr:col>2</xdr:col>
      <xdr:colOff>243193</xdr:colOff>
      <xdr:row>122</xdr:row>
      <xdr:rowOff>121596</xdr:rowOff>
    </xdr:from>
    <xdr:to>
      <xdr:col>10</xdr:col>
      <xdr:colOff>175018</xdr:colOff>
      <xdr:row>142</xdr:row>
      <xdr:rowOff>92955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6A48F1B-D477-477B-A49B-A6F1139F1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7384" y="19868745"/>
          <a:ext cx="5496128" cy="3372230"/>
        </a:xfrm>
        <a:prstGeom prst="rect">
          <a:avLst/>
        </a:prstGeom>
      </xdr:spPr>
    </xdr:pic>
    <xdr:clientData/>
  </xdr:twoCellAnchor>
  <xdr:twoCellAnchor editAs="oneCell">
    <xdr:from>
      <xdr:col>2</xdr:col>
      <xdr:colOff>194553</xdr:colOff>
      <xdr:row>27</xdr:row>
      <xdr:rowOff>40531</xdr:rowOff>
    </xdr:from>
    <xdr:to>
      <xdr:col>10</xdr:col>
      <xdr:colOff>92978</xdr:colOff>
      <xdr:row>74</xdr:row>
      <xdr:rowOff>134205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EBA41D6-EC1B-4ABF-B709-1F4E1DD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8744" y="4466616"/>
          <a:ext cx="5447488" cy="8081339"/>
        </a:xfrm>
        <a:prstGeom prst="rect">
          <a:avLst/>
        </a:prstGeom>
      </xdr:spPr>
    </xdr:pic>
    <xdr:clientData/>
  </xdr:twoCellAnchor>
  <xdr:twoCellAnchor editAs="oneCell">
    <xdr:from>
      <xdr:col>2</xdr:col>
      <xdr:colOff>121596</xdr:colOff>
      <xdr:row>145</xdr:row>
      <xdr:rowOff>8106</xdr:rowOff>
    </xdr:from>
    <xdr:to>
      <xdr:col>10</xdr:col>
      <xdr:colOff>133512</xdr:colOff>
      <xdr:row>149</xdr:row>
      <xdr:rowOff>152292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3B7AA69-806B-461B-9B39-91506BD9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5787" y="24521808"/>
          <a:ext cx="5560979" cy="8251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464206</xdr:colOff>
      <xdr:row>157</xdr:row>
      <xdr:rowOff>113862</xdr:rowOff>
    </xdr:from>
    <xdr:to>
      <xdr:col>45</xdr:col>
      <xdr:colOff>350344</xdr:colOff>
      <xdr:row>160</xdr:row>
      <xdr:rowOff>122216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7B2F222-2153-41CD-A56D-9E83BB7E0E37}"/>
            </a:ext>
          </a:extLst>
        </xdr:cNvPr>
        <xdr:cNvSpPr txBox="1"/>
      </xdr:nvSpPr>
      <xdr:spPr>
        <a:xfrm>
          <a:off x="42855930" y="26634965"/>
          <a:ext cx="3450897" cy="5075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800"/>
            <a:t>Note:  These AOs (Christchurch, Wellington, Canterbury and Auckland) are not graphed as their</a:t>
          </a:r>
          <a:r>
            <a:rPr lang="en-NZ" sz="800" baseline="0"/>
            <a:t> magnitude </a:t>
          </a:r>
          <a:r>
            <a:rPr lang="en-NZ" sz="800"/>
            <a:t>distort the overall graph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99060</xdr:colOff>
      <xdr:row>3</xdr:row>
      <xdr:rowOff>31944</xdr:rowOff>
    </xdr:from>
    <xdr:to>
      <xdr:col>10</xdr:col>
      <xdr:colOff>209550</xdr:colOff>
      <xdr:row>91</xdr:row>
      <xdr:rowOff>43963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338138</xdr:colOff>
      <xdr:row>1</xdr:row>
      <xdr:rowOff>122904</xdr:rowOff>
    </xdr:from>
    <xdr:to>
      <xdr:col>13</xdr:col>
      <xdr:colOff>90488</xdr:colOff>
      <xdr:row>90</xdr:row>
      <xdr:rowOff>129541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600076</xdr:colOff>
      <xdr:row>1</xdr:row>
      <xdr:rowOff>160394</xdr:rowOff>
    </xdr:from>
    <xdr:to>
      <xdr:col>15</xdr:col>
      <xdr:colOff>693420</xdr:colOff>
      <xdr:row>90</xdr:row>
      <xdr:rowOff>145449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226002</xdr:colOff>
      <xdr:row>80</xdr:row>
      <xdr:rowOff>92307</xdr:rowOff>
    </xdr:from>
    <xdr:to>
      <xdr:col>15</xdr:col>
      <xdr:colOff>272502</xdr:colOff>
      <xdr:row>83</xdr:row>
      <xdr:rowOff>106335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02217B-2918-4D34-9EAC-771D425F7D46}"/>
            </a:ext>
          </a:extLst>
        </xdr:cNvPr>
        <xdr:cNvSpPr txBox="1"/>
      </xdr:nvSpPr>
      <xdr:spPr>
        <a:xfrm>
          <a:off x="12013190" y="14152506"/>
          <a:ext cx="1583488" cy="53357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NZ" sz="800"/>
            <a:t>Note:  These AOs are not graphed as their</a:t>
          </a:r>
          <a:r>
            <a:rPr lang="en-NZ" sz="800" baseline="0"/>
            <a:t> magnitude </a:t>
          </a:r>
          <a:r>
            <a:rPr lang="en-NZ" sz="800"/>
            <a:t>distort the overall graph 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0.08405</cdr:x>
      <cdr:y>0.01574</cdr:y>
    </cdr:from>
    <cdr:to>
      <cdr:x>0.11448</cdr:x>
      <cdr:y>0.02263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84135" y="157891"/>
          <a:ext cx="66665" cy="6910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NZ" sz="1100"/>
        </a:p>
      </cdr:txBody>
    </cdr:sp>
  </cdr:relSizeAnchor>
  <cdr:relSizeAnchor xmlns:cdr="http://schemas.openxmlformats.org/drawingml/2006/chartDrawing">
    <cdr:from>
      <cdr:x>0.11014</cdr:x>
      <cdr:y>0.01068</cdr:y>
    </cdr:from>
    <cdr:to>
      <cdr:x>0.46461</cdr:x>
      <cdr:y>0.03204</cdr:y>
    </cdr:to>
    <cdr:sp macro="" textlink="">
      <cdr:nvSpPr>
        <cdr:cNvPr id="3" name="TextBox 7"/>
        <cdr:cNvSpPr txBox="1"/>
      </cdr:nvSpPr>
      <cdr:spPr>
        <a:xfrm xmlns:a="http://schemas.openxmlformats.org/drawingml/2006/main">
          <a:off x="264579" y="160736"/>
          <a:ext cx="851509" cy="3214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>
              <a:latin typeface="Calibri" panose="020F0502020204030204" pitchFamily="34" charset="0"/>
              <a:cs typeface="Calibri" panose="020F0502020204030204" pitchFamily="34" charset="0"/>
            </a:rPr>
            <a:t>Local Share</a:t>
          </a:r>
        </a:p>
      </cdr:txBody>
    </cdr:sp>
  </cdr:relSizeAnchor>
  <cdr:relSizeAnchor xmlns:cdr="http://schemas.openxmlformats.org/drawingml/2006/chartDrawing">
    <cdr:from>
      <cdr:x>0.47536</cdr:x>
      <cdr:y>0.01574</cdr:y>
    </cdr:from>
    <cdr:to>
      <cdr:x>0.50579</cdr:x>
      <cdr:y>0.02263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041401" y="157891"/>
          <a:ext cx="66665" cy="69105"/>
        </a:xfrm>
        <a:prstGeom xmlns:a="http://schemas.openxmlformats.org/drawingml/2006/main" prst="rect">
          <a:avLst/>
        </a:prstGeom>
        <a:solidFill xmlns:a="http://schemas.openxmlformats.org/drawingml/2006/main">
          <a:srgbClr val="00B05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NZ" sz="1100"/>
        </a:p>
      </cdr:txBody>
    </cdr:sp>
  </cdr:relSizeAnchor>
  <cdr:relSizeAnchor xmlns:cdr="http://schemas.openxmlformats.org/drawingml/2006/chartDrawing">
    <cdr:from>
      <cdr:x>0.50797</cdr:x>
      <cdr:y>0.01017</cdr:y>
    </cdr:from>
    <cdr:to>
      <cdr:x>0.8087</cdr:x>
      <cdr:y>0.03204</cdr:y>
    </cdr:to>
    <cdr:sp macro="" textlink="">
      <cdr:nvSpPr>
        <cdr:cNvPr id="5" name="TextBox 7"/>
        <cdr:cNvSpPr txBox="1"/>
      </cdr:nvSpPr>
      <cdr:spPr>
        <a:xfrm xmlns:a="http://schemas.openxmlformats.org/drawingml/2006/main">
          <a:off x="1220248" y="153116"/>
          <a:ext cx="722414" cy="3291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>
              <a:latin typeface="Calibri" panose="020F0502020204030204" pitchFamily="34" charset="0"/>
              <a:cs typeface="Calibri" panose="020F0502020204030204" pitchFamily="34" charset="0"/>
            </a:rPr>
            <a:t>Increase</a:t>
          </a:r>
        </a:p>
      </cdr:txBody>
    </cdr:sp>
  </cdr:relSizeAnchor>
  <cdr:relSizeAnchor xmlns:cdr="http://schemas.openxmlformats.org/drawingml/2006/chartDrawing">
    <cdr:from>
      <cdr:x>0.47536</cdr:x>
      <cdr:y>0.03545</cdr:y>
    </cdr:from>
    <cdr:to>
      <cdr:x>0.50579</cdr:x>
      <cdr:y>0.04234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041401" y="355601"/>
          <a:ext cx="66665" cy="69105"/>
        </a:xfrm>
        <a:prstGeom xmlns:a="http://schemas.openxmlformats.org/drawingml/2006/main" prst="rect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NZ" sz="1100"/>
        </a:p>
      </cdr:txBody>
    </cdr:sp>
  </cdr:relSizeAnchor>
  <cdr:relSizeAnchor xmlns:cdr="http://schemas.openxmlformats.org/drawingml/2006/chartDrawing">
    <cdr:from>
      <cdr:x>0.50797</cdr:x>
      <cdr:y>0.02992</cdr:y>
    </cdr:from>
    <cdr:to>
      <cdr:x>0.8087</cdr:x>
      <cdr:y>0.05262</cdr:y>
    </cdr:to>
    <cdr:sp macro="" textlink="">
      <cdr:nvSpPr>
        <cdr:cNvPr id="7" name="TextBox 7"/>
        <cdr:cNvSpPr txBox="1"/>
      </cdr:nvSpPr>
      <cdr:spPr>
        <a:xfrm xmlns:a="http://schemas.openxmlformats.org/drawingml/2006/main">
          <a:off x="1220248" y="450297"/>
          <a:ext cx="722414" cy="3416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>
              <a:latin typeface="Calibri" panose="020F0502020204030204" pitchFamily="34" charset="0"/>
              <a:cs typeface="Calibri" panose="020F0502020204030204" pitchFamily="34" charset="0"/>
            </a:rPr>
            <a:t>Decrease</a:t>
          </a:r>
        </a:p>
      </cdr:txBody>
    </cdr:sp>
  </cdr:relSizeAnchor>
  <cdr:relSizeAnchor xmlns:cdr="http://schemas.openxmlformats.org/drawingml/2006/chartDrawing">
    <cdr:from>
      <cdr:x>0.08841</cdr:x>
      <cdr:y>0.03599</cdr:y>
    </cdr:from>
    <cdr:to>
      <cdr:x>0.11884</cdr:x>
      <cdr:y>0.04264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193675" y="360963"/>
          <a:ext cx="66675" cy="66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NZ" sz="1100"/>
        </a:p>
      </cdr:txBody>
    </cdr:sp>
  </cdr:relSizeAnchor>
  <cdr:relSizeAnchor xmlns:cdr="http://schemas.openxmlformats.org/drawingml/2006/chartDrawing">
    <cdr:from>
      <cdr:x>0.11014</cdr:x>
      <cdr:y>0.03042</cdr:y>
    </cdr:from>
    <cdr:to>
      <cdr:x>0.2699</cdr:x>
      <cdr:y>0.05201</cdr:y>
    </cdr:to>
    <cdr:sp macro="" textlink="">
      <cdr:nvSpPr>
        <cdr:cNvPr id="9" name="TextBox 7"/>
        <cdr:cNvSpPr txBox="1"/>
      </cdr:nvSpPr>
      <cdr:spPr>
        <a:xfrm xmlns:a="http://schemas.openxmlformats.org/drawingml/2006/main">
          <a:off x="264579" y="457917"/>
          <a:ext cx="383776" cy="3248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000">
              <a:latin typeface="Calibri" panose="020F0502020204030204" pitchFamily="34" charset="0"/>
              <a:cs typeface="Calibri" panose="020F0502020204030204" pitchFamily="34" charset="0"/>
            </a:rPr>
            <a:t>NLTF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267138</xdr:colOff>
      <xdr:row>4</xdr:row>
      <xdr:rowOff>160020</xdr:rowOff>
    </xdr:from>
    <xdr:to>
      <xdr:col>27</xdr:col>
      <xdr:colOff>254000</xdr:colOff>
      <xdr:row>87</xdr:row>
      <xdr:rowOff>96344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4B87A6-78A8-49D0-8169-D88A963906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NZTAofficial">
  <a:themeElements>
    <a:clrScheme name="NZTA 2">
      <a:dk1>
        <a:sysClr val="windowText" lastClr="000000"/>
      </a:dk1>
      <a:lt1>
        <a:sysClr val="window" lastClr="FFFFFF"/>
      </a:lt1>
      <a:dk2>
        <a:srgbClr val="00456A"/>
      </a:dk2>
      <a:lt2>
        <a:srgbClr val="AFBD21"/>
      </a:lt2>
      <a:accent1>
        <a:srgbClr val="D3D2C2"/>
      </a:accent1>
      <a:accent2>
        <a:srgbClr val="7BAFDE"/>
      </a:accent2>
      <a:accent3>
        <a:srgbClr val="6BA7AE"/>
      </a:accent3>
      <a:accent4>
        <a:srgbClr val="78976D"/>
      </a:accent4>
      <a:accent5>
        <a:srgbClr val="C5AA68"/>
      </a:accent5>
      <a:accent6>
        <a:srgbClr val="CD8C6D"/>
      </a:accent6>
      <a:hlink>
        <a:srgbClr val="908070"/>
      </a:hlink>
      <a:folHlink>
        <a:srgbClr val="CA4142"/>
      </a:folHlink>
    </a:clrScheme>
    <a:fontScheme name="NZTA Fonts">
      <a:majorFont>
        <a:latin typeface="Lucida Sans"/>
        <a:ea typeface=""/>
        <a:cs typeface=""/>
      </a:majorFont>
      <a:minorFont>
        <a:latin typeface="Lucida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35DA4-C886-4F91-BA3C-059D5257158A}">
  <sheetPr>
    <tabColor theme="5" tint="-0.249977111117893"/>
  </sheetPr>
  <dimension ref="A1:J1"/>
  <sheetViews>
    <sheetView showGridLines="0" tabSelected="1" zoomScaleNormal="100" workbookViewId="0">
      <selection activeCell="I31" sqref="I31"/>
    </sheetView>
  </sheetViews>
  <sheetFormatPr defaultColWidth="0" defaultRowHeight="15" x14ac:dyDescent="0.25"/>
  <cols>
    <col min="1" max="10" width="9" style="264" customWidth="1"/>
    <col min="11" max="16384" width="8.7265625" style="264" hidden="1"/>
  </cols>
  <sheetData/>
  <pageMargins left="0.7" right="0.7" top="0.75" bottom="0.75" header="0.3" footer="0.3"/>
  <pageSetup orientation="portrait" horizontalDpi="0" verticalDpi="0" r:id="rId1"/>
  <headerFooter>
    <oddHeader>&amp;L&amp;16&amp;F&amp;R&amp;G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1"/>
  </sheetPr>
  <dimension ref="A2:AX167"/>
  <sheetViews>
    <sheetView showGridLines="0" zoomScale="87" zoomScaleNormal="87" workbookViewId="0">
      <pane xSplit="4" ySplit="7" topLeftCell="E37" activePane="bottomRight" state="frozen"/>
      <selection activeCell="B2" sqref="B2:E3"/>
      <selection pane="topRight" activeCell="B2" sqref="B2:E3"/>
      <selection pane="bottomLeft" activeCell="B2" sqref="B2:E3"/>
      <selection pane="bottomRight" activeCell="AA7" sqref="AA7"/>
    </sheetView>
  </sheetViews>
  <sheetFormatPr defaultColWidth="0" defaultRowHeight="13.2" x14ac:dyDescent="0.25"/>
  <cols>
    <col min="1" max="1" width="3.81640625" style="7" customWidth="1"/>
    <col min="2" max="2" width="5.36328125" style="7" customWidth="1"/>
    <col min="3" max="3" width="8.90625" style="7" customWidth="1"/>
    <col min="4" max="4" width="28.6328125" style="7" customWidth="1"/>
    <col min="5" max="5" width="14.08984375" style="7" customWidth="1"/>
    <col min="6" max="6" width="12.08984375" style="7" customWidth="1"/>
    <col min="7" max="7" width="14.1796875" style="7" customWidth="1"/>
    <col min="8" max="15" width="12.81640625" style="7" customWidth="1"/>
    <col min="16" max="16" width="3.453125" style="7" customWidth="1"/>
    <col min="17" max="17" width="11.08984375" style="7" customWidth="1"/>
    <col min="18" max="18" width="8.90625" style="7" customWidth="1"/>
    <col min="19" max="19" width="2.1796875" style="7" customWidth="1"/>
    <col min="20" max="20" width="11.36328125" style="7" customWidth="1"/>
    <col min="21" max="25" width="8.90625" style="7" customWidth="1"/>
    <col min="26" max="27" width="12.81640625" style="7" customWidth="1"/>
    <col min="28" max="28" width="14.453125" style="7" customWidth="1"/>
    <col min="29" max="32" width="14.81640625" style="7" bestFit="1" customWidth="1"/>
    <col min="33" max="34" width="13.6328125" style="7" customWidth="1"/>
    <col min="35" max="38" width="11.6328125" style="7" customWidth="1"/>
    <col min="39" max="39" width="28.6328125" style="7" customWidth="1"/>
    <col min="40" max="40" width="12.90625" style="7" customWidth="1"/>
    <col min="41" max="41" width="10.90625" style="7" customWidth="1"/>
    <col min="42" max="42" width="8.90625" style="7" customWidth="1"/>
    <col min="43" max="43" width="16.1796875" style="7" customWidth="1"/>
    <col min="44" max="44" width="12.6328125" style="7" customWidth="1"/>
    <col min="45" max="45" width="13.6328125" style="7" customWidth="1"/>
    <col min="46" max="46" width="16.1796875" style="7" customWidth="1"/>
    <col min="47" max="47" width="13.6328125" style="7" customWidth="1"/>
    <col min="48" max="48" width="12.6328125" style="7" customWidth="1"/>
    <col min="49" max="49" width="8.90625" style="7" customWidth="1"/>
    <col min="50" max="50" width="0" style="7" hidden="1" customWidth="1"/>
    <col min="51" max="16384" width="8.90625" style="7" hidden="1"/>
  </cols>
  <sheetData>
    <row r="2" spans="2:48" x14ac:dyDescent="0.25">
      <c r="B2" s="20" t="s">
        <v>276</v>
      </c>
      <c r="C2" s="20"/>
      <c r="D2" s="20"/>
      <c r="E2" s="20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</row>
    <row r="3" spans="2:48" x14ac:dyDescent="0.25">
      <c r="B3" s="20" t="s">
        <v>296</v>
      </c>
      <c r="C3" s="20"/>
      <c r="D3" s="20"/>
      <c r="E3" s="20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</row>
    <row r="4" spans="2:48" ht="13.8" x14ac:dyDescent="0.25">
      <c r="B4" s="194" t="s">
        <v>318</v>
      </c>
    </row>
    <row r="6" spans="2:48" x14ac:dyDescent="0.25">
      <c r="H6" s="58" t="s">
        <v>124</v>
      </c>
      <c r="I6" s="59"/>
      <c r="J6" s="60"/>
      <c r="K6" s="58" t="s">
        <v>241</v>
      </c>
      <c r="L6" s="59"/>
      <c r="M6" s="59"/>
      <c r="N6" s="59"/>
      <c r="O6" s="60"/>
      <c r="P6" s="61"/>
      <c r="T6" s="62" t="s">
        <v>244</v>
      </c>
      <c r="U6" s="62" t="s">
        <v>245</v>
      </c>
      <c r="V6" s="62" t="s">
        <v>247</v>
      </c>
      <c r="W6" s="63" t="s">
        <v>248</v>
      </c>
      <c r="X6" s="63" t="s">
        <v>249</v>
      </c>
      <c r="Z6" s="176" t="s">
        <v>98</v>
      </c>
      <c r="AA6" s="177"/>
      <c r="AB6" s="58" t="str">
        <f>CONCATENATE(Parameter!C10," Financials")</f>
        <v>2015/19 Financials</v>
      </c>
      <c r="AC6" s="178"/>
      <c r="AD6" s="177"/>
      <c r="AE6" s="58" t="s">
        <v>103</v>
      </c>
      <c r="AF6" s="59"/>
      <c r="AG6" s="181" t="s">
        <v>104</v>
      </c>
      <c r="AH6" s="182"/>
      <c r="AI6" s="178" t="s">
        <v>120</v>
      </c>
      <c r="AJ6" s="60"/>
      <c r="AK6" s="58" t="s">
        <v>121</v>
      </c>
      <c r="AL6" s="60"/>
      <c r="AQ6" s="7" t="s">
        <v>96</v>
      </c>
      <c r="AT6" s="7" t="s">
        <v>102</v>
      </c>
    </row>
    <row r="7" spans="2:48" ht="53.25" customHeight="1" x14ac:dyDescent="0.25">
      <c r="B7" s="13" t="s">
        <v>90</v>
      </c>
      <c r="C7" s="13" t="s">
        <v>84</v>
      </c>
      <c r="D7" s="13" t="s">
        <v>85</v>
      </c>
      <c r="E7" s="64" t="s">
        <v>81</v>
      </c>
      <c r="F7" s="65" t="s">
        <v>83</v>
      </c>
      <c r="G7" s="66" t="s">
        <v>118</v>
      </c>
      <c r="H7" s="67" t="str">
        <f>E7</f>
        <v>Rateable Units</v>
      </c>
      <c r="I7" s="68" t="str">
        <f>F7</f>
        <v>NZ Index of Deprivation</v>
      </c>
      <c r="J7" s="69" t="str">
        <f>G7</f>
        <v>Centreline KM / Capital Value</v>
      </c>
      <c r="K7" s="67" t="str">
        <f>E98&amp;E7</f>
        <v>Rateable Units</v>
      </c>
      <c r="L7" s="68" t="str">
        <f>F98&amp;F7</f>
        <v>NZ Index of Deprivation</v>
      </c>
      <c r="M7" s="68" t="str">
        <f>G98&amp;G7</f>
        <v>Centreline KM / Capital Value</v>
      </c>
      <c r="N7" s="68" t="s">
        <v>92</v>
      </c>
      <c r="O7" s="69" t="s">
        <v>94</v>
      </c>
      <c r="P7" s="61"/>
      <c r="T7" s="68" t="s">
        <v>242</v>
      </c>
      <c r="U7" s="68" t="s">
        <v>243</v>
      </c>
      <c r="V7" s="68" t="s">
        <v>246</v>
      </c>
      <c r="W7" s="68" t="s">
        <v>99</v>
      </c>
      <c r="X7" s="68" t="s">
        <v>250</v>
      </c>
      <c r="Z7" s="67" t="s">
        <v>364</v>
      </c>
      <c r="AA7" s="69" t="str">
        <f>Results!R6</f>
        <v>Board Approved End Transition Normal FAR 2021</v>
      </c>
      <c r="AB7" s="67" t="s">
        <v>95</v>
      </c>
      <c r="AC7" s="68" t="s">
        <v>96</v>
      </c>
      <c r="AD7" s="69" t="s">
        <v>102</v>
      </c>
      <c r="AE7" s="67" t="s">
        <v>96</v>
      </c>
      <c r="AF7" s="68" t="s">
        <v>102</v>
      </c>
      <c r="AG7" s="183" t="s">
        <v>96</v>
      </c>
      <c r="AH7" s="184" t="s">
        <v>102</v>
      </c>
      <c r="AI7" s="68" t="s">
        <v>96</v>
      </c>
      <c r="AJ7" s="69" t="s">
        <v>102</v>
      </c>
      <c r="AK7" s="67" t="s">
        <v>96</v>
      </c>
      <c r="AL7" s="69" t="s">
        <v>102</v>
      </c>
      <c r="AM7" s="64" t="s">
        <v>113</v>
      </c>
      <c r="AN7" s="204" t="str">
        <f>AA7</f>
        <v>Board Approved End Transition Normal FAR 2021</v>
      </c>
      <c r="AO7" s="204" t="s">
        <v>364</v>
      </c>
      <c r="AP7" s="70"/>
      <c r="AQ7" s="13" t="s">
        <v>105</v>
      </c>
      <c r="AR7" s="13" t="s">
        <v>125</v>
      </c>
      <c r="AS7" s="13" t="s">
        <v>126</v>
      </c>
      <c r="AT7" s="13" t="s">
        <v>105</v>
      </c>
      <c r="AU7" s="13" t="s">
        <v>125</v>
      </c>
      <c r="AV7" s="13" t="s">
        <v>126</v>
      </c>
    </row>
    <row r="8" spans="2:48" x14ac:dyDescent="0.25">
      <c r="B8" s="71">
        <f t="shared" ref="B8:B39" si="0">RANK(O8,O$8:O$85,0)</f>
        <v>1</v>
      </c>
      <c r="C8" s="72">
        <v>74</v>
      </c>
      <c r="D8" s="7" t="str">
        <f>INDEX(Parameter!$B$19:$C$97,MATCH(Calculation!$C8,Parameter!$B$19:$B$97,0),MATCH(Calculation!D$7,Parameter!$B$19:$C$19,0))</f>
        <v>Chatham Islands Territory</v>
      </c>
      <c r="E8" s="73">
        <f>INDEX(Parameter!$B$19:$H$97,MATCH(Calculation!$C8,Parameter!$B$19:$B$97,0),MATCH(Calculation!E$7,Parameter!$B$19:$H$19,0))</f>
        <v>562</v>
      </c>
      <c r="F8" s="74">
        <f>INDEX(Parameter!$B$19:$H$97,MATCH(Calculation!$C8,Parameter!$B$19:$B$97,0),MATCH(Calculation!F$7,Parameter!$B$19:$H$19,0))</f>
        <v>1056.7454545454545</v>
      </c>
      <c r="G8" s="75">
        <f>INDEX(Parameter!$B$19:$H$97,MATCH(Calculation!$C8,Parameter!$B$19:$B$97,0),MATCH(Calculation!G$7,Parameter!$B$19:$H$19,0))</f>
        <v>1.1038896951835077E-6</v>
      </c>
      <c r="H8" s="76">
        <f>STANDARDIZE(E8,E$92,E$93)</f>
        <v>-0.54942759161648969</v>
      </c>
      <c r="I8" s="77">
        <f t="shared" ref="I8:I39" si="1">STANDARDIZE(F8,F$92,F$93)</f>
        <v>0.80988908109721458</v>
      </c>
      <c r="J8" s="78">
        <f t="shared" ref="J8:J39" si="2">STANDARDIZE(G8,G$92,G$93)</f>
        <v>6.9756849574940381</v>
      </c>
      <c r="K8" s="76">
        <f>IF(E$96=0,0,E$97*IF(E$96&lt;0,H8-H$87,H$88-H8))</f>
        <v>7.2259418913445232</v>
      </c>
      <c r="L8" s="77">
        <f t="shared" ref="L8:L39" si="3">IF(F$96=0,0,F$97*IF(F$96&lt;0,I8-I$87,I$88-I8))</f>
        <v>2.877273799359493</v>
      </c>
      <c r="M8" s="77">
        <f t="shared" ref="M8:M39" si="4">IF(G$96=0,0,G$97*IF(G$96&lt;0,J8-J$87,J$88-J8))</f>
        <v>7.8192085653765373</v>
      </c>
      <c r="N8" s="77">
        <f t="shared" ref="N8:N39" si="5">SUM(K8:M8)</f>
        <v>17.922424256080554</v>
      </c>
      <c r="O8" s="78">
        <f t="shared" ref="O8:O39" si="6">N8-N$90</f>
        <v>8.5736035825111081</v>
      </c>
      <c r="P8" s="61"/>
      <c r="T8" s="79">
        <f>ROUND($R$17+$R$20*O8,2)</f>
        <v>1.18</v>
      </c>
      <c r="U8" s="80">
        <f>R16</f>
        <v>0.88</v>
      </c>
      <c r="V8" s="80">
        <f>MIN(T8,U8)</f>
        <v>0.88</v>
      </c>
      <c r="W8" s="80">
        <f>$R$17</f>
        <v>0.51</v>
      </c>
      <c r="X8" s="80">
        <f>MAX(V8,W8)</f>
        <v>0.88</v>
      </c>
      <c r="Z8" s="81">
        <f t="shared" ref="Z8:Z39" si="7">MAX(IF(C8=74,$R$16,$R$17),MIN($R$15,ROUND($R$17+$R$20*O8,2)))</f>
        <v>0.88</v>
      </c>
      <c r="AA8" s="82">
        <f>INDEX('Table_Previous FAR'!$B$5:$K$83,MATCH(Calculation!D8,'Table_Previous FAR'!$B$5:$B$83,0),MATCH(Calculation!$AA$7,'Table_Previous FAR'!$B$5:$K$5,))</f>
        <v>0.88</v>
      </c>
      <c r="AB8" s="73">
        <f>INDEX(Parameter!$C$19:$L$97, MATCH(Calculation!$D8,Parameter!$C$19:$C$97,0),MATCH(Calculation!AB$7,Parameter!$C$19:$L$19,0))</f>
        <v>15073879</v>
      </c>
      <c r="AC8" s="73">
        <f>INDEX(Parameter!$C$19:$L$97, MATCH(Calculation!$D8,Parameter!$C$19:$C$97,0),MATCH(Calculation!AC$7,Parameter!$C$19:$L$19,0))</f>
        <v>13382159</v>
      </c>
      <c r="AD8" s="73">
        <f>INDEX(Parameter!$C$19:$L$97, MATCH(Calculation!$D8,Parameter!$C$19:$C$97,0),MATCH(Calculation!AD$7,Parameter!$C$19:$L$19,0))</f>
        <v>1691720</v>
      </c>
      <c r="AE8" s="73">
        <f>AB8*Z8</f>
        <v>13265013.52</v>
      </c>
      <c r="AF8" s="32">
        <f t="shared" ref="AF8:AF39" si="8">AB8-AE8</f>
        <v>1808865.4800000004</v>
      </c>
      <c r="AG8" s="185">
        <f t="shared" ref="AG8:AG39" si="9">AE8-AC8</f>
        <v>-117145.48000000045</v>
      </c>
      <c r="AH8" s="186">
        <f t="shared" ref="AH8:AH39" si="10">AF8-AD8</f>
        <v>117145.48000000045</v>
      </c>
      <c r="AI8" s="179">
        <f>AG8/AC8</f>
        <v>-8.7538550393849342E-3</v>
      </c>
      <c r="AJ8" s="83">
        <f>AH8/AD8</f>
        <v>6.9246376468919471E-2</v>
      </c>
      <c r="AK8" s="81">
        <f>AG8/AG$86</f>
        <v>1.8257975761220712E-3</v>
      </c>
      <c r="AL8" s="82">
        <f>AH8/AH$86</f>
        <v>1.8257975761220712E-3</v>
      </c>
      <c r="AM8" s="41" t="str">
        <f t="shared" ref="AM8:AM39" si="11">D8</f>
        <v>Chatham Islands Territory</v>
      </c>
      <c r="AN8" s="205">
        <f>ROUND(AA8,2)</f>
        <v>0.88</v>
      </c>
      <c r="AO8" s="202">
        <f>ROUND(Z8,2)</f>
        <v>0.88</v>
      </c>
      <c r="AQ8" s="84">
        <f>MIN(AC8,AE8)</f>
        <v>13265013.52</v>
      </c>
      <c r="AR8" s="84">
        <f>AE8-AQ8</f>
        <v>0</v>
      </c>
      <c r="AS8" s="84">
        <f>AC8-AQ8</f>
        <v>117145.48000000045</v>
      </c>
      <c r="AT8" s="84"/>
      <c r="AU8" s="84"/>
      <c r="AV8" s="84"/>
    </row>
    <row r="9" spans="2:48" x14ac:dyDescent="0.25">
      <c r="B9" s="85">
        <f t="shared" si="0"/>
        <v>2</v>
      </c>
      <c r="C9" s="86">
        <v>31</v>
      </c>
      <c r="D9" s="7" t="str">
        <f>INDEX(Parameter!$B$19:$C$97,MATCH(Calculation!$C9,Parameter!$B$19:$B$97,0),MATCH(Calculation!D$7,Parameter!$B$19:$C$19,0))</f>
        <v>Wairoa District</v>
      </c>
      <c r="E9" s="73">
        <f>INDEX(Parameter!$B$19:$H$97,MATCH(Calculation!$C9,Parameter!$B$19:$B$97,0),MATCH(Calculation!E$7,Parameter!$B$19:$H$19,0))</f>
        <v>6654</v>
      </c>
      <c r="F9" s="74">
        <f>INDEX(Parameter!$B$19:$H$97,MATCH(Calculation!$C9,Parameter!$B$19:$B$97,0),MATCH(Calculation!F$7,Parameter!$B$19:$H$19,0))</f>
        <v>1163.6465517241379</v>
      </c>
      <c r="G9" s="75">
        <f>INDEX(Parameter!$B$19:$H$97,MATCH(Calculation!$C9,Parameter!$B$19:$B$97,0),MATCH(Calculation!G$7,Parameter!$B$19:$H$19,0))</f>
        <v>3.392422574427025E-7</v>
      </c>
      <c r="H9" s="76">
        <f t="shared" ref="H9:H39" si="12">STANDARDIZE(E9,E$92,E$93)</f>
        <v>-0.47138035240448795</v>
      </c>
      <c r="I9" s="77">
        <f t="shared" si="1"/>
        <v>2.8894808677398305</v>
      </c>
      <c r="J9" s="78">
        <f t="shared" si="2"/>
        <v>1.5155824132363924</v>
      </c>
      <c r="K9" s="76">
        <f t="shared" ref="K9:K39" si="13">IF(E$96=0,0,E$97*IF(E$96&lt;0,H9-H$87,H$88-H9))</f>
        <v>7.1478946521325213</v>
      </c>
      <c r="L9" s="77">
        <f t="shared" si="3"/>
        <v>4.9568655860021096</v>
      </c>
      <c r="M9" s="77">
        <f t="shared" si="4"/>
        <v>2.3591060211188921</v>
      </c>
      <c r="N9" s="77">
        <f t="shared" si="5"/>
        <v>14.463866259253523</v>
      </c>
      <c r="O9" s="78">
        <f t="shared" si="6"/>
        <v>5.1150455856840775</v>
      </c>
      <c r="P9" s="61"/>
      <c r="T9" s="79">
        <f t="shared" ref="T9:T72" si="14">ROUND($R$17+$R$20*O9,2)</f>
        <v>0.91</v>
      </c>
      <c r="U9" s="80">
        <f t="shared" ref="U9:U72" si="15">$R$15</f>
        <v>0.75</v>
      </c>
      <c r="V9" s="80">
        <f t="shared" ref="V9:V72" si="16">MIN(T9,U9)</f>
        <v>0.75</v>
      </c>
      <c r="W9" s="80">
        <f t="shared" ref="W9:W72" si="17">$R$17</f>
        <v>0.51</v>
      </c>
      <c r="X9" s="80">
        <f t="shared" ref="X9:X72" si="18">MAX(V9,W9)</f>
        <v>0.75</v>
      </c>
      <c r="Z9" s="81">
        <f t="shared" si="7"/>
        <v>0.75</v>
      </c>
      <c r="AA9" s="82">
        <f>INDEX('Table_Previous FAR'!$B$5:$K$83,MATCH(Calculation!D9,'Table_Previous FAR'!$B$5:$B$83,0),MATCH(Calculation!$AA$7,'Table_Previous FAR'!$B$5:$K$5,))</f>
        <v>0.75</v>
      </c>
      <c r="AB9" s="73">
        <f>INDEX(Parameter!$C$19:$L$97, MATCH(Calculation!$D9,Parameter!$C$19:$C$97,0),MATCH(Calculation!AB$7,Parameter!$C$19:$L$19,0))</f>
        <v>28770771</v>
      </c>
      <c r="AC9" s="73">
        <f>INDEX(Parameter!$C$19:$L$97, MATCH(Calculation!$D9,Parameter!$C$19:$C$97,0),MATCH(Calculation!AC$7,Parameter!$C$19:$L$19,0))</f>
        <v>20412006</v>
      </c>
      <c r="AD9" s="73">
        <f>INDEX(Parameter!$C$19:$L$97, MATCH(Calculation!$D9,Parameter!$C$19:$C$97,0),MATCH(Calculation!AD$7,Parameter!$C$19:$L$19,0))</f>
        <v>8358765</v>
      </c>
      <c r="AE9" s="73">
        <f t="shared" ref="AE9:AE39" si="19">AB9*Z9</f>
        <v>21578078.25</v>
      </c>
      <c r="AF9" s="32">
        <f t="shared" si="8"/>
        <v>7192692.75</v>
      </c>
      <c r="AG9" s="185">
        <f t="shared" si="9"/>
        <v>1166072.25</v>
      </c>
      <c r="AH9" s="186">
        <f t="shared" si="10"/>
        <v>-1166072.25</v>
      </c>
      <c r="AI9" s="179">
        <f t="shared" ref="AI9:AI72" si="20">AG9/AC9</f>
        <v>5.7126783619405166E-2</v>
      </c>
      <c r="AJ9" s="83">
        <f t="shared" ref="AJ9:AJ72" si="21">AH9/AD9</f>
        <v>-0.13950293494314053</v>
      </c>
      <c r="AK9" s="81">
        <f t="shared" ref="AK9:AK72" si="22">AG9/AG$86</f>
        <v>-1.8174084801506653E-2</v>
      </c>
      <c r="AL9" s="82">
        <f t="shared" ref="AL9:AL72" si="23">AH9/AH$86</f>
        <v>-1.8174084801506653E-2</v>
      </c>
      <c r="AM9" s="42" t="str">
        <f t="shared" si="11"/>
        <v>Wairoa District</v>
      </c>
      <c r="AN9" s="206">
        <f t="shared" ref="AN9:AN72" si="24">ROUND(AA9,2)</f>
        <v>0.75</v>
      </c>
      <c r="AO9" s="202">
        <f t="shared" ref="AO9:AO72" si="25">ROUND(Z9,2)</f>
        <v>0.75</v>
      </c>
      <c r="AQ9" s="84"/>
      <c r="AR9" s="84"/>
      <c r="AS9" s="84"/>
      <c r="AT9" s="84">
        <f>MIN(AD8,AF8)</f>
        <v>1691720</v>
      </c>
      <c r="AU9" s="84">
        <f>AF8-AT9</f>
        <v>117145.48000000045</v>
      </c>
      <c r="AV9" s="84">
        <f>AD8-AT9</f>
        <v>0</v>
      </c>
    </row>
    <row r="10" spans="2:48" x14ac:dyDescent="0.25">
      <c r="B10" s="85">
        <f t="shared" si="0"/>
        <v>3</v>
      </c>
      <c r="C10" s="86">
        <v>22</v>
      </c>
      <c r="D10" s="7" t="str">
        <f>INDEX(Parameter!$B$19:$C$97,MATCH(Calculation!$C10,Parameter!$B$19:$B$97,0),MATCH(Calculation!D$7,Parameter!$B$19:$C$19,0))</f>
        <v>Opotiki District</v>
      </c>
      <c r="E10" s="73">
        <f>INDEX(Parameter!$B$19:$H$97,MATCH(Calculation!$C10,Parameter!$B$19:$B$97,0),MATCH(Calculation!E$7,Parameter!$B$19:$H$19,0))</f>
        <v>5588</v>
      </c>
      <c r="F10" s="74">
        <f>INDEX(Parameter!$B$19:$H$97,MATCH(Calculation!$C10,Parameter!$B$19:$B$97,0),MATCH(Calculation!F$7,Parameter!$B$19:$H$19,0))</f>
        <v>1167.104786545925</v>
      </c>
      <c r="G10" s="75">
        <f>INDEX(Parameter!$B$19:$H$97,MATCH(Calculation!$C10,Parameter!$B$19:$B$97,0),MATCH(Calculation!G$7,Parameter!$B$19:$H$19,0))</f>
        <v>1.2610493424586378E-7</v>
      </c>
      <c r="H10" s="76">
        <f t="shared" si="12"/>
        <v>-0.48503733812346267</v>
      </c>
      <c r="I10" s="77">
        <f t="shared" si="1"/>
        <v>2.9567553571648459</v>
      </c>
      <c r="J10" s="78">
        <f t="shared" si="2"/>
        <v>-6.3629739105183535E-3</v>
      </c>
      <c r="K10" s="76">
        <f t="shared" si="13"/>
        <v>7.1615516378514963</v>
      </c>
      <c r="L10" s="77">
        <f t="shared" si="3"/>
        <v>5.024140075427125</v>
      </c>
      <c r="M10" s="77">
        <f t="shared" si="4"/>
        <v>0.83716063397198126</v>
      </c>
      <c r="N10" s="77">
        <f t="shared" si="5"/>
        <v>13.022852347250604</v>
      </c>
      <c r="O10" s="78">
        <f t="shared" si="6"/>
        <v>3.6740316736811582</v>
      </c>
      <c r="P10" s="61"/>
      <c r="T10" s="79">
        <f t="shared" si="14"/>
        <v>0.8</v>
      </c>
      <c r="U10" s="80">
        <f t="shared" si="15"/>
        <v>0.75</v>
      </c>
      <c r="V10" s="80">
        <f t="shared" si="16"/>
        <v>0.75</v>
      </c>
      <c r="W10" s="80">
        <f t="shared" si="17"/>
        <v>0.51</v>
      </c>
      <c r="X10" s="80">
        <f t="shared" si="18"/>
        <v>0.75</v>
      </c>
      <c r="Z10" s="81">
        <f t="shared" si="7"/>
        <v>0.75</v>
      </c>
      <c r="AA10" s="82">
        <f>INDEX('Table_Previous FAR'!$B$5:$K$83,MATCH(Calculation!D10,'Table_Previous FAR'!$B$5:$B$83,0),MATCH(Calculation!$AA$7,'Table_Previous FAR'!$B$5:$K$5,))</f>
        <v>0.75</v>
      </c>
      <c r="AB10" s="73">
        <f>INDEX(Parameter!$C$19:$L$97, MATCH(Calculation!$D10,Parameter!$C$19:$C$97,0),MATCH(Calculation!AB$7,Parameter!$C$19:$L$19,0))</f>
        <v>12859546</v>
      </c>
      <c r="AC10" s="73">
        <f>INDEX(Parameter!$C$19:$L$97, MATCH(Calculation!$D10,Parameter!$C$19:$C$97,0),MATCH(Calculation!AC$7,Parameter!$C$19:$L$19,0))</f>
        <v>7815948</v>
      </c>
      <c r="AD10" s="73">
        <f>INDEX(Parameter!$C$19:$L$97, MATCH(Calculation!$D10,Parameter!$C$19:$C$97,0),MATCH(Calculation!AD$7,Parameter!$C$19:$L$19,0))</f>
        <v>5043598</v>
      </c>
      <c r="AE10" s="73">
        <f t="shared" si="19"/>
        <v>9644659.5</v>
      </c>
      <c r="AF10" s="32">
        <f t="shared" si="8"/>
        <v>3214886.5</v>
      </c>
      <c r="AG10" s="185">
        <f t="shared" si="9"/>
        <v>1828711.5</v>
      </c>
      <c r="AH10" s="186">
        <f t="shared" si="10"/>
        <v>-1828711.5</v>
      </c>
      <c r="AI10" s="179">
        <f t="shared" si="20"/>
        <v>0.23397180994551142</v>
      </c>
      <c r="AJ10" s="83">
        <f t="shared" si="21"/>
        <v>-0.36258074097102899</v>
      </c>
      <c r="AK10" s="81">
        <f t="shared" si="22"/>
        <v>-2.8501799848586085E-2</v>
      </c>
      <c r="AL10" s="82">
        <f t="shared" si="23"/>
        <v>-2.8501799848586085E-2</v>
      </c>
      <c r="AM10" s="42" t="str">
        <f t="shared" si="11"/>
        <v>Opotiki District</v>
      </c>
      <c r="AN10" s="206">
        <f t="shared" si="24"/>
        <v>0.75</v>
      </c>
      <c r="AO10" s="202">
        <f t="shared" si="25"/>
        <v>0.75</v>
      </c>
      <c r="AQ10" s="84">
        <f>MIN(AC9,AE9)</f>
        <v>20412006</v>
      </c>
      <c r="AR10" s="84">
        <f>AE9-AQ10</f>
        <v>1166072.25</v>
      </c>
      <c r="AS10" s="84">
        <f>AC9-AQ10</f>
        <v>0</v>
      </c>
      <c r="AT10" s="84"/>
      <c r="AU10" s="84"/>
      <c r="AV10" s="84"/>
    </row>
    <row r="11" spans="2:48" x14ac:dyDescent="0.25">
      <c r="B11" s="85">
        <f t="shared" si="0"/>
        <v>4</v>
      </c>
      <c r="C11" s="86">
        <v>21</v>
      </c>
      <c r="D11" s="7" t="str">
        <f>INDEX(Parameter!$B$19:$C$97,MATCH(Calculation!$C11,Parameter!$B$19:$B$97,0),MATCH(Calculation!D$7,Parameter!$B$19:$C$19,0))</f>
        <v>Kawerau District</v>
      </c>
      <c r="E11" s="73">
        <f>INDEX(Parameter!$B$19:$H$97,MATCH(Calculation!$C11,Parameter!$B$19:$B$97,0),MATCH(Calculation!E$7,Parameter!$B$19:$H$19,0))</f>
        <v>2903</v>
      </c>
      <c r="F11" s="74">
        <f>INDEX(Parameter!$B$19:$H$97,MATCH(Calculation!$C11,Parameter!$B$19:$B$97,0),MATCH(Calculation!F$7,Parameter!$B$19:$H$19,0))</f>
        <v>1176.7542016806722</v>
      </c>
      <c r="G11" s="75">
        <f>INDEX(Parameter!$B$19:$H$97,MATCH(Calculation!$C11,Parameter!$B$19:$B$97,0),MATCH(Calculation!G$7,Parameter!$B$19:$H$19,0))</f>
        <v>3.7447171687961724E-8</v>
      </c>
      <c r="H11" s="76">
        <f t="shared" si="12"/>
        <v>-0.51943603104602087</v>
      </c>
      <c r="I11" s="77">
        <f t="shared" si="1"/>
        <v>3.1444694685231589</v>
      </c>
      <c r="J11" s="78">
        <f t="shared" si="2"/>
        <v>-0.63943967176859895</v>
      </c>
      <c r="K11" s="76">
        <f t="shared" si="13"/>
        <v>7.1959503307740542</v>
      </c>
      <c r="L11" s="77">
        <f t="shared" si="3"/>
        <v>5.2118541867854375</v>
      </c>
      <c r="M11" s="77">
        <f t="shared" si="4"/>
        <v>0.20408393611390063</v>
      </c>
      <c r="N11" s="77">
        <f t="shared" si="5"/>
        <v>12.611888453673391</v>
      </c>
      <c r="O11" s="78">
        <f t="shared" si="6"/>
        <v>3.2630677801039454</v>
      </c>
      <c r="P11" s="61"/>
      <c r="T11" s="79">
        <f t="shared" si="14"/>
        <v>0.76</v>
      </c>
      <c r="U11" s="80">
        <f t="shared" si="15"/>
        <v>0.75</v>
      </c>
      <c r="V11" s="80">
        <f t="shared" si="16"/>
        <v>0.75</v>
      </c>
      <c r="W11" s="80">
        <f t="shared" si="17"/>
        <v>0.51</v>
      </c>
      <c r="X11" s="80">
        <f t="shared" si="18"/>
        <v>0.75</v>
      </c>
      <c r="Z11" s="81">
        <f t="shared" si="7"/>
        <v>0.75</v>
      </c>
      <c r="AA11" s="82">
        <f>INDEX('Table_Previous FAR'!$B$5:$K$83,MATCH(Calculation!D11,'Table_Previous FAR'!$B$5:$B$83,0),MATCH(Calculation!$AA$7,'Table_Previous FAR'!$B$5:$K$5,))</f>
        <v>0.75</v>
      </c>
      <c r="AB11" s="73">
        <f>INDEX(Parameter!$C$19:$L$97, MATCH(Calculation!$D11,Parameter!$C$19:$C$97,0),MATCH(Calculation!AB$7,Parameter!$C$19:$L$19,0))</f>
        <v>2667854</v>
      </c>
      <c r="AC11" s="73">
        <f>INDEX(Parameter!$C$19:$L$97, MATCH(Calculation!$D11,Parameter!$C$19:$C$97,0),MATCH(Calculation!AC$7,Parameter!$C$19:$L$19,0))</f>
        <v>1922025</v>
      </c>
      <c r="AD11" s="73">
        <f>INDEX(Parameter!$C$19:$L$97, MATCH(Calculation!$D11,Parameter!$C$19:$C$97,0),MATCH(Calculation!AD$7,Parameter!$C$19:$L$19,0))</f>
        <v>745829</v>
      </c>
      <c r="AE11" s="73">
        <f t="shared" si="19"/>
        <v>2000890.5</v>
      </c>
      <c r="AF11" s="32">
        <f t="shared" si="8"/>
        <v>666963.5</v>
      </c>
      <c r="AG11" s="185">
        <f t="shared" si="9"/>
        <v>78865.5</v>
      </c>
      <c r="AH11" s="186">
        <f t="shared" si="10"/>
        <v>-78865.5</v>
      </c>
      <c r="AI11" s="179">
        <f t="shared" si="20"/>
        <v>4.103250478011472E-2</v>
      </c>
      <c r="AJ11" s="83">
        <f t="shared" si="21"/>
        <v>-0.10574206688128245</v>
      </c>
      <c r="AK11" s="81">
        <f t="shared" si="22"/>
        <v>-1.2291762237830657E-3</v>
      </c>
      <c r="AL11" s="82">
        <f t="shared" si="23"/>
        <v>-1.2291762237830657E-3</v>
      </c>
      <c r="AM11" s="42" t="str">
        <f t="shared" si="11"/>
        <v>Kawerau District</v>
      </c>
      <c r="AN11" s="206">
        <f t="shared" si="24"/>
        <v>0.75</v>
      </c>
      <c r="AO11" s="202">
        <f t="shared" si="25"/>
        <v>0.75</v>
      </c>
      <c r="AQ11" s="84"/>
      <c r="AR11" s="84"/>
      <c r="AS11" s="84"/>
      <c r="AT11" s="84">
        <f>MIN(AD9,AF9)</f>
        <v>7192692.75</v>
      </c>
      <c r="AU11" s="84">
        <f>AF9-AT11</f>
        <v>0</v>
      </c>
      <c r="AV11" s="84">
        <f>AD9-AT11</f>
        <v>1166072.25</v>
      </c>
    </row>
    <row r="12" spans="2:48" x14ac:dyDescent="0.25">
      <c r="B12" s="85">
        <f t="shared" si="0"/>
        <v>5</v>
      </c>
      <c r="C12" s="86">
        <v>20</v>
      </c>
      <c r="D12" s="7" t="str">
        <f>INDEX(Parameter!$B$19:$C$97,MATCH(Calculation!$C12,Parameter!$B$19:$B$97,0),MATCH(Calculation!D$7,Parameter!$B$19:$C$19,0))</f>
        <v>Waitomo District</v>
      </c>
      <c r="E12" s="73">
        <f>INDEX(Parameter!$B$19:$H$97,MATCH(Calculation!$C12,Parameter!$B$19:$B$97,0),MATCH(Calculation!E$7,Parameter!$B$19:$H$19,0))</f>
        <v>5578</v>
      </c>
      <c r="F12" s="74">
        <f>INDEX(Parameter!$B$19:$H$97,MATCH(Calculation!$C12,Parameter!$B$19:$B$97,0),MATCH(Calculation!F$7,Parameter!$B$19:$H$19,0))</f>
        <v>1083.8653970303421</v>
      </c>
      <c r="G12" s="75">
        <f>INDEX(Parameter!$B$19:$H$97,MATCH(Calculation!$C12,Parameter!$B$19:$B$97,0),MATCH(Calculation!G$7,Parameter!$B$19:$H$19,0))</f>
        <v>2.6427865882683908E-7</v>
      </c>
      <c r="H12" s="76">
        <f t="shared" si="12"/>
        <v>-0.48516545243602338</v>
      </c>
      <c r="I12" s="77">
        <f t="shared" si="1"/>
        <v>1.3374646732496822</v>
      </c>
      <c r="J12" s="78">
        <f t="shared" si="2"/>
        <v>0.98029135578053861</v>
      </c>
      <c r="K12" s="76">
        <f t="shared" si="13"/>
        <v>7.1616797521640567</v>
      </c>
      <c r="L12" s="77">
        <f t="shared" si="3"/>
        <v>3.4048493915119611</v>
      </c>
      <c r="M12" s="77">
        <f t="shared" si="4"/>
        <v>1.8238149636630383</v>
      </c>
      <c r="N12" s="77">
        <f t="shared" si="5"/>
        <v>12.390344107339056</v>
      </c>
      <c r="O12" s="78">
        <f t="shared" si="6"/>
        <v>3.0415234337696102</v>
      </c>
      <c r="P12" s="61"/>
      <c r="T12" s="257">
        <f t="shared" si="14"/>
        <v>0.75</v>
      </c>
      <c r="U12" s="80">
        <f t="shared" si="15"/>
        <v>0.75</v>
      </c>
      <c r="V12" s="80">
        <f t="shared" si="16"/>
        <v>0.75</v>
      </c>
      <c r="W12" s="80">
        <f t="shared" si="17"/>
        <v>0.51</v>
      </c>
      <c r="X12" s="80">
        <f t="shared" si="18"/>
        <v>0.75</v>
      </c>
      <c r="Z12" s="81">
        <f t="shared" si="7"/>
        <v>0.75</v>
      </c>
      <c r="AA12" s="82">
        <f>INDEX('Table_Previous FAR'!$B$5:$K$83,MATCH(Calculation!D12,'Table_Previous FAR'!$B$5:$B$83,0),MATCH(Calculation!$AA$7,'Table_Previous FAR'!$B$5:$K$5,))</f>
        <v>0.73</v>
      </c>
      <c r="AB12" s="73">
        <f>INDEX(Parameter!$C$19:$L$97, MATCH(Calculation!$D12,Parameter!$C$19:$C$97,0),MATCH(Calculation!AB$7,Parameter!$C$19:$L$19,0))</f>
        <v>40503030</v>
      </c>
      <c r="AC12" s="73">
        <f>INDEX(Parameter!$C$19:$L$97, MATCH(Calculation!$D12,Parameter!$C$19:$C$97,0),MATCH(Calculation!AC$7,Parameter!$C$19:$L$19,0))</f>
        <v>26707206</v>
      </c>
      <c r="AD12" s="73">
        <f>INDEX(Parameter!$C$19:$L$97, MATCH(Calculation!$D12,Parameter!$C$19:$C$97,0),MATCH(Calculation!AD$7,Parameter!$C$19:$L$19,0))</f>
        <v>13795824</v>
      </c>
      <c r="AE12" s="73">
        <f t="shared" si="19"/>
        <v>30377272.5</v>
      </c>
      <c r="AF12" s="32">
        <f t="shared" si="8"/>
        <v>10125757.5</v>
      </c>
      <c r="AG12" s="185">
        <f t="shared" si="9"/>
        <v>3670066.5</v>
      </c>
      <c r="AH12" s="186">
        <f t="shared" si="10"/>
        <v>-3670066.5</v>
      </c>
      <c r="AI12" s="179">
        <f t="shared" si="20"/>
        <v>0.1374185865792176</v>
      </c>
      <c r="AJ12" s="83">
        <f t="shared" si="21"/>
        <v>-0.26602735001548294</v>
      </c>
      <c r="AK12" s="81">
        <f t="shared" si="22"/>
        <v>-5.7200657847889538E-2</v>
      </c>
      <c r="AL12" s="82">
        <f t="shared" si="23"/>
        <v>-5.7200657847889538E-2</v>
      </c>
      <c r="AM12" s="42" t="str">
        <f t="shared" si="11"/>
        <v>Waitomo District</v>
      </c>
      <c r="AN12" s="206">
        <f t="shared" si="24"/>
        <v>0.73</v>
      </c>
      <c r="AO12" s="202">
        <f t="shared" si="25"/>
        <v>0.75</v>
      </c>
      <c r="AQ12" s="84">
        <f>MIN(AC10,AE10)</f>
        <v>7815948</v>
      </c>
      <c r="AR12" s="84">
        <f>AE10-AQ12</f>
        <v>1828711.5</v>
      </c>
      <c r="AS12" s="84">
        <f>AC10-AQ12</f>
        <v>0</v>
      </c>
      <c r="AT12" s="84"/>
      <c r="AU12" s="84"/>
      <c r="AV12" s="84"/>
    </row>
    <row r="13" spans="2:48" ht="13.8" thickBot="1" x14ac:dyDescent="0.3">
      <c r="B13" s="85">
        <f t="shared" si="0"/>
        <v>6</v>
      </c>
      <c r="C13" s="86">
        <v>39</v>
      </c>
      <c r="D13" s="7" t="str">
        <f>INDEX(Parameter!$B$19:$C$97,MATCH(Calculation!$C13,Parameter!$B$19:$B$97,0),MATCH(Calculation!D$7,Parameter!$B$19:$C$19,0))</f>
        <v>Ruapehu District</v>
      </c>
      <c r="E13" s="73">
        <f>INDEX(Parameter!$B$19:$H$97,MATCH(Calculation!$C13,Parameter!$B$19:$B$97,0),MATCH(Calculation!E$7,Parameter!$B$19:$H$19,0))</f>
        <v>8941</v>
      </c>
      <c r="F13" s="74">
        <f>INDEX(Parameter!$B$19:$H$97,MATCH(Calculation!$C13,Parameter!$B$19:$B$97,0),MATCH(Calculation!F$7,Parameter!$B$19:$H$19,0))</f>
        <v>1088.0904216427004</v>
      </c>
      <c r="G13" s="75">
        <f>INDEX(Parameter!$B$19:$H$97,MATCH(Calculation!$C13,Parameter!$B$19:$B$97,0),MATCH(Calculation!G$7,Parameter!$B$19:$H$19,0))</f>
        <v>2.4978247651091957E-7</v>
      </c>
      <c r="H13" s="76">
        <f t="shared" si="12"/>
        <v>-0.44208060912184716</v>
      </c>
      <c r="I13" s="77">
        <f t="shared" si="1"/>
        <v>1.4196558454089077</v>
      </c>
      <c r="J13" s="78">
        <f t="shared" si="2"/>
        <v>0.87677875894371415</v>
      </c>
      <c r="K13" s="76">
        <f t="shared" si="13"/>
        <v>7.1185949088498806</v>
      </c>
      <c r="L13" s="77">
        <f t="shared" si="3"/>
        <v>3.4870405636711865</v>
      </c>
      <c r="M13" s="77">
        <f t="shared" si="4"/>
        <v>1.7203023668262136</v>
      </c>
      <c r="N13" s="77">
        <f t="shared" si="5"/>
        <v>12.325937839347281</v>
      </c>
      <c r="O13" s="78">
        <f t="shared" si="6"/>
        <v>2.9771171657778357</v>
      </c>
      <c r="P13" s="61"/>
      <c r="T13" s="257">
        <f t="shared" si="14"/>
        <v>0.74</v>
      </c>
      <c r="U13" s="80">
        <f t="shared" si="15"/>
        <v>0.75</v>
      </c>
      <c r="V13" s="80">
        <f t="shared" si="16"/>
        <v>0.74</v>
      </c>
      <c r="W13" s="80">
        <f t="shared" si="17"/>
        <v>0.51</v>
      </c>
      <c r="X13" s="80">
        <f t="shared" si="18"/>
        <v>0.74</v>
      </c>
      <c r="Z13" s="81">
        <f t="shared" si="7"/>
        <v>0.74</v>
      </c>
      <c r="AA13" s="82">
        <f>INDEX('Table_Previous FAR'!$B$5:$K$83,MATCH(Calculation!D13,'Table_Previous FAR'!$B$5:$B$83,0),MATCH(Calculation!$AA$7,'Table_Previous FAR'!$B$5:$K$5,))</f>
        <v>0.72</v>
      </c>
      <c r="AB13" s="73">
        <f>INDEX(Parameter!$C$19:$L$97, MATCH(Calculation!$D13,Parameter!$C$19:$C$97,0),MATCH(Calculation!AB$7,Parameter!$C$19:$L$19,0))</f>
        <v>47244988</v>
      </c>
      <c r="AC13" s="73">
        <f>INDEX(Parameter!$C$19:$L$97, MATCH(Calculation!$D13,Parameter!$C$19:$C$97,0),MATCH(Calculation!AC$7,Parameter!$C$19:$L$19,0))</f>
        <v>31683758</v>
      </c>
      <c r="AD13" s="73">
        <f>INDEX(Parameter!$C$19:$L$97, MATCH(Calculation!$D13,Parameter!$C$19:$C$97,0),MATCH(Calculation!AD$7,Parameter!$C$19:$L$19,0))</f>
        <v>15561230</v>
      </c>
      <c r="AE13" s="73">
        <f t="shared" si="19"/>
        <v>34961291.119999997</v>
      </c>
      <c r="AF13" s="32">
        <f t="shared" si="8"/>
        <v>12283696.880000003</v>
      </c>
      <c r="AG13" s="185">
        <f t="shared" si="9"/>
        <v>3277533.1199999973</v>
      </c>
      <c r="AH13" s="186">
        <f t="shared" si="10"/>
        <v>-3277533.1199999973</v>
      </c>
      <c r="AI13" s="179">
        <f t="shared" si="20"/>
        <v>0.1034452137906115</v>
      </c>
      <c r="AJ13" s="83">
        <f t="shared" si="21"/>
        <v>-0.21062172591755263</v>
      </c>
      <c r="AK13" s="81">
        <f t="shared" si="22"/>
        <v>-5.1082739395116067E-2</v>
      </c>
      <c r="AL13" s="82">
        <f t="shared" si="23"/>
        <v>-5.1082739395116067E-2</v>
      </c>
      <c r="AM13" s="42" t="str">
        <f t="shared" si="11"/>
        <v>Ruapehu District</v>
      </c>
      <c r="AN13" s="206">
        <f t="shared" si="24"/>
        <v>0.72</v>
      </c>
      <c r="AO13" s="202">
        <f t="shared" si="25"/>
        <v>0.74</v>
      </c>
      <c r="AQ13" s="84"/>
      <c r="AR13" s="84"/>
      <c r="AS13" s="84"/>
      <c r="AT13" s="84">
        <f>MIN(AD10,AF10)</f>
        <v>3214886.5</v>
      </c>
      <c r="AU13" s="84">
        <f>AF10-AT13</f>
        <v>0</v>
      </c>
      <c r="AV13" s="84">
        <f>AD10-AT13</f>
        <v>1828711.5</v>
      </c>
    </row>
    <row r="14" spans="2:48" x14ac:dyDescent="0.25">
      <c r="B14" s="85">
        <f t="shared" si="0"/>
        <v>7</v>
      </c>
      <c r="C14" s="86">
        <v>63</v>
      </c>
      <c r="D14" s="7" t="str">
        <f>INDEX(Parameter!$B$19:$C$97,MATCH(Calculation!$C14,Parameter!$B$19:$B$97,0),MATCH(Calculation!D$7,Parameter!$B$19:$C$19,0))</f>
        <v>Buller District</v>
      </c>
      <c r="E14" s="73">
        <f>INDEX(Parameter!$B$19:$H$97,MATCH(Calculation!$C14,Parameter!$B$19:$B$97,0),MATCH(Calculation!E$7,Parameter!$B$19:$H$19,0))</f>
        <v>7333</v>
      </c>
      <c r="F14" s="74">
        <f>INDEX(Parameter!$B$19:$H$97,MATCH(Calculation!$C14,Parameter!$B$19:$B$97,0),MATCH(Calculation!F$7,Parameter!$B$19:$H$19,0))</f>
        <v>1068.0704666457877</v>
      </c>
      <c r="G14" s="75">
        <f>INDEX(Parameter!$B$19:$H$97,MATCH(Calculation!$C14,Parameter!$B$19:$B$97,0),MATCH(Calculation!G$7,Parameter!$B$19:$H$19,0))</f>
        <v>2.6774432814319872E-7</v>
      </c>
      <c r="H14" s="76">
        <f t="shared" si="12"/>
        <v>-0.46268139058161384</v>
      </c>
      <c r="I14" s="77">
        <f t="shared" si="1"/>
        <v>1.0301992815445999</v>
      </c>
      <c r="J14" s="78">
        <f t="shared" si="2"/>
        <v>1.0050385908039368</v>
      </c>
      <c r="K14" s="76">
        <f t="shared" si="13"/>
        <v>7.1391956903096476</v>
      </c>
      <c r="L14" s="77">
        <f t="shared" si="3"/>
        <v>3.0975839998068784</v>
      </c>
      <c r="M14" s="77">
        <f t="shared" si="4"/>
        <v>1.8485621986864365</v>
      </c>
      <c r="N14" s="77">
        <f t="shared" si="5"/>
        <v>12.085341888802962</v>
      </c>
      <c r="O14" s="78">
        <f t="shared" si="6"/>
        <v>2.7365212152335161</v>
      </c>
      <c r="P14" s="61"/>
      <c r="Q14" s="87" t="s">
        <v>98</v>
      </c>
      <c r="R14" s="88"/>
      <c r="S14" s="89"/>
      <c r="T14" s="257">
        <f t="shared" si="14"/>
        <v>0.72</v>
      </c>
      <c r="U14" s="80">
        <f t="shared" si="15"/>
        <v>0.75</v>
      </c>
      <c r="V14" s="80">
        <f t="shared" si="16"/>
        <v>0.72</v>
      </c>
      <c r="W14" s="80">
        <f t="shared" si="17"/>
        <v>0.51</v>
      </c>
      <c r="X14" s="80">
        <f t="shared" si="18"/>
        <v>0.72</v>
      </c>
      <c r="Y14" s="89"/>
      <c r="Z14" s="81">
        <f t="shared" si="7"/>
        <v>0.72</v>
      </c>
      <c r="AA14" s="82">
        <f>INDEX('Table_Previous FAR'!$B$5:$K$83,MATCH(Calculation!D14,'Table_Previous FAR'!$B$5:$B$83,0),MATCH(Calculation!$AA$7,'Table_Previous FAR'!$B$5:$K$5,))</f>
        <v>0.66</v>
      </c>
      <c r="AB14" s="73">
        <f>INDEX(Parameter!$C$19:$L$97, MATCH(Calculation!$D14,Parameter!$C$19:$C$97,0),MATCH(Calculation!AB$7,Parameter!$C$19:$L$19,0))</f>
        <v>15147567</v>
      </c>
      <c r="AC14" s="73">
        <f>INDEX(Parameter!$C$19:$L$97, MATCH(Calculation!$D14,Parameter!$C$19:$C$97,0),MATCH(Calculation!AC$7,Parameter!$C$19:$L$19,0))</f>
        <v>9557662</v>
      </c>
      <c r="AD14" s="73">
        <f>INDEX(Parameter!$C$19:$L$97, MATCH(Calculation!$D14,Parameter!$C$19:$C$97,0),MATCH(Calculation!AD$7,Parameter!$C$19:$L$19,0))</f>
        <v>5589905</v>
      </c>
      <c r="AE14" s="73">
        <f t="shared" si="19"/>
        <v>10906248.24</v>
      </c>
      <c r="AF14" s="32">
        <f t="shared" si="8"/>
        <v>4241318.76</v>
      </c>
      <c r="AG14" s="185">
        <f t="shared" si="9"/>
        <v>1348586.2400000002</v>
      </c>
      <c r="AH14" s="186">
        <f t="shared" si="10"/>
        <v>-1348586.2400000002</v>
      </c>
      <c r="AI14" s="179">
        <f t="shared" si="20"/>
        <v>0.14110001378998338</v>
      </c>
      <c r="AJ14" s="83">
        <f t="shared" si="21"/>
        <v>-0.24125387461862058</v>
      </c>
      <c r="AK14" s="81">
        <f t="shared" si="22"/>
        <v>-2.1018698187788114E-2</v>
      </c>
      <c r="AL14" s="82">
        <f t="shared" si="23"/>
        <v>-2.1018698187788114E-2</v>
      </c>
      <c r="AM14" s="42" t="str">
        <f t="shared" si="11"/>
        <v>Buller District</v>
      </c>
      <c r="AN14" s="206">
        <f t="shared" si="24"/>
        <v>0.66</v>
      </c>
      <c r="AO14" s="202">
        <f t="shared" si="25"/>
        <v>0.72</v>
      </c>
      <c r="AQ14" s="84">
        <f>MIN(AC11,AE11)</f>
        <v>1922025</v>
      </c>
      <c r="AR14" s="84">
        <f>AE11-AQ14</f>
        <v>78865.5</v>
      </c>
      <c r="AS14" s="84">
        <f>AC11-AQ14</f>
        <v>0</v>
      </c>
      <c r="AT14" s="84"/>
      <c r="AU14" s="84"/>
      <c r="AV14" s="84"/>
    </row>
    <row r="15" spans="2:48" x14ac:dyDescent="0.25">
      <c r="B15" s="85">
        <f t="shared" si="0"/>
        <v>8</v>
      </c>
      <c r="C15" s="86">
        <v>40</v>
      </c>
      <c r="D15" s="7" t="str">
        <f>INDEX(Parameter!$B$19:$C$97,MATCH(Calculation!$C15,Parameter!$B$19:$B$97,0),MATCH(Calculation!D$7,Parameter!$B$19:$C$19,0))</f>
        <v>Tararua District</v>
      </c>
      <c r="E15" s="73">
        <f>INDEX(Parameter!$B$19:$H$97,MATCH(Calculation!$C15,Parameter!$B$19:$B$97,0),MATCH(Calculation!E$7,Parameter!$B$19:$H$19,0))</f>
        <v>9778</v>
      </c>
      <c r="F15" s="74">
        <f>INDEX(Parameter!$B$19:$H$97,MATCH(Calculation!$C15,Parameter!$B$19:$B$97,0),MATCH(Calculation!F$7,Parameter!$B$19:$H$19,0))</f>
        <v>1045.5158969210174</v>
      </c>
      <c r="G15" s="75">
        <f>INDEX(Parameter!$B$19:$H$97,MATCH(Calculation!$C15,Parameter!$B$19:$B$97,0),MATCH(Calculation!G$7,Parameter!$B$19:$H$19,0))</f>
        <v>2.7653102433591104E-7</v>
      </c>
      <c r="H15" s="76">
        <f t="shared" si="12"/>
        <v>-0.43135744116051339</v>
      </c>
      <c r="I15" s="77">
        <f t="shared" si="1"/>
        <v>0.59143579652170231</v>
      </c>
      <c r="J15" s="78">
        <f t="shared" si="2"/>
        <v>1.0677815751774882</v>
      </c>
      <c r="K15" s="76">
        <f t="shared" si="13"/>
        <v>7.1078717408885472</v>
      </c>
      <c r="L15" s="77">
        <f t="shared" si="3"/>
        <v>2.6588205147839812</v>
      </c>
      <c r="M15" s="77">
        <f t="shared" si="4"/>
        <v>1.9113051830599876</v>
      </c>
      <c r="N15" s="77">
        <f t="shared" si="5"/>
        <v>11.677997438732515</v>
      </c>
      <c r="O15" s="78">
        <f t="shared" si="6"/>
        <v>2.3291767651630693</v>
      </c>
      <c r="P15" s="61"/>
      <c r="Q15" s="90" t="s">
        <v>88</v>
      </c>
      <c r="R15" s="91">
        <f>Parameter!J6</f>
        <v>0.75</v>
      </c>
      <c r="S15" s="89"/>
      <c r="T15" s="257">
        <f t="shared" si="14"/>
        <v>0.69</v>
      </c>
      <c r="U15" s="80">
        <f t="shared" si="15"/>
        <v>0.75</v>
      </c>
      <c r="V15" s="80">
        <f t="shared" si="16"/>
        <v>0.69</v>
      </c>
      <c r="W15" s="80">
        <f t="shared" si="17"/>
        <v>0.51</v>
      </c>
      <c r="X15" s="80">
        <f t="shared" si="18"/>
        <v>0.69</v>
      </c>
      <c r="Y15" s="89"/>
      <c r="Z15" s="81">
        <f t="shared" si="7"/>
        <v>0.69</v>
      </c>
      <c r="AA15" s="82">
        <f>INDEX('Table_Previous FAR'!$B$5:$K$83,MATCH(Calculation!D15,'Table_Previous FAR'!$B$5:$B$83,0),MATCH(Calculation!$AA$7,'Table_Previous FAR'!$B$5:$K$5,))</f>
        <v>0.66</v>
      </c>
      <c r="AB15" s="73">
        <f>INDEX(Parameter!$C$19:$L$97, MATCH(Calculation!$D15,Parameter!$C$19:$C$97,0),MATCH(Calculation!AB$7,Parameter!$C$19:$L$19,0))</f>
        <v>47334475</v>
      </c>
      <c r="AC15" s="73">
        <f>INDEX(Parameter!$C$19:$L$97, MATCH(Calculation!$D15,Parameter!$C$19:$C$97,0),MATCH(Calculation!AC$7,Parameter!$C$19:$L$19,0))</f>
        <v>30328990</v>
      </c>
      <c r="AD15" s="73">
        <f>INDEX(Parameter!$C$19:$L$97, MATCH(Calculation!$D15,Parameter!$C$19:$C$97,0),MATCH(Calculation!AD$7,Parameter!$C$19:$L$19,0))</f>
        <v>17005485</v>
      </c>
      <c r="AE15" s="73">
        <f t="shared" si="19"/>
        <v>32660787.749999996</v>
      </c>
      <c r="AF15" s="32">
        <f t="shared" si="8"/>
        <v>14673687.250000004</v>
      </c>
      <c r="AG15" s="185">
        <f t="shared" si="9"/>
        <v>2331797.7499999963</v>
      </c>
      <c r="AH15" s="186">
        <f t="shared" si="10"/>
        <v>-2331797.7499999963</v>
      </c>
      <c r="AI15" s="179">
        <f t="shared" si="20"/>
        <v>7.6883461994612948E-2</v>
      </c>
      <c r="AJ15" s="83">
        <f t="shared" si="21"/>
        <v>-0.13712033205756827</v>
      </c>
      <c r="AK15" s="81">
        <f t="shared" si="22"/>
        <v>-3.6342765251863543E-2</v>
      </c>
      <c r="AL15" s="82">
        <f t="shared" si="23"/>
        <v>-3.6342765251863543E-2</v>
      </c>
      <c r="AM15" s="42" t="str">
        <f t="shared" si="11"/>
        <v>Tararua District</v>
      </c>
      <c r="AN15" s="206">
        <f t="shared" si="24"/>
        <v>0.66</v>
      </c>
      <c r="AO15" s="202">
        <f t="shared" si="25"/>
        <v>0.69</v>
      </c>
      <c r="AQ15" s="84"/>
      <c r="AR15" s="84"/>
      <c r="AS15" s="84"/>
      <c r="AT15" s="84">
        <f>MIN(AD11,AF11)</f>
        <v>666963.5</v>
      </c>
      <c r="AU15" s="84">
        <f>AF11-AT15</f>
        <v>0</v>
      </c>
      <c r="AV15" s="84">
        <f>AD11-AT15</f>
        <v>78865.5</v>
      </c>
    </row>
    <row r="16" spans="2:48" x14ac:dyDescent="0.25">
      <c r="B16" s="85">
        <f t="shared" si="0"/>
        <v>9</v>
      </c>
      <c r="C16" s="86">
        <v>1</v>
      </c>
      <c r="D16" s="7" t="str">
        <f>INDEX(Parameter!$B$19:$C$97,MATCH(Calculation!$C16,Parameter!$B$19:$B$97,0),MATCH(Calculation!D$7,Parameter!$B$19:$C$19,0))</f>
        <v>Far North District</v>
      </c>
      <c r="E16" s="73">
        <f>INDEX(Parameter!$B$19:$H$97,MATCH(Calculation!$C16,Parameter!$B$19:$B$97,0),MATCH(Calculation!E$7,Parameter!$B$19:$H$19,0))</f>
        <v>36929</v>
      </c>
      <c r="F16" s="74">
        <f>INDEX(Parameter!$B$19:$H$97,MATCH(Calculation!$C16,Parameter!$B$19:$B$97,0),MATCH(Calculation!F$7,Parameter!$B$19:$H$19,0))</f>
        <v>1113.4297733437543</v>
      </c>
      <c r="G16" s="75">
        <f>INDEX(Parameter!$B$19:$H$97,MATCH(Calculation!$C16,Parameter!$B$19:$B$97,0),MATCH(Calculation!G$7,Parameter!$B$19:$H$19,0))</f>
        <v>1.2898992212861687E-7</v>
      </c>
      <c r="H16" s="76">
        <f t="shared" si="12"/>
        <v>-8.3514271126853154E-2</v>
      </c>
      <c r="I16" s="77">
        <f t="shared" si="1"/>
        <v>1.9125928597809911</v>
      </c>
      <c r="J16" s="78">
        <f t="shared" si="2"/>
        <v>1.4237800905799325E-2</v>
      </c>
      <c r="K16" s="76">
        <f t="shared" si="13"/>
        <v>6.7600285708548871</v>
      </c>
      <c r="L16" s="77">
        <f t="shared" si="3"/>
        <v>3.97997757804327</v>
      </c>
      <c r="M16" s="77">
        <f t="shared" si="4"/>
        <v>0.85776140878829887</v>
      </c>
      <c r="N16" s="77">
        <f t="shared" si="5"/>
        <v>11.597767557686456</v>
      </c>
      <c r="O16" s="78">
        <f t="shared" si="6"/>
        <v>2.2489468841170108</v>
      </c>
      <c r="P16" s="61"/>
      <c r="Q16" s="90" t="s">
        <v>131</v>
      </c>
      <c r="R16" s="91">
        <f>Parameter!J7</f>
        <v>0.88</v>
      </c>
      <c r="S16" s="89"/>
      <c r="T16" s="257">
        <f t="shared" si="14"/>
        <v>0.69</v>
      </c>
      <c r="U16" s="80">
        <f t="shared" si="15"/>
        <v>0.75</v>
      </c>
      <c r="V16" s="80">
        <f t="shared" si="16"/>
        <v>0.69</v>
      </c>
      <c r="W16" s="80">
        <f t="shared" si="17"/>
        <v>0.51</v>
      </c>
      <c r="X16" s="80">
        <f t="shared" si="18"/>
        <v>0.69</v>
      </c>
      <c r="Y16" s="89"/>
      <c r="Z16" s="81">
        <f t="shared" si="7"/>
        <v>0.69</v>
      </c>
      <c r="AA16" s="82">
        <f>INDEX('Table_Previous FAR'!$B$5:$K$83,MATCH(Calculation!D16,'Table_Previous FAR'!$B$5:$B$83,0),MATCH(Calculation!$AA$7,'Table_Previous FAR'!$B$5:$K$5,))</f>
        <v>0.66</v>
      </c>
      <c r="AB16" s="73">
        <f>INDEX(Parameter!$C$19:$L$97, MATCH(Calculation!$D16,Parameter!$C$19:$C$97,0),MATCH(Calculation!AB$7,Parameter!$C$19:$L$19,0))</f>
        <v>119905293</v>
      </c>
      <c r="AC16" s="73">
        <f>INDEX(Parameter!$C$19:$L$97, MATCH(Calculation!$D16,Parameter!$C$19:$C$97,0),MATCH(Calculation!AC$7,Parameter!$C$19:$L$19,0))</f>
        <v>73967164</v>
      </c>
      <c r="AD16" s="73">
        <f>INDEX(Parameter!$C$19:$L$97, MATCH(Calculation!$D16,Parameter!$C$19:$C$97,0),MATCH(Calculation!AD$7,Parameter!$C$19:$L$19,0))</f>
        <v>45938129</v>
      </c>
      <c r="AE16" s="73">
        <f t="shared" si="19"/>
        <v>82734652.169999987</v>
      </c>
      <c r="AF16" s="32">
        <f t="shared" si="8"/>
        <v>37170640.830000013</v>
      </c>
      <c r="AG16" s="185">
        <f t="shared" si="9"/>
        <v>8767488.1699999869</v>
      </c>
      <c r="AH16" s="186">
        <f t="shared" si="10"/>
        <v>-8767488.1699999869</v>
      </c>
      <c r="AI16" s="179">
        <f t="shared" si="20"/>
        <v>0.11853216611089736</v>
      </c>
      <c r="AJ16" s="83">
        <f t="shared" si="21"/>
        <v>-0.19085427205796707</v>
      </c>
      <c r="AK16" s="81">
        <f t="shared" si="22"/>
        <v>-0.13664768499360663</v>
      </c>
      <c r="AL16" s="82">
        <f t="shared" si="23"/>
        <v>-0.13664768499360663</v>
      </c>
      <c r="AM16" s="42" t="str">
        <f t="shared" si="11"/>
        <v>Far North District</v>
      </c>
      <c r="AN16" s="206">
        <f t="shared" si="24"/>
        <v>0.66</v>
      </c>
      <c r="AO16" s="202">
        <f t="shared" si="25"/>
        <v>0.69</v>
      </c>
      <c r="AQ16" s="84">
        <f>MIN(AC12,AE12)</f>
        <v>26707206</v>
      </c>
      <c r="AR16" s="84">
        <f>AE12-AQ16</f>
        <v>3670066.5</v>
      </c>
      <c r="AS16" s="84">
        <f>AC12-AQ16</f>
        <v>0</v>
      </c>
      <c r="AT16" s="84"/>
      <c r="AU16" s="84"/>
      <c r="AV16" s="84"/>
    </row>
    <row r="17" spans="2:48" x14ac:dyDescent="0.25">
      <c r="B17" s="85">
        <f t="shared" si="0"/>
        <v>10</v>
      </c>
      <c r="C17" s="86">
        <v>27</v>
      </c>
      <c r="D17" s="7" t="str">
        <f>INDEX(Parameter!$B$19:$C$97,MATCH(Calculation!$C17,Parameter!$B$19:$B$97,0),MATCH(Calculation!D$7,Parameter!$B$19:$C$19,0))</f>
        <v>Gisborne District</v>
      </c>
      <c r="E17" s="73">
        <f>INDEX(Parameter!$B$19:$H$97,MATCH(Calculation!$C17,Parameter!$B$19:$B$97,0),MATCH(Calculation!E$7,Parameter!$B$19:$H$19,0))</f>
        <v>23312</v>
      </c>
      <c r="F17" s="74">
        <f>INDEX(Parameter!$B$19:$H$97,MATCH(Calculation!$C17,Parameter!$B$19:$B$97,0),MATCH(Calculation!F$7,Parameter!$B$19:$H$19,0))</f>
        <v>1091.7417155841697</v>
      </c>
      <c r="G17" s="75">
        <f>INDEX(Parameter!$B$19:$H$97,MATCH(Calculation!$C17,Parameter!$B$19:$B$97,0),MATCH(Calculation!G$7,Parameter!$B$19:$H$19,0))</f>
        <v>1.2118693869568682E-7</v>
      </c>
      <c r="H17" s="76">
        <f t="shared" si="12"/>
        <v>-0.25796753054081034</v>
      </c>
      <c r="I17" s="77">
        <f t="shared" si="1"/>
        <v>1.4906859946935822</v>
      </c>
      <c r="J17" s="78">
        <f t="shared" si="2"/>
        <v>-4.1480805594499452E-2</v>
      </c>
      <c r="K17" s="76">
        <f t="shared" si="13"/>
        <v>6.9344818302688438</v>
      </c>
      <c r="L17" s="77">
        <f t="shared" si="3"/>
        <v>3.5580707129558609</v>
      </c>
      <c r="M17" s="77">
        <f t="shared" si="4"/>
        <v>0.80204280228800018</v>
      </c>
      <c r="N17" s="77">
        <f t="shared" si="5"/>
        <v>11.294595345512704</v>
      </c>
      <c r="O17" s="78">
        <f t="shared" si="6"/>
        <v>1.9457746719432585</v>
      </c>
      <c r="P17" s="61"/>
      <c r="Q17" s="90" t="s">
        <v>99</v>
      </c>
      <c r="R17" s="91">
        <f>Parameter!J9</f>
        <v>0.51</v>
      </c>
      <c r="S17" s="89"/>
      <c r="T17" s="257">
        <f t="shared" si="14"/>
        <v>0.66</v>
      </c>
      <c r="U17" s="80">
        <f t="shared" si="15"/>
        <v>0.75</v>
      </c>
      <c r="V17" s="80">
        <f t="shared" si="16"/>
        <v>0.66</v>
      </c>
      <c r="W17" s="80">
        <f t="shared" si="17"/>
        <v>0.51</v>
      </c>
      <c r="X17" s="80">
        <f t="shared" si="18"/>
        <v>0.66</v>
      </c>
      <c r="Y17" s="89"/>
      <c r="Z17" s="81">
        <f t="shared" si="7"/>
        <v>0.66</v>
      </c>
      <c r="AA17" s="82">
        <f>INDEX('Table_Previous FAR'!$B$5:$K$83,MATCH(Calculation!D17,'Table_Previous FAR'!$B$5:$B$83,0),MATCH(Calculation!$AA$7,'Table_Previous FAR'!$B$5:$K$5,))</f>
        <v>0.68</v>
      </c>
      <c r="AB17" s="73">
        <f>INDEX(Parameter!$C$19:$L$97, MATCH(Calculation!$D17,Parameter!$C$19:$C$97,0),MATCH(Calculation!AB$7,Parameter!$C$19:$L$19,0))</f>
        <v>91854282</v>
      </c>
      <c r="AC17" s="73">
        <f>INDEX(Parameter!$C$19:$L$97, MATCH(Calculation!$D17,Parameter!$C$19:$C$97,0),MATCH(Calculation!AC$7,Parameter!$C$19:$L$19,0))</f>
        <v>58953917</v>
      </c>
      <c r="AD17" s="73">
        <f>INDEX(Parameter!$C$19:$L$97, MATCH(Calculation!$D17,Parameter!$C$19:$C$97,0),MATCH(Calculation!AD$7,Parameter!$C$19:$L$19,0))</f>
        <v>32900365</v>
      </c>
      <c r="AE17" s="73">
        <f t="shared" si="19"/>
        <v>60623826.120000005</v>
      </c>
      <c r="AF17" s="32">
        <f t="shared" si="8"/>
        <v>31230455.879999995</v>
      </c>
      <c r="AG17" s="185">
        <f t="shared" si="9"/>
        <v>1669909.1200000048</v>
      </c>
      <c r="AH17" s="186">
        <f t="shared" si="10"/>
        <v>-1669909.1200000048</v>
      </c>
      <c r="AI17" s="179">
        <f t="shared" si="20"/>
        <v>2.8325668674398764E-2</v>
      </c>
      <c r="AJ17" s="83">
        <f t="shared" si="21"/>
        <v>-5.0756553004807234E-2</v>
      </c>
      <c r="AK17" s="81">
        <f t="shared" si="22"/>
        <v>-2.602674916386136E-2</v>
      </c>
      <c r="AL17" s="82">
        <f t="shared" si="23"/>
        <v>-2.602674916386136E-2</v>
      </c>
      <c r="AM17" s="42" t="str">
        <f t="shared" si="11"/>
        <v>Gisborne District</v>
      </c>
      <c r="AN17" s="206">
        <f t="shared" si="24"/>
        <v>0.68</v>
      </c>
      <c r="AO17" s="202">
        <f t="shared" si="25"/>
        <v>0.66</v>
      </c>
      <c r="AQ17" s="84"/>
      <c r="AR17" s="84"/>
      <c r="AS17" s="84"/>
      <c r="AT17" s="84">
        <f>MIN(AD12,AF12)</f>
        <v>10125757.5</v>
      </c>
      <c r="AU17" s="84">
        <f>AF12-AT17</f>
        <v>0</v>
      </c>
      <c r="AV17" s="84">
        <f>AD12-AT17</f>
        <v>3670066.5</v>
      </c>
    </row>
    <row r="18" spans="2:48" x14ac:dyDescent="0.25">
      <c r="B18" s="85">
        <f t="shared" si="0"/>
        <v>11</v>
      </c>
      <c r="C18" s="86">
        <v>67</v>
      </c>
      <c r="D18" s="7" t="str">
        <f>INDEX(Parameter!$B$19:$C$97,MATCH(Calculation!$C18,Parameter!$B$19:$B$97,0),MATCH(Calculation!D$7,Parameter!$B$19:$C$19,0))</f>
        <v>Clutha District</v>
      </c>
      <c r="E18" s="73">
        <f>INDEX(Parameter!$B$19:$H$97,MATCH(Calculation!$C18,Parameter!$B$19:$B$97,0),MATCH(Calculation!E$7,Parameter!$B$19:$H$19,0))</f>
        <v>11188</v>
      </c>
      <c r="F18" s="74">
        <f>INDEX(Parameter!$B$19:$H$97,MATCH(Calculation!$C18,Parameter!$B$19:$B$97,0),MATCH(Calculation!F$7,Parameter!$B$19:$H$19,0))</f>
        <v>994.69711375212228</v>
      </c>
      <c r="G18" s="75">
        <f>INDEX(Parameter!$B$19:$H$97,MATCH(Calculation!$C18,Parameter!$B$19:$B$97,0),MATCH(Calculation!G$7,Parameter!$B$19:$H$19,0))</f>
        <v>3.4390172359157152E-7</v>
      </c>
      <c r="H18" s="76">
        <f t="shared" si="12"/>
        <v>-0.41329332308944927</v>
      </c>
      <c r="I18" s="77">
        <f t="shared" si="1"/>
        <v>-0.39716326255586892</v>
      </c>
      <c r="J18" s="78">
        <f t="shared" si="2"/>
        <v>1.5488541692361111</v>
      </c>
      <c r="K18" s="76">
        <f t="shared" si="13"/>
        <v>7.0898076228174824</v>
      </c>
      <c r="L18" s="77">
        <f t="shared" si="3"/>
        <v>1.6702214557064097</v>
      </c>
      <c r="M18" s="77">
        <f t="shared" si="4"/>
        <v>2.3923777771186105</v>
      </c>
      <c r="N18" s="77">
        <f t="shared" si="5"/>
        <v>11.152406855642504</v>
      </c>
      <c r="O18" s="78">
        <f t="shared" si="6"/>
        <v>1.8035861820730581</v>
      </c>
      <c r="P18" s="61"/>
      <c r="Q18" s="90" t="s">
        <v>100</v>
      </c>
      <c r="R18" s="91">
        <f>Parameter!J8</f>
        <v>0.53</v>
      </c>
      <c r="S18" s="89"/>
      <c r="T18" s="257">
        <f t="shared" si="14"/>
        <v>0.65</v>
      </c>
      <c r="U18" s="80">
        <f t="shared" si="15"/>
        <v>0.75</v>
      </c>
      <c r="V18" s="80">
        <f t="shared" si="16"/>
        <v>0.65</v>
      </c>
      <c r="W18" s="80">
        <f t="shared" si="17"/>
        <v>0.51</v>
      </c>
      <c r="X18" s="80">
        <f t="shared" si="18"/>
        <v>0.65</v>
      </c>
      <c r="Y18" s="89"/>
      <c r="Z18" s="81">
        <f t="shared" si="7"/>
        <v>0.65</v>
      </c>
      <c r="AA18" s="82">
        <f>INDEX('Table_Previous FAR'!$B$5:$K$83,MATCH(Calculation!D18,'Table_Previous FAR'!$B$5:$B$83,0),MATCH(Calculation!$AA$7,'Table_Previous FAR'!$B$5:$K$5,))</f>
        <v>0.59</v>
      </c>
      <c r="AB18" s="73">
        <f>INDEX(Parameter!$C$19:$L$97, MATCH(Calculation!$D18,Parameter!$C$19:$C$97,0),MATCH(Calculation!AB$7,Parameter!$C$19:$L$19,0))</f>
        <v>54939590</v>
      </c>
      <c r="AC18" s="73">
        <f>INDEX(Parameter!$C$19:$L$97, MATCH(Calculation!$D18,Parameter!$C$19:$C$97,0),MATCH(Calculation!AC$7,Parameter!$C$19:$L$19,0))</f>
        <v>33865995</v>
      </c>
      <c r="AD18" s="73">
        <f>INDEX(Parameter!$C$19:$L$97, MATCH(Calculation!$D18,Parameter!$C$19:$C$97,0),MATCH(Calculation!AD$7,Parameter!$C$19:$L$19,0))</f>
        <v>21073595</v>
      </c>
      <c r="AE18" s="73">
        <f t="shared" si="19"/>
        <v>35710733.5</v>
      </c>
      <c r="AF18" s="32">
        <f t="shared" si="8"/>
        <v>19228856.5</v>
      </c>
      <c r="AG18" s="185">
        <f t="shared" si="9"/>
        <v>1844738.5</v>
      </c>
      <c r="AH18" s="186">
        <f t="shared" si="10"/>
        <v>-1844738.5</v>
      </c>
      <c r="AI18" s="179">
        <f t="shared" si="20"/>
        <v>5.4471705319746253E-2</v>
      </c>
      <c r="AJ18" s="83">
        <f t="shared" si="21"/>
        <v>-8.7537911780121047E-2</v>
      </c>
      <c r="AK18" s="81">
        <f t="shared" si="22"/>
        <v>-2.8751592309656782E-2</v>
      </c>
      <c r="AL18" s="82">
        <f t="shared" si="23"/>
        <v>-2.8751592309656782E-2</v>
      </c>
      <c r="AM18" s="42" t="str">
        <f t="shared" si="11"/>
        <v>Clutha District</v>
      </c>
      <c r="AN18" s="206">
        <f t="shared" si="24"/>
        <v>0.59</v>
      </c>
      <c r="AO18" s="202">
        <f t="shared" si="25"/>
        <v>0.65</v>
      </c>
      <c r="AQ18" s="84">
        <f>MIN(AC13,AE13)</f>
        <v>31683758</v>
      </c>
      <c r="AR18" s="84">
        <f>AE13-AQ18</f>
        <v>3277533.1199999973</v>
      </c>
      <c r="AS18" s="84">
        <f>AC13-AQ18</f>
        <v>0</v>
      </c>
      <c r="AT18" s="84"/>
      <c r="AU18" s="84"/>
      <c r="AV18" s="84"/>
    </row>
    <row r="19" spans="2:48" x14ac:dyDescent="0.25">
      <c r="B19" s="85">
        <f t="shared" si="0"/>
        <v>12</v>
      </c>
      <c r="C19" s="86">
        <v>15</v>
      </c>
      <c r="D19" s="7" t="str">
        <f>INDEX(Parameter!$B$19:$C$97,MATCH(Calculation!$C19,Parameter!$B$19:$B$97,0),MATCH(Calculation!D$7,Parameter!$B$19:$C$19,0))</f>
        <v>South Waikato District</v>
      </c>
      <c r="E19" s="73">
        <f>INDEX(Parameter!$B$19:$H$97,MATCH(Calculation!$C19,Parameter!$B$19:$B$97,0),MATCH(Calculation!E$7,Parameter!$B$19:$H$19,0))</f>
        <v>10101</v>
      </c>
      <c r="F19" s="74">
        <f>INDEX(Parameter!$B$19:$H$97,MATCH(Calculation!$C19,Parameter!$B$19:$B$97,0),MATCH(Calculation!F$7,Parameter!$B$19:$H$19,0))</f>
        <v>1090.1372084320819</v>
      </c>
      <c r="G19" s="75">
        <f>INDEX(Parameter!$B$19:$H$97,MATCH(Calculation!$C19,Parameter!$B$19:$B$97,0),MATCH(Calculation!G$7,Parameter!$B$19:$H$19,0))</f>
        <v>7.1627833432371503E-8</v>
      </c>
      <c r="H19" s="76">
        <f t="shared" si="12"/>
        <v>-0.42721934886480151</v>
      </c>
      <c r="I19" s="77">
        <f t="shared" si="1"/>
        <v>1.4594728455009807</v>
      </c>
      <c r="J19" s="78">
        <f t="shared" si="2"/>
        <v>-0.395366509493354</v>
      </c>
      <c r="K19" s="76">
        <f t="shared" si="13"/>
        <v>7.1037336485928346</v>
      </c>
      <c r="L19" s="77">
        <f t="shared" si="3"/>
        <v>3.5268575637632593</v>
      </c>
      <c r="M19" s="77">
        <f t="shared" si="4"/>
        <v>0.44815709838914558</v>
      </c>
      <c r="N19" s="77">
        <f t="shared" si="5"/>
        <v>11.07874831074524</v>
      </c>
      <c r="O19" s="78">
        <f t="shared" si="6"/>
        <v>1.7299276371757948</v>
      </c>
      <c r="P19" s="61"/>
      <c r="Q19" s="90"/>
      <c r="R19" s="92"/>
      <c r="T19" s="257">
        <f t="shared" si="14"/>
        <v>0.64</v>
      </c>
      <c r="U19" s="80">
        <f t="shared" si="15"/>
        <v>0.75</v>
      </c>
      <c r="V19" s="80">
        <f t="shared" si="16"/>
        <v>0.64</v>
      </c>
      <c r="W19" s="80">
        <f t="shared" si="17"/>
        <v>0.51</v>
      </c>
      <c r="X19" s="80">
        <f t="shared" si="18"/>
        <v>0.64</v>
      </c>
      <c r="Y19" s="89"/>
      <c r="Z19" s="81">
        <f t="shared" si="7"/>
        <v>0.64</v>
      </c>
      <c r="AA19" s="82">
        <f>INDEX('Table_Previous FAR'!$B$5:$K$83,MATCH(Calculation!D19,'Table_Previous FAR'!$B$5:$B$83,0),MATCH(Calculation!$AA$7,'Table_Previous FAR'!$B$5:$K$5,))</f>
        <v>0.62</v>
      </c>
      <c r="AB19" s="73">
        <f>INDEX(Parameter!$C$19:$L$97, MATCH(Calculation!$D19,Parameter!$C$19:$C$97,0),MATCH(Calculation!AB$7,Parameter!$C$19:$L$19,0))</f>
        <v>24777685</v>
      </c>
      <c r="AC19" s="73">
        <f>INDEX(Parameter!$C$19:$L$97, MATCH(Calculation!$D19,Parameter!$C$19:$C$97,0),MATCH(Calculation!AC$7,Parameter!$C$19:$L$19,0))</f>
        <v>14714197</v>
      </c>
      <c r="AD19" s="73">
        <f>INDEX(Parameter!$C$19:$L$97, MATCH(Calculation!$D19,Parameter!$C$19:$C$97,0),MATCH(Calculation!AD$7,Parameter!$C$19:$L$19,0))</f>
        <v>10063488</v>
      </c>
      <c r="AE19" s="73">
        <f t="shared" si="19"/>
        <v>15857718.4</v>
      </c>
      <c r="AF19" s="32">
        <f t="shared" si="8"/>
        <v>8919966.5999999996</v>
      </c>
      <c r="AG19" s="185">
        <f t="shared" si="9"/>
        <v>1143521.4000000004</v>
      </c>
      <c r="AH19" s="186">
        <f t="shared" si="10"/>
        <v>-1143521.4000000004</v>
      </c>
      <c r="AI19" s="179">
        <f t="shared" si="20"/>
        <v>7.7715515158591417E-2</v>
      </c>
      <c r="AJ19" s="83">
        <f t="shared" si="21"/>
        <v>-0.11363072127675815</v>
      </c>
      <c r="AK19" s="81">
        <f t="shared" si="22"/>
        <v>-1.7822613389468462E-2</v>
      </c>
      <c r="AL19" s="82">
        <f t="shared" si="23"/>
        <v>-1.7822613389468462E-2</v>
      </c>
      <c r="AM19" s="42" t="str">
        <f t="shared" si="11"/>
        <v>South Waikato District</v>
      </c>
      <c r="AN19" s="206">
        <f t="shared" si="24"/>
        <v>0.62</v>
      </c>
      <c r="AO19" s="202">
        <f t="shared" si="25"/>
        <v>0.64</v>
      </c>
      <c r="AQ19" s="84"/>
      <c r="AR19" s="84"/>
      <c r="AS19" s="84"/>
      <c r="AT19" s="84">
        <f>MIN(AD13,AF13)</f>
        <v>12283696.880000003</v>
      </c>
      <c r="AU19" s="84">
        <f>AF13-AT19</f>
        <v>0</v>
      </c>
      <c r="AV19" s="84">
        <f>AD13-AT19</f>
        <v>3277533.1199999973</v>
      </c>
    </row>
    <row r="20" spans="2:48" x14ac:dyDescent="0.25">
      <c r="B20" s="85">
        <f t="shared" si="0"/>
        <v>13</v>
      </c>
      <c r="C20" s="86">
        <v>62</v>
      </c>
      <c r="D20" s="7" t="str">
        <f>INDEX(Parameter!$B$19:$C$97,MATCH(Calculation!$C20,Parameter!$B$19:$B$97,0),MATCH(Calculation!D$7,Parameter!$B$19:$C$19,0))</f>
        <v>Waimate District</v>
      </c>
      <c r="E20" s="73">
        <f>INDEX(Parameter!$B$19:$H$97,MATCH(Calculation!$C20,Parameter!$B$19:$B$97,0),MATCH(Calculation!E$7,Parameter!$B$19:$H$19,0))</f>
        <v>4286</v>
      </c>
      <c r="F20" s="74">
        <f>INDEX(Parameter!$B$19:$H$97,MATCH(Calculation!$C20,Parameter!$B$19:$B$97,0),MATCH(Calculation!F$7,Parameter!$B$19:$H$19,0))</f>
        <v>1010.8838635492526</v>
      </c>
      <c r="G20" s="75">
        <f>INDEX(Parameter!$B$19:$H$97,MATCH(Calculation!$C20,Parameter!$B$19:$B$97,0),MATCH(Calculation!G$7,Parameter!$B$19:$H$19,0))</f>
        <v>2.7617843032843109E-7</v>
      </c>
      <c r="H20" s="76">
        <f t="shared" si="12"/>
        <v>-0.5017178216188708</v>
      </c>
      <c r="I20" s="77">
        <f t="shared" si="1"/>
        <v>-8.2275643822769071E-2</v>
      </c>
      <c r="J20" s="78">
        <f t="shared" si="2"/>
        <v>1.0652638142561683</v>
      </c>
      <c r="K20" s="76">
        <f t="shared" si="13"/>
        <v>7.1782321213469045</v>
      </c>
      <c r="L20" s="77">
        <f t="shared" si="3"/>
        <v>1.9851090744395097</v>
      </c>
      <c r="M20" s="77">
        <f t="shared" si="4"/>
        <v>1.9087874221386678</v>
      </c>
      <c r="N20" s="77">
        <f t="shared" si="5"/>
        <v>11.072128617925081</v>
      </c>
      <c r="O20" s="78">
        <f t="shared" si="6"/>
        <v>1.7233079443556356</v>
      </c>
      <c r="P20" s="61"/>
      <c r="Q20" s="90" t="s">
        <v>86</v>
      </c>
      <c r="R20" s="214">
        <f>Parameter!J13</f>
        <v>7.7992178376824872E-2</v>
      </c>
      <c r="S20" s="93"/>
      <c r="T20" s="257">
        <f t="shared" si="14"/>
        <v>0.64</v>
      </c>
      <c r="U20" s="80">
        <f t="shared" si="15"/>
        <v>0.75</v>
      </c>
      <c r="V20" s="80">
        <f t="shared" si="16"/>
        <v>0.64</v>
      </c>
      <c r="W20" s="80">
        <f t="shared" si="17"/>
        <v>0.51</v>
      </c>
      <c r="X20" s="80">
        <f t="shared" si="18"/>
        <v>0.64</v>
      </c>
      <c r="Y20" s="89"/>
      <c r="Z20" s="81">
        <f t="shared" si="7"/>
        <v>0.64</v>
      </c>
      <c r="AA20" s="82">
        <f>INDEX('Table_Previous FAR'!$B$5:$K$83,MATCH(Calculation!D20,'Table_Previous FAR'!$B$5:$B$83,0),MATCH(Calculation!$AA$7,'Table_Previous FAR'!$B$5:$K$5,))</f>
        <v>0.6</v>
      </c>
      <c r="AB20" s="73">
        <f>INDEX(Parameter!$C$19:$L$97, MATCH(Calculation!$D20,Parameter!$C$19:$C$97,0),MATCH(Calculation!AB$7,Parameter!$C$19:$L$19,0))</f>
        <v>17671832</v>
      </c>
      <c r="AC20" s="73">
        <f>INDEX(Parameter!$C$19:$L$97, MATCH(Calculation!$D20,Parameter!$C$19:$C$97,0),MATCH(Calculation!AC$7,Parameter!$C$19:$L$19,0))</f>
        <v>9986639</v>
      </c>
      <c r="AD20" s="73">
        <f>INDEX(Parameter!$C$19:$L$97, MATCH(Calculation!$D20,Parameter!$C$19:$C$97,0),MATCH(Calculation!AD$7,Parameter!$C$19:$L$19,0))</f>
        <v>7685193</v>
      </c>
      <c r="AE20" s="73">
        <f t="shared" si="19"/>
        <v>11309972.48</v>
      </c>
      <c r="AF20" s="32">
        <f t="shared" si="8"/>
        <v>6361859.5199999996</v>
      </c>
      <c r="AG20" s="185">
        <f t="shared" si="9"/>
        <v>1323333.4800000004</v>
      </c>
      <c r="AH20" s="186">
        <f t="shared" si="10"/>
        <v>-1323333.4800000004</v>
      </c>
      <c r="AI20" s="179">
        <f t="shared" si="20"/>
        <v>0.13251039513894519</v>
      </c>
      <c r="AJ20" s="83">
        <f t="shared" si="21"/>
        <v>-0.17219261507160594</v>
      </c>
      <c r="AK20" s="81">
        <f t="shared" si="22"/>
        <v>-2.0625115541676699E-2</v>
      </c>
      <c r="AL20" s="82">
        <f t="shared" si="23"/>
        <v>-2.0625115541676699E-2</v>
      </c>
      <c r="AM20" s="42" t="str">
        <f t="shared" si="11"/>
        <v>Waimate District</v>
      </c>
      <c r="AN20" s="206">
        <f t="shared" si="24"/>
        <v>0.6</v>
      </c>
      <c r="AO20" s="202">
        <f t="shared" si="25"/>
        <v>0.64</v>
      </c>
      <c r="AQ20" s="84">
        <f>MIN(AC14,AE14)</f>
        <v>9557662</v>
      </c>
      <c r="AR20" s="84">
        <f>AE14-AQ20</f>
        <v>1348586.2400000002</v>
      </c>
      <c r="AS20" s="84">
        <f>AC14-AQ20</f>
        <v>0</v>
      </c>
      <c r="AT20" s="84"/>
      <c r="AU20" s="84"/>
      <c r="AV20" s="84"/>
    </row>
    <row r="21" spans="2:48" x14ac:dyDescent="0.25">
      <c r="B21" s="85">
        <f t="shared" si="0"/>
        <v>14</v>
      </c>
      <c r="C21" s="86">
        <v>90</v>
      </c>
      <c r="D21" s="7" t="str">
        <f>INDEX(Parameter!$B$19:$C$97,MATCH(Calculation!$C21,Parameter!$B$19:$B$97,0),MATCH(Calculation!D$7,Parameter!$B$19:$C$19,0))</f>
        <v>West Coast Regional</v>
      </c>
      <c r="E21" s="73">
        <f>INDEX(Parameter!$B$19:$H$97,MATCH(Calculation!$C21,Parameter!$B$19:$B$97,0),MATCH(Calculation!E$7,Parameter!$B$19:$H$19,0))</f>
        <v>22417</v>
      </c>
      <c r="F21" s="74">
        <f>INDEX(Parameter!$B$19:$H$97,MATCH(Calculation!$C21,Parameter!$B$19:$B$97,0),MATCH(Calculation!F$7,Parameter!$B$19:$H$19,0))</f>
        <v>1028.6896977760882</v>
      </c>
      <c r="G21" s="75">
        <f>INDEX(Parameter!$B$19:$H$97,MATCH(Calculation!$C21,Parameter!$B$19:$B$97,0),MATCH(Calculation!G$7,Parameter!$B$19:$H$19,0))</f>
        <v>2.5970290573566175E-7</v>
      </c>
      <c r="H21" s="76">
        <f t="shared" si="12"/>
        <v>-0.26943376151499637</v>
      </c>
      <c r="I21" s="77">
        <f t="shared" si="1"/>
        <v>0.26410870198571379</v>
      </c>
      <c r="J21" s="78">
        <f t="shared" si="2"/>
        <v>0.9476173679243195</v>
      </c>
      <c r="K21" s="76">
        <f t="shared" si="13"/>
        <v>6.9459480612430298</v>
      </c>
      <c r="L21" s="77">
        <f t="shared" si="3"/>
        <v>2.3314934202479924</v>
      </c>
      <c r="M21" s="77">
        <f t="shared" si="4"/>
        <v>1.7911409758068191</v>
      </c>
      <c r="N21" s="77">
        <f t="shared" si="5"/>
        <v>11.068582457297842</v>
      </c>
      <c r="O21" s="78">
        <f t="shared" si="6"/>
        <v>1.7197617837283961</v>
      </c>
      <c r="P21" s="61"/>
      <c r="Q21" s="90"/>
      <c r="R21" s="92"/>
      <c r="T21" s="257">
        <f t="shared" si="14"/>
        <v>0.64</v>
      </c>
      <c r="U21" s="80">
        <f t="shared" si="15"/>
        <v>0.75</v>
      </c>
      <c r="V21" s="80">
        <f t="shared" si="16"/>
        <v>0.64</v>
      </c>
      <c r="W21" s="80">
        <f t="shared" si="17"/>
        <v>0.51</v>
      </c>
      <c r="X21" s="80">
        <f t="shared" si="18"/>
        <v>0.64</v>
      </c>
      <c r="Y21" s="89"/>
      <c r="Z21" s="81">
        <f t="shared" si="7"/>
        <v>0.64</v>
      </c>
      <c r="AA21" s="82">
        <f>INDEX('Table_Previous FAR'!$B$5:$K$83,MATCH(Calculation!D21,'Table_Previous FAR'!$B$5:$B$83,0),MATCH(Calculation!$AA$7,'Table_Previous FAR'!$B$5:$K$5,))</f>
        <v>0.6</v>
      </c>
      <c r="AB21" s="73">
        <f>INDEX(Parameter!$C$19:$L$97, MATCH(Calculation!$D21,Parameter!$C$19:$C$97,0),MATCH(Calculation!AB$7,Parameter!$C$19:$L$19,0))</f>
        <v>562209</v>
      </c>
      <c r="AC21" s="73">
        <f>INDEX(Parameter!$C$19:$L$97, MATCH(Calculation!$D21,Parameter!$C$19:$C$97,0),MATCH(Calculation!AC$7,Parameter!$C$19:$L$19,0))</f>
        <v>318449</v>
      </c>
      <c r="AD21" s="73">
        <f>INDEX(Parameter!$C$19:$L$97, MATCH(Calculation!$D21,Parameter!$C$19:$C$97,0),MATCH(Calculation!AD$7,Parameter!$C$19:$L$19,0))</f>
        <v>243760</v>
      </c>
      <c r="AE21" s="73">
        <f t="shared" si="19"/>
        <v>359813.76</v>
      </c>
      <c r="AF21" s="32">
        <f t="shared" si="8"/>
        <v>202395.24</v>
      </c>
      <c r="AG21" s="185">
        <f t="shared" si="9"/>
        <v>41364.760000000009</v>
      </c>
      <c r="AH21" s="186">
        <f t="shared" si="10"/>
        <v>-41364.760000000009</v>
      </c>
      <c r="AI21" s="179">
        <f t="shared" si="20"/>
        <v>0.12989445719722784</v>
      </c>
      <c r="AJ21" s="83">
        <f t="shared" si="21"/>
        <v>-0.16969461765671157</v>
      </c>
      <c r="AK21" s="81">
        <f t="shared" si="22"/>
        <v>-6.4469989405370931E-4</v>
      </c>
      <c r="AL21" s="82">
        <f t="shared" si="23"/>
        <v>-6.4469989405370931E-4</v>
      </c>
      <c r="AM21" s="42" t="str">
        <f t="shared" si="11"/>
        <v>West Coast Regional</v>
      </c>
      <c r="AN21" s="206">
        <f t="shared" si="24"/>
        <v>0.6</v>
      </c>
      <c r="AO21" s="202">
        <f t="shared" si="25"/>
        <v>0.64</v>
      </c>
      <c r="AQ21" s="84"/>
      <c r="AR21" s="84"/>
      <c r="AS21" s="84"/>
      <c r="AT21" s="84">
        <f>MIN(AD14,AF14)</f>
        <v>4241318.76</v>
      </c>
      <c r="AU21" s="84">
        <f>AF14-AT21</f>
        <v>0</v>
      </c>
      <c r="AV21" s="84">
        <f>AD14-AT21</f>
        <v>1348586.2400000002</v>
      </c>
    </row>
    <row r="22" spans="2:48" x14ac:dyDescent="0.25">
      <c r="B22" s="85">
        <f t="shared" si="0"/>
        <v>15</v>
      </c>
      <c r="C22" s="86">
        <v>38</v>
      </c>
      <c r="D22" s="7" t="str">
        <f>INDEX(Parameter!$B$19:$C$97,MATCH(Calculation!$C22,Parameter!$B$19:$B$97,0),MATCH(Calculation!D$7,Parameter!$B$19:$C$19,0))</f>
        <v>Rangitikei District</v>
      </c>
      <c r="E22" s="73">
        <f>INDEX(Parameter!$B$19:$H$97,MATCH(Calculation!$C22,Parameter!$B$19:$B$97,0),MATCH(Calculation!E$7,Parameter!$B$19:$H$19,0))</f>
        <v>7973</v>
      </c>
      <c r="F22" s="74">
        <f>INDEX(Parameter!$B$19:$H$97,MATCH(Calculation!$C22,Parameter!$B$19:$B$97,0),MATCH(Calculation!F$7,Parameter!$B$19:$H$19,0))</f>
        <v>1027.022958674386</v>
      </c>
      <c r="G22" s="75">
        <f>INDEX(Parameter!$B$19:$H$97,MATCH(Calculation!$C22,Parameter!$B$19:$B$97,0),MATCH(Calculation!G$7,Parameter!$B$19:$H$19,0))</f>
        <v>2.1975182337550618E-7</v>
      </c>
      <c r="H22" s="76">
        <f t="shared" si="12"/>
        <v>-0.4544820745777266</v>
      </c>
      <c r="I22" s="77">
        <f t="shared" si="1"/>
        <v>0.23168492863021295</v>
      </c>
      <c r="J22" s="78">
        <f t="shared" si="2"/>
        <v>0.66233947948330096</v>
      </c>
      <c r="K22" s="76">
        <f t="shared" si="13"/>
        <v>7.1309963743057603</v>
      </c>
      <c r="L22" s="77">
        <f t="shared" si="3"/>
        <v>2.2990696468924918</v>
      </c>
      <c r="M22" s="77">
        <f t="shared" si="4"/>
        <v>1.5058630873658005</v>
      </c>
      <c r="N22" s="77">
        <f t="shared" si="5"/>
        <v>10.935929108564054</v>
      </c>
      <c r="O22" s="78">
        <f t="shared" si="6"/>
        <v>1.5871084349946081</v>
      </c>
      <c r="P22" s="61"/>
      <c r="Q22" s="90" t="s">
        <v>106</v>
      </c>
      <c r="R22" s="92"/>
      <c r="T22" s="257">
        <f t="shared" si="14"/>
        <v>0.63</v>
      </c>
      <c r="U22" s="80">
        <f t="shared" si="15"/>
        <v>0.75</v>
      </c>
      <c r="V22" s="80">
        <f t="shared" si="16"/>
        <v>0.63</v>
      </c>
      <c r="W22" s="80">
        <f t="shared" si="17"/>
        <v>0.51</v>
      </c>
      <c r="X22" s="80">
        <f t="shared" si="18"/>
        <v>0.63</v>
      </c>
      <c r="Y22" s="89"/>
      <c r="Z22" s="81">
        <f t="shared" si="7"/>
        <v>0.63</v>
      </c>
      <c r="AA22" s="82">
        <f>INDEX('Table_Previous FAR'!$B$5:$K$83,MATCH(Calculation!D22,'Table_Previous FAR'!$B$5:$B$83,0),MATCH(Calculation!$AA$7,'Table_Previous FAR'!$B$5:$K$5,))</f>
        <v>0.63</v>
      </c>
      <c r="AB22" s="73">
        <f>INDEX(Parameter!$C$19:$L$97, MATCH(Calculation!$D22,Parameter!$C$19:$C$97,0),MATCH(Calculation!AB$7,Parameter!$C$19:$L$19,0))</f>
        <v>43663841</v>
      </c>
      <c r="AC22" s="73">
        <f>INDEX(Parameter!$C$19:$L$97, MATCH(Calculation!$D22,Parameter!$C$19:$C$97,0),MATCH(Calculation!AC$7,Parameter!$C$19:$L$19,0))</f>
        <v>27639177</v>
      </c>
      <c r="AD22" s="73">
        <f>INDEX(Parameter!$C$19:$L$97, MATCH(Calculation!$D22,Parameter!$C$19:$C$97,0),MATCH(Calculation!AD$7,Parameter!$C$19:$L$19,0))</f>
        <v>16024664</v>
      </c>
      <c r="AE22" s="73">
        <f t="shared" si="19"/>
        <v>27508219.830000002</v>
      </c>
      <c r="AF22" s="32">
        <f t="shared" si="8"/>
        <v>16155621.169999998</v>
      </c>
      <c r="AG22" s="185">
        <f t="shared" si="9"/>
        <v>-130957.16999999806</v>
      </c>
      <c r="AH22" s="186">
        <f t="shared" si="10"/>
        <v>130957.16999999806</v>
      </c>
      <c r="AI22" s="179">
        <f t="shared" si="20"/>
        <v>-4.7380994738011935E-3</v>
      </c>
      <c r="AJ22" s="83">
        <f t="shared" si="21"/>
        <v>8.172225639177088E-3</v>
      </c>
      <c r="AK22" s="81">
        <f t="shared" si="22"/>
        <v>2.0410628183161789E-3</v>
      </c>
      <c r="AL22" s="82">
        <f t="shared" si="23"/>
        <v>2.0410628183161789E-3</v>
      </c>
      <c r="AM22" s="42" t="str">
        <f t="shared" si="11"/>
        <v>Rangitikei District</v>
      </c>
      <c r="AN22" s="206">
        <f t="shared" si="24"/>
        <v>0.63</v>
      </c>
      <c r="AO22" s="202">
        <f t="shared" si="25"/>
        <v>0.63</v>
      </c>
      <c r="AQ22" s="84">
        <f>MIN(AC15,AE15)</f>
        <v>30328990</v>
      </c>
      <c r="AR22" s="84">
        <f>AE15-AQ22</f>
        <v>2331797.7499999963</v>
      </c>
      <c r="AS22" s="84">
        <f>AC15-AQ22</f>
        <v>0</v>
      </c>
      <c r="AT22" s="84"/>
      <c r="AU22" s="84"/>
      <c r="AV22" s="84"/>
    </row>
    <row r="23" spans="2:48" x14ac:dyDescent="0.25">
      <c r="B23" s="85">
        <f t="shared" si="0"/>
        <v>16</v>
      </c>
      <c r="C23" s="86">
        <v>64</v>
      </c>
      <c r="D23" s="7" t="str">
        <f>INDEX(Parameter!$B$19:$C$97,MATCH(Calculation!$C23,Parameter!$B$19:$B$97,0),MATCH(Calculation!D$7,Parameter!$B$19:$C$19,0))</f>
        <v>Grey District</v>
      </c>
      <c r="E23" s="73">
        <f>INDEX(Parameter!$B$19:$H$97,MATCH(Calculation!$C23,Parameter!$B$19:$B$97,0),MATCH(Calculation!E$7,Parameter!$B$19:$H$19,0))</f>
        <v>8532</v>
      </c>
      <c r="F23" s="74">
        <f>INDEX(Parameter!$B$19:$H$97,MATCH(Calculation!$C23,Parameter!$B$19:$B$97,0),MATCH(Calculation!F$7,Parameter!$B$19:$H$19,0))</f>
        <v>1021.4832471328986</v>
      </c>
      <c r="G23" s="75">
        <f>INDEX(Parameter!$B$19:$H$97,MATCH(Calculation!$C23,Parameter!$B$19:$B$97,0),MATCH(Calculation!G$7,Parameter!$B$19:$H$19,0))</f>
        <v>2.3117919021936471E-7</v>
      </c>
      <c r="H23" s="76">
        <f t="shared" si="12"/>
        <v>-0.44732048450558132</v>
      </c>
      <c r="I23" s="77">
        <f t="shared" si="1"/>
        <v>0.12391860137923456</v>
      </c>
      <c r="J23" s="78">
        <f t="shared" si="2"/>
        <v>0.74393864754259087</v>
      </c>
      <c r="K23" s="76">
        <f t="shared" si="13"/>
        <v>7.1238347842336145</v>
      </c>
      <c r="L23" s="77">
        <f t="shared" si="3"/>
        <v>2.1913033196415133</v>
      </c>
      <c r="M23" s="77">
        <f t="shared" si="4"/>
        <v>1.5874622554250903</v>
      </c>
      <c r="N23" s="77">
        <f t="shared" si="5"/>
        <v>10.902600359300219</v>
      </c>
      <c r="O23" s="78">
        <f t="shared" si="6"/>
        <v>1.553779685730774</v>
      </c>
      <c r="P23" s="61"/>
      <c r="Q23" s="90" t="s">
        <v>100</v>
      </c>
      <c r="R23" s="94">
        <f>Parameter!J11</f>
        <v>0.53004359155915581</v>
      </c>
      <c r="S23" s="17"/>
      <c r="T23" s="257">
        <f t="shared" si="14"/>
        <v>0.63</v>
      </c>
      <c r="U23" s="80">
        <f t="shared" si="15"/>
        <v>0.75</v>
      </c>
      <c r="V23" s="80">
        <f t="shared" si="16"/>
        <v>0.63</v>
      </c>
      <c r="W23" s="80">
        <f t="shared" si="17"/>
        <v>0.51</v>
      </c>
      <c r="X23" s="80">
        <f t="shared" si="18"/>
        <v>0.63</v>
      </c>
      <c r="Y23" s="89"/>
      <c r="Z23" s="81">
        <f t="shared" si="7"/>
        <v>0.63</v>
      </c>
      <c r="AA23" s="82">
        <f>INDEX('Table_Previous FAR'!$B$5:$K$83,MATCH(Calculation!D23,'Table_Previous FAR'!$B$5:$B$83,0),MATCH(Calculation!$AA$7,'Table_Previous FAR'!$B$5:$K$5,))</f>
        <v>0.57999999999999996</v>
      </c>
      <c r="AB23" s="73">
        <f>INDEX(Parameter!$C$19:$L$97, MATCH(Calculation!$D23,Parameter!$C$19:$C$97,0),MATCH(Calculation!AB$7,Parameter!$C$19:$L$19,0))</f>
        <v>21176891</v>
      </c>
      <c r="AC23" s="73">
        <f>INDEX(Parameter!$C$19:$L$97, MATCH(Calculation!$D23,Parameter!$C$19:$C$97,0),MATCH(Calculation!AC$7,Parameter!$C$19:$L$19,0))</f>
        <v>13053506</v>
      </c>
      <c r="AD23" s="73">
        <f>INDEX(Parameter!$C$19:$L$97, MATCH(Calculation!$D23,Parameter!$C$19:$C$97,0),MATCH(Calculation!AD$7,Parameter!$C$19:$L$19,0))</f>
        <v>8123385</v>
      </c>
      <c r="AE23" s="73">
        <f t="shared" si="19"/>
        <v>13341441.33</v>
      </c>
      <c r="AF23" s="32">
        <f t="shared" si="8"/>
        <v>7835449.6699999999</v>
      </c>
      <c r="AG23" s="185">
        <f t="shared" si="9"/>
        <v>287935.33000000007</v>
      </c>
      <c r="AH23" s="186">
        <f t="shared" si="10"/>
        <v>-287935.33000000007</v>
      </c>
      <c r="AI23" s="179">
        <f t="shared" si="20"/>
        <v>2.2058083858849879E-2</v>
      </c>
      <c r="AJ23" s="83">
        <f t="shared" si="21"/>
        <v>-3.5445239884604768E-2</v>
      </c>
      <c r="AK23" s="81">
        <f t="shared" si="22"/>
        <v>-4.4876817064892884E-3</v>
      </c>
      <c r="AL23" s="82">
        <f t="shared" si="23"/>
        <v>-4.4876817064892884E-3</v>
      </c>
      <c r="AM23" s="42" t="str">
        <f t="shared" si="11"/>
        <v>Grey District</v>
      </c>
      <c r="AN23" s="206">
        <f t="shared" si="24"/>
        <v>0.57999999999999996</v>
      </c>
      <c r="AO23" s="202">
        <f t="shared" si="25"/>
        <v>0.63</v>
      </c>
      <c r="AQ23" s="84"/>
      <c r="AR23" s="84"/>
      <c r="AS23" s="84"/>
      <c r="AT23" s="84">
        <f>MIN(AD15,AF15)</f>
        <v>14673687.250000004</v>
      </c>
      <c r="AU23" s="84">
        <f>AF15-AT23</f>
        <v>0</v>
      </c>
      <c r="AV23" s="84">
        <f>AD15-AT23</f>
        <v>2331797.7499999963</v>
      </c>
    </row>
    <row r="24" spans="2:48" x14ac:dyDescent="0.25">
      <c r="B24" s="85">
        <f t="shared" si="0"/>
        <v>17</v>
      </c>
      <c r="C24" s="86">
        <v>26</v>
      </c>
      <c r="D24" s="7" t="str">
        <f>INDEX(Parameter!$B$19:$C$97,MATCH(Calculation!$C24,Parameter!$B$19:$B$97,0),MATCH(Calculation!D$7,Parameter!$B$19:$C$19,0))</f>
        <v>Whakatane District</v>
      </c>
      <c r="E24" s="73">
        <f>INDEX(Parameter!$B$19:$H$97,MATCH(Calculation!$C24,Parameter!$B$19:$B$97,0),MATCH(Calculation!E$7,Parameter!$B$19:$H$19,0))</f>
        <v>15824</v>
      </c>
      <c r="F24" s="74">
        <f>INDEX(Parameter!$B$19:$H$97,MATCH(Calculation!$C24,Parameter!$B$19:$B$97,0),MATCH(Calculation!F$7,Parameter!$B$19:$H$19,0))</f>
        <v>1077.8492943548388</v>
      </c>
      <c r="G24" s="75">
        <f>INDEX(Parameter!$B$19:$H$97,MATCH(Calculation!$C24,Parameter!$B$19:$B$97,0),MATCH(Calculation!G$7,Parameter!$B$19:$H$19,0))</f>
        <v>8.7301701621431754E-8</v>
      </c>
      <c r="H24" s="76">
        <f t="shared" si="12"/>
        <v>-0.35389952778629108</v>
      </c>
      <c r="I24" s="77">
        <f t="shared" si="1"/>
        <v>1.2204309098762018</v>
      </c>
      <c r="J24" s="78">
        <f t="shared" si="2"/>
        <v>-0.2834444348829942</v>
      </c>
      <c r="K24" s="76">
        <f t="shared" si="13"/>
        <v>7.0304138275143249</v>
      </c>
      <c r="L24" s="77">
        <f t="shared" si="3"/>
        <v>3.2878156281384805</v>
      </c>
      <c r="M24" s="77">
        <f t="shared" si="4"/>
        <v>0.56007917299950538</v>
      </c>
      <c r="N24" s="77">
        <f t="shared" si="5"/>
        <v>10.878308628652309</v>
      </c>
      <c r="O24" s="78">
        <f t="shared" si="6"/>
        <v>1.5294879550828639</v>
      </c>
      <c r="P24" s="61"/>
      <c r="Q24" s="90" t="s">
        <v>107</v>
      </c>
      <c r="R24" s="95">
        <f>Parameter!J14</f>
        <v>4.3591559155786719E-5</v>
      </c>
      <c r="S24" s="96"/>
      <c r="T24" s="257">
        <f t="shared" si="14"/>
        <v>0.63</v>
      </c>
      <c r="U24" s="80">
        <f t="shared" si="15"/>
        <v>0.75</v>
      </c>
      <c r="V24" s="80">
        <f t="shared" si="16"/>
        <v>0.63</v>
      </c>
      <c r="W24" s="80">
        <f t="shared" si="17"/>
        <v>0.51</v>
      </c>
      <c r="X24" s="80">
        <f t="shared" si="18"/>
        <v>0.63</v>
      </c>
      <c r="Y24" s="89"/>
      <c r="Z24" s="81">
        <f t="shared" si="7"/>
        <v>0.63</v>
      </c>
      <c r="AA24" s="82">
        <f>INDEX('Table_Previous FAR'!$B$5:$K$83,MATCH(Calculation!D24,'Table_Previous FAR'!$B$5:$B$83,0),MATCH(Calculation!$AA$7,'Table_Previous FAR'!$B$5:$K$5,))</f>
        <v>0.64</v>
      </c>
      <c r="AB24" s="73">
        <f>INDEX(Parameter!$C$19:$L$97, MATCH(Calculation!$D24,Parameter!$C$19:$C$97,0),MATCH(Calculation!AB$7,Parameter!$C$19:$L$19,0))</f>
        <v>44820333</v>
      </c>
      <c r="AC24" s="73">
        <f>INDEX(Parameter!$C$19:$L$97, MATCH(Calculation!$D24,Parameter!$C$19:$C$97,0),MATCH(Calculation!AC$7,Parameter!$C$19:$L$19,0))</f>
        <v>26064770</v>
      </c>
      <c r="AD24" s="73">
        <f>INDEX(Parameter!$C$19:$L$97, MATCH(Calculation!$D24,Parameter!$C$19:$C$97,0),MATCH(Calculation!AD$7,Parameter!$C$19:$L$19,0))</f>
        <v>18755563</v>
      </c>
      <c r="AE24" s="73">
        <f t="shared" si="19"/>
        <v>28236809.789999999</v>
      </c>
      <c r="AF24" s="32">
        <f t="shared" si="8"/>
        <v>16583523.210000001</v>
      </c>
      <c r="AG24" s="185">
        <f t="shared" si="9"/>
        <v>2172039.7899999991</v>
      </c>
      <c r="AH24" s="186">
        <f t="shared" si="10"/>
        <v>-2172039.7899999991</v>
      </c>
      <c r="AI24" s="179">
        <f t="shared" si="20"/>
        <v>8.3332398099043234E-2</v>
      </c>
      <c r="AJ24" s="83">
        <f t="shared" si="21"/>
        <v>-0.11580776274217944</v>
      </c>
      <c r="AK24" s="81">
        <f t="shared" si="22"/>
        <v>-3.3852821157271076E-2</v>
      </c>
      <c r="AL24" s="82">
        <f t="shared" si="23"/>
        <v>-3.3852821157271076E-2</v>
      </c>
      <c r="AM24" s="42" t="str">
        <f t="shared" si="11"/>
        <v>Whakatane District</v>
      </c>
      <c r="AN24" s="206">
        <f t="shared" si="24"/>
        <v>0.64</v>
      </c>
      <c r="AO24" s="202">
        <f t="shared" si="25"/>
        <v>0.63</v>
      </c>
      <c r="AQ24" s="84">
        <f>MIN(AC16,AE16)</f>
        <v>73967164</v>
      </c>
      <c r="AR24" s="84">
        <f>AE16-AQ24</f>
        <v>8767488.1699999869</v>
      </c>
      <c r="AS24" s="84">
        <f>AC16-AQ24</f>
        <v>0</v>
      </c>
      <c r="AT24" s="84"/>
      <c r="AU24" s="84"/>
      <c r="AV24" s="84"/>
    </row>
    <row r="25" spans="2:48" x14ac:dyDescent="0.25">
      <c r="B25" s="85">
        <f t="shared" si="0"/>
        <v>18</v>
      </c>
      <c r="C25" s="86">
        <v>33</v>
      </c>
      <c r="D25" s="7" t="str">
        <f>INDEX(Parameter!$B$19:$C$97,MATCH(Calculation!$C25,Parameter!$B$19:$B$97,0),MATCH(Calculation!D$7,Parameter!$B$19:$C$19,0))</f>
        <v>South Taranaki District</v>
      </c>
      <c r="E25" s="73">
        <f>INDEX(Parameter!$B$19:$H$97,MATCH(Calculation!$C25,Parameter!$B$19:$B$97,0),MATCH(Calculation!E$7,Parameter!$B$19:$H$19,0))</f>
        <v>14174</v>
      </c>
      <c r="F25" s="74">
        <f>INDEX(Parameter!$B$19:$H$97,MATCH(Calculation!$C25,Parameter!$B$19:$B$97,0),MATCH(Calculation!F$7,Parameter!$B$19:$H$19,0))</f>
        <v>1052.071459694989</v>
      </c>
      <c r="G25" s="75">
        <f>INDEX(Parameter!$B$19:$H$97,MATCH(Calculation!$C25,Parameter!$B$19:$B$97,0),MATCH(Calculation!G$7,Parameter!$B$19:$H$19,0))</f>
        <v>1.4804148843582624E-7</v>
      </c>
      <c r="H25" s="76">
        <f t="shared" si="12"/>
        <v>-0.37503838935881284</v>
      </c>
      <c r="I25" s="77">
        <f t="shared" si="1"/>
        <v>0.71896390298055601</v>
      </c>
      <c r="J25" s="78">
        <f t="shared" si="2"/>
        <v>0.15027893637789416</v>
      </c>
      <c r="K25" s="76">
        <f t="shared" si="13"/>
        <v>7.0515526890868463</v>
      </c>
      <c r="L25" s="77">
        <f t="shared" si="3"/>
        <v>2.7863486212428348</v>
      </c>
      <c r="M25" s="77">
        <f t="shared" si="4"/>
        <v>0.99380254426039372</v>
      </c>
      <c r="N25" s="77">
        <f t="shared" si="5"/>
        <v>10.831703854590074</v>
      </c>
      <c r="O25" s="78">
        <f t="shared" si="6"/>
        <v>1.4828831810206289</v>
      </c>
      <c r="P25" s="61"/>
      <c r="Q25" s="90"/>
      <c r="R25" s="92"/>
      <c r="T25" s="257">
        <f t="shared" si="14"/>
        <v>0.63</v>
      </c>
      <c r="U25" s="80">
        <f t="shared" si="15"/>
        <v>0.75</v>
      </c>
      <c r="V25" s="80">
        <f t="shared" si="16"/>
        <v>0.63</v>
      </c>
      <c r="W25" s="80">
        <f t="shared" si="17"/>
        <v>0.51</v>
      </c>
      <c r="X25" s="80">
        <f t="shared" si="18"/>
        <v>0.63</v>
      </c>
      <c r="Y25" s="89"/>
      <c r="Z25" s="81">
        <f t="shared" si="7"/>
        <v>0.63</v>
      </c>
      <c r="AA25" s="82">
        <f>INDEX('Table_Previous FAR'!$B$5:$K$83,MATCH(Calculation!D25,'Table_Previous FAR'!$B$5:$B$83,0),MATCH(Calculation!$AA$7,'Table_Previous FAR'!$B$5:$K$5,))</f>
        <v>0.57999999999999996</v>
      </c>
      <c r="AB25" s="73">
        <f>INDEX(Parameter!$C$19:$L$97, MATCH(Calculation!$D25,Parameter!$C$19:$C$97,0),MATCH(Calculation!AB$7,Parameter!$C$19:$L$19,0))</f>
        <v>57998890</v>
      </c>
      <c r="AC25" s="73">
        <f>INDEX(Parameter!$C$19:$L$97, MATCH(Calculation!$D25,Parameter!$C$19:$C$97,0),MATCH(Calculation!AC$7,Parameter!$C$19:$L$19,0))</f>
        <v>33139948</v>
      </c>
      <c r="AD25" s="73">
        <f>INDEX(Parameter!$C$19:$L$97, MATCH(Calculation!$D25,Parameter!$C$19:$C$97,0),MATCH(Calculation!AD$7,Parameter!$C$19:$L$19,0))</f>
        <v>24858942</v>
      </c>
      <c r="AE25" s="73">
        <f t="shared" si="19"/>
        <v>36539300.700000003</v>
      </c>
      <c r="AF25" s="32">
        <f t="shared" si="8"/>
        <v>21459589.299999997</v>
      </c>
      <c r="AG25" s="185">
        <f t="shared" si="9"/>
        <v>3399352.700000003</v>
      </c>
      <c r="AH25" s="186">
        <f t="shared" si="10"/>
        <v>-3399352.700000003</v>
      </c>
      <c r="AI25" s="179">
        <f t="shared" si="20"/>
        <v>0.1025756799618395</v>
      </c>
      <c r="AJ25" s="83">
        <f t="shared" si="21"/>
        <v>-0.13674567083345715</v>
      </c>
      <c r="AK25" s="81">
        <f t="shared" si="22"/>
        <v>-5.2981386222020685E-2</v>
      </c>
      <c r="AL25" s="82">
        <f t="shared" si="23"/>
        <v>-5.2981386222020685E-2</v>
      </c>
      <c r="AM25" s="42" t="str">
        <f t="shared" si="11"/>
        <v>South Taranaki District</v>
      </c>
      <c r="AN25" s="206">
        <f t="shared" si="24"/>
        <v>0.57999999999999996</v>
      </c>
      <c r="AO25" s="202">
        <f t="shared" si="25"/>
        <v>0.63</v>
      </c>
      <c r="AQ25" s="84"/>
      <c r="AR25" s="84"/>
      <c r="AS25" s="84"/>
      <c r="AT25" s="84">
        <f>MIN(AD16,AF16)</f>
        <v>37170640.830000013</v>
      </c>
      <c r="AU25" s="84">
        <f>AF16-AT25</f>
        <v>0</v>
      </c>
      <c r="AV25" s="84">
        <f>AD16-AT25</f>
        <v>8767488.1699999869</v>
      </c>
    </row>
    <row r="26" spans="2:48" ht="13.8" thickBot="1" x14ac:dyDescent="0.3">
      <c r="B26" s="85">
        <f t="shared" si="0"/>
        <v>19</v>
      </c>
      <c r="C26" s="86">
        <v>65</v>
      </c>
      <c r="D26" s="7" t="str">
        <f>INDEX(Parameter!$B$19:$C$97,MATCH(Calculation!$C26,Parameter!$B$19:$B$97,0),MATCH(Calculation!D$7,Parameter!$B$19:$C$19,0))</f>
        <v>Westland District</v>
      </c>
      <c r="E26" s="73">
        <f>INDEX(Parameter!$B$19:$H$97,MATCH(Calculation!$C26,Parameter!$B$19:$B$97,0),MATCH(Calculation!E$7,Parameter!$B$19:$H$19,0))</f>
        <v>6552</v>
      </c>
      <c r="F26" s="74">
        <f>INDEX(Parameter!$B$19:$H$97,MATCH(Calculation!$C26,Parameter!$B$19:$B$97,0),MATCH(Calculation!F$7,Parameter!$B$19:$H$19,0))</f>
        <v>996.17904233171407</v>
      </c>
      <c r="G26" s="75">
        <f>INDEX(Parameter!$B$19:$H$97,MATCH(Calculation!$C26,Parameter!$B$19:$B$97,0),MATCH(Calculation!G$7,Parameter!$B$19:$H$19,0))</f>
        <v>2.8318969843907684E-7</v>
      </c>
      <c r="H26" s="76">
        <f t="shared" si="12"/>
        <v>-0.47268711839260752</v>
      </c>
      <c r="I26" s="77">
        <f t="shared" si="1"/>
        <v>-0.36833468563903082</v>
      </c>
      <c r="J26" s="78">
        <f t="shared" si="2"/>
        <v>1.1153290351147072</v>
      </c>
      <c r="K26" s="76">
        <f t="shared" si="13"/>
        <v>7.1492014181206409</v>
      </c>
      <c r="L26" s="77">
        <f t="shared" si="3"/>
        <v>1.6990500326232478</v>
      </c>
      <c r="M26" s="77">
        <f t="shared" si="4"/>
        <v>1.9588526429972068</v>
      </c>
      <c r="N26" s="77">
        <f t="shared" si="5"/>
        <v>10.807104093741096</v>
      </c>
      <c r="O26" s="78">
        <f t="shared" si="6"/>
        <v>1.4582834201716501</v>
      </c>
      <c r="P26" s="61"/>
      <c r="Q26" s="97" t="s">
        <v>111</v>
      </c>
      <c r="R26" s="98">
        <f>ABS(R24)</f>
        <v>4.3591559155786719E-5</v>
      </c>
      <c r="S26" s="99"/>
      <c r="T26" s="257">
        <f t="shared" si="14"/>
        <v>0.62</v>
      </c>
      <c r="U26" s="80">
        <f t="shared" si="15"/>
        <v>0.75</v>
      </c>
      <c r="V26" s="80">
        <f t="shared" si="16"/>
        <v>0.62</v>
      </c>
      <c r="W26" s="80">
        <f t="shared" si="17"/>
        <v>0.51</v>
      </c>
      <c r="X26" s="80">
        <f t="shared" si="18"/>
        <v>0.62</v>
      </c>
      <c r="Y26" s="89"/>
      <c r="Z26" s="81">
        <f t="shared" si="7"/>
        <v>0.62</v>
      </c>
      <c r="AA26" s="82">
        <f>INDEX('Table_Previous FAR'!$B$5:$K$83,MATCH(Calculation!D26,'Table_Previous FAR'!$B$5:$B$83,0),MATCH(Calculation!$AA$7,'Table_Previous FAR'!$B$5:$K$5,))</f>
        <v>0.59</v>
      </c>
      <c r="AB26" s="73">
        <f>INDEX(Parameter!$C$19:$L$97, MATCH(Calculation!$D26,Parameter!$C$19:$C$97,0),MATCH(Calculation!AB$7,Parameter!$C$19:$L$19,0))</f>
        <v>16364072</v>
      </c>
      <c r="AC26" s="73">
        <f>INDEX(Parameter!$C$19:$L$97, MATCH(Calculation!$D26,Parameter!$C$19:$C$97,0),MATCH(Calculation!AC$7,Parameter!$C$19:$L$19,0))</f>
        <v>9565882</v>
      </c>
      <c r="AD26" s="73">
        <f>INDEX(Parameter!$C$19:$L$97, MATCH(Calculation!$D26,Parameter!$C$19:$C$97,0),MATCH(Calculation!AD$7,Parameter!$C$19:$L$19,0))</f>
        <v>6798190</v>
      </c>
      <c r="AE26" s="73">
        <f t="shared" si="19"/>
        <v>10145724.640000001</v>
      </c>
      <c r="AF26" s="32">
        <f t="shared" si="8"/>
        <v>6218347.3599999994</v>
      </c>
      <c r="AG26" s="185">
        <f t="shared" si="9"/>
        <v>579842.6400000006</v>
      </c>
      <c r="AH26" s="186">
        <f t="shared" si="10"/>
        <v>-579842.6400000006</v>
      </c>
      <c r="AI26" s="179">
        <f t="shared" si="20"/>
        <v>6.0615700674543194E-2</v>
      </c>
      <c r="AJ26" s="83">
        <f t="shared" si="21"/>
        <v>-8.5293679641198702E-2</v>
      </c>
      <c r="AK26" s="81">
        <f t="shared" si="22"/>
        <v>-9.0372696124871379E-3</v>
      </c>
      <c r="AL26" s="82">
        <f t="shared" si="23"/>
        <v>-9.0372696124871379E-3</v>
      </c>
      <c r="AM26" s="42" t="str">
        <f t="shared" si="11"/>
        <v>Westland District</v>
      </c>
      <c r="AN26" s="206">
        <f t="shared" si="24"/>
        <v>0.59</v>
      </c>
      <c r="AO26" s="202">
        <f t="shared" si="25"/>
        <v>0.62</v>
      </c>
      <c r="AQ26" s="84">
        <f>MIN(AC17,AE17)</f>
        <v>58953917</v>
      </c>
      <c r="AR26" s="84">
        <f>AE17-AQ26</f>
        <v>1669909.1200000048</v>
      </c>
      <c r="AS26" s="84">
        <f>AC17-AQ26</f>
        <v>0</v>
      </c>
      <c r="AT26" s="84"/>
      <c r="AU26" s="84"/>
      <c r="AV26" s="84"/>
    </row>
    <row r="27" spans="2:48" x14ac:dyDescent="0.25">
      <c r="B27" s="85">
        <f t="shared" si="0"/>
        <v>20</v>
      </c>
      <c r="C27" s="86">
        <v>2</v>
      </c>
      <c r="D27" s="7" t="str">
        <f>INDEX(Parameter!$B$19:$C$97,MATCH(Calculation!$C27,Parameter!$B$19:$B$97,0),MATCH(Calculation!D$7,Parameter!$B$19:$C$19,0))</f>
        <v>Kaipara District</v>
      </c>
      <c r="E27" s="73">
        <f>INDEX(Parameter!$B$19:$H$97,MATCH(Calculation!$C27,Parameter!$B$19:$B$97,0),MATCH(Calculation!E$7,Parameter!$B$19:$H$19,0))</f>
        <v>14632</v>
      </c>
      <c r="F27" s="74">
        <f>INDEX(Parameter!$B$19:$H$97,MATCH(Calculation!$C27,Parameter!$B$19:$B$97,0),MATCH(Calculation!F$7,Parameter!$B$19:$H$19,0))</f>
        <v>1042.4294905462184</v>
      </c>
      <c r="G27" s="75">
        <f>INDEX(Parameter!$B$19:$H$97,MATCH(Calculation!$C27,Parameter!$B$19:$B$97,0),MATCH(Calculation!G$7,Parameter!$B$19:$H$19,0))</f>
        <v>1.5738274518971317E-7</v>
      </c>
      <c r="H27" s="76">
        <f t="shared" si="12"/>
        <v>-0.36917075384353104</v>
      </c>
      <c r="I27" s="77">
        <f t="shared" si="1"/>
        <v>0.53139464150394689</v>
      </c>
      <c r="J27" s="78">
        <f t="shared" si="2"/>
        <v>0.21698186017131835</v>
      </c>
      <c r="K27" s="76">
        <f t="shared" si="13"/>
        <v>7.0456850535715647</v>
      </c>
      <c r="L27" s="77">
        <f t="shared" si="3"/>
        <v>2.5987793597662256</v>
      </c>
      <c r="M27" s="77">
        <f t="shared" si="4"/>
        <v>1.060505468053818</v>
      </c>
      <c r="N27" s="77">
        <f t="shared" si="5"/>
        <v>10.704969881391609</v>
      </c>
      <c r="O27" s="78">
        <f t="shared" si="6"/>
        <v>1.3561492078221633</v>
      </c>
      <c r="P27" s="61"/>
      <c r="T27" s="257">
        <f t="shared" si="14"/>
        <v>0.62</v>
      </c>
      <c r="U27" s="80">
        <f t="shared" si="15"/>
        <v>0.75</v>
      </c>
      <c r="V27" s="80">
        <f t="shared" si="16"/>
        <v>0.62</v>
      </c>
      <c r="W27" s="80">
        <f t="shared" si="17"/>
        <v>0.51</v>
      </c>
      <c r="X27" s="80">
        <f t="shared" si="18"/>
        <v>0.62</v>
      </c>
      <c r="Z27" s="81">
        <f t="shared" si="7"/>
        <v>0.62</v>
      </c>
      <c r="AA27" s="82">
        <f>INDEX('Table_Previous FAR'!$B$5:$K$83,MATCH(Calculation!D27,'Table_Previous FAR'!$B$5:$B$83,0),MATCH(Calculation!$AA$7,'Table_Previous FAR'!$B$5:$K$5,))</f>
        <v>0.61</v>
      </c>
      <c r="AB27" s="73">
        <f>INDEX(Parameter!$C$19:$L$97, MATCH(Calculation!$D27,Parameter!$C$19:$C$97,0),MATCH(Calculation!AB$7,Parameter!$C$19:$L$19,0))</f>
        <v>69406347</v>
      </c>
      <c r="AC27" s="73">
        <f>INDEX(Parameter!$C$19:$L$97, MATCH(Calculation!$D27,Parameter!$C$19:$C$97,0),MATCH(Calculation!AC$7,Parameter!$C$19:$L$19,0))</f>
        <v>42581457</v>
      </c>
      <c r="AD27" s="73">
        <f>INDEX(Parameter!$C$19:$L$97, MATCH(Calculation!$D27,Parameter!$C$19:$C$97,0),MATCH(Calculation!AD$7,Parameter!$C$19:$L$19,0))</f>
        <v>26824890</v>
      </c>
      <c r="AE27" s="73">
        <f t="shared" si="19"/>
        <v>43031935.140000001</v>
      </c>
      <c r="AF27" s="32">
        <f t="shared" si="8"/>
        <v>26374411.859999999</v>
      </c>
      <c r="AG27" s="185">
        <f t="shared" si="9"/>
        <v>450478.1400000006</v>
      </c>
      <c r="AH27" s="186">
        <f t="shared" si="10"/>
        <v>-450478.1400000006</v>
      </c>
      <c r="AI27" s="179">
        <f t="shared" si="20"/>
        <v>1.0579209161396253E-2</v>
      </c>
      <c r="AJ27" s="83">
        <f t="shared" si="21"/>
        <v>-1.6793289366703854E-2</v>
      </c>
      <c r="AK27" s="81">
        <f t="shared" si="22"/>
        <v>-7.0210297154271505E-3</v>
      </c>
      <c r="AL27" s="82">
        <f t="shared" si="23"/>
        <v>-7.0210297154271505E-3</v>
      </c>
      <c r="AM27" s="42" t="str">
        <f t="shared" si="11"/>
        <v>Kaipara District</v>
      </c>
      <c r="AN27" s="206">
        <f t="shared" si="24"/>
        <v>0.61</v>
      </c>
      <c r="AO27" s="202">
        <f t="shared" si="25"/>
        <v>0.62</v>
      </c>
      <c r="AQ27" s="84"/>
      <c r="AR27" s="84"/>
      <c r="AS27" s="84"/>
      <c r="AT27" s="84">
        <f>MIN(AD17,AF17)</f>
        <v>31230455.879999995</v>
      </c>
      <c r="AU27" s="84">
        <f>AF17-AT27</f>
        <v>0</v>
      </c>
      <c r="AV27" s="84">
        <f>AD17-AT27</f>
        <v>1669909.1200000048</v>
      </c>
    </row>
    <row r="28" spans="2:48" x14ac:dyDescent="0.25">
      <c r="B28" s="85">
        <f t="shared" si="0"/>
        <v>21</v>
      </c>
      <c r="C28" s="86">
        <v>34</v>
      </c>
      <c r="D28" s="7" t="str">
        <f>INDEX(Parameter!$B$19:$C$97,MATCH(Calculation!$C28,Parameter!$B$19:$B$97,0),MATCH(Calculation!D$7,Parameter!$B$19:$C$19,0))</f>
        <v>Stratford District</v>
      </c>
      <c r="E28" s="73">
        <f>INDEX(Parameter!$B$19:$H$97,MATCH(Calculation!$C28,Parameter!$B$19:$B$97,0),MATCH(Calculation!E$7,Parameter!$B$19:$H$19,0))</f>
        <v>4745</v>
      </c>
      <c r="F28" s="74">
        <f>INDEX(Parameter!$B$19:$H$97,MATCH(Calculation!$C28,Parameter!$B$19:$B$97,0),MATCH(Calculation!F$7,Parameter!$B$19:$H$19,0))</f>
        <v>1024.061075949367</v>
      </c>
      <c r="G28" s="75">
        <f>INDEX(Parameter!$B$19:$H$97,MATCH(Calculation!$C28,Parameter!$B$19:$B$97,0),MATCH(Calculation!G$7,Parameter!$B$19:$H$19,0))</f>
        <v>1.7236554073094792E-7</v>
      </c>
      <c r="H28" s="76">
        <f t="shared" si="12"/>
        <v>-0.49583737467233291</v>
      </c>
      <c r="I28" s="77">
        <f t="shared" si="1"/>
        <v>0.17406618429073586</v>
      </c>
      <c r="J28" s="78">
        <f t="shared" si="2"/>
        <v>0.32396920625658504</v>
      </c>
      <c r="K28" s="76">
        <f t="shared" si="13"/>
        <v>7.1723516744003666</v>
      </c>
      <c r="L28" s="77">
        <f t="shared" si="3"/>
        <v>2.2414509025530145</v>
      </c>
      <c r="M28" s="77">
        <f t="shared" si="4"/>
        <v>1.1674928141390846</v>
      </c>
      <c r="N28" s="77">
        <f t="shared" si="5"/>
        <v>10.581295391092466</v>
      </c>
      <c r="O28" s="78">
        <f t="shared" si="6"/>
        <v>1.2324747175230204</v>
      </c>
      <c r="P28" s="61"/>
      <c r="Q28" s="100"/>
      <c r="R28" s="100"/>
      <c r="S28" s="100"/>
      <c r="T28" s="257">
        <f t="shared" si="14"/>
        <v>0.61</v>
      </c>
      <c r="U28" s="80">
        <f t="shared" si="15"/>
        <v>0.75</v>
      </c>
      <c r="V28" s="80">
        <f t="shared" si="16"/>
        <v>0.61</v>
      </c>
      <c r="W28" s="80">
        <f t="shared" si="17"/>
        <v>0.51</v>
      </c>
      <c r="X28" s="80">
        <f t="shared" si="18"/>
        <v>0.61</v>
      </c>
      <c r="Y28" s="100"/>
      <c r="Z28" s="81">
        <f t="shared" si="7"/>
        <v>0.61</v>
      </c>
      <c r="AA28" s="82">
        <f>INDEX('Table_Previous FAR'!$B$5:$K$83,MATCH(Calculation!D28,'Table_Previous FAR'!$B$5:$B$83,0),MATCH(Calculation!$AA$7,'Table_Previous FAR'!$B$5:$K$5,))</f>
        <v>0.56999999999999995</v>
      </c>
      <c r="AB28" s="73">
        <f>INDEX(Parameter!$C$19:$L$97, MATCH(Calculation!$D28,Parameter!$C$19:$C$97,0),MATCH(Calculation!AB$7,Parameter!$C$19:$L$19,0))</f>
        <v>22162936</v>
      </c>
      <c r="AC28" s="73">
        <f>INDEX(Parameter!$C$19:$L$97, MATCH(Calculation!$D28,Parameter!$C$19:$C$97,0),MATCH(Calculation!AC$7,Parameter!$C$19:$L$19,0))</f>
        <v>12517535</v>
      </c>
      <c r="AD28" s="73">
        <f>INDEX(Parameter!$C$19:$L$97, MATCH(Calculation!$D28,Parameter!$C$19:$C$97,0),MATCH(Calculation!AD$7,Parameter!$C$19:$L$19,0))</f>
        <v>9645401</v>
      </c>
      <c r="AE28" s="73">
        <f t="shared" si="19"/>
        <v>13519390.959999999</v>
      </c>
      <c r="AF28" s="32">
        <f t="shared" si="8"/>
        <v>8643545.040000001</v>
      </c>
      <c r="AG28" s="185">
        <f t="shared" si="9"/>
        <v>1001855.959999999</v>
      </c>
      <c r="AH28" s="186">
        <f t="shared" si="10"/>
        <v>-1001855.959999999</v>
      </c>
      <c r="AI28" s="179">
        <f t="shared" si="20"/>
        <v>8.0036202015812144E-2</v>
      </c>
      <c r="AJ28" s="83">
        <f t="shared" si="21"/>
        <v>-0.10386877227810425</v>
      </c>
      <c r="AK28" s="81">
        <f t="shared" si="22"/>
        <v>-1.5614654388640875E-2</v>
      </c>
      <c r="AL28" s="82">
        <f t="shared" si="23"/>
        <v>-1.5614654388640875E-2</v>
      </c>
      <c r="AM28" s="42" t="str">
        <f t="shared" si="11"/>
        <v>Stratford District</v>
      </c>
      <c r="AN28" s="206">
        <f t="shared" si="24"/>
        <v>0.56999999999999995</v>
      </c>
      <c r="AO28" s="202">
        <f t="shared" si="25"/>
        <v>0.61</v>
      </c>
      <c r="AQ28" s="84">
        <f>MIN(AC18,AE18)</f>
        <v>33865995</v>
      </c>
      <c r="AR28" s="84">
        <f>AE18-AQ28</f>
        <v>1844738.5</v>
      </c>
      <c r="AS28" s="84">
        <f>AC18-AQ28</f>
        <v>0</v>
      </c>
      <c r="AT28" s="84"/>
      <c r="AU28" s="84"/>
      <c r="AV28" s="84"/>
    </row>
    <row r="29" spans="2:48" x14ac:dyDescent="0.25">
      <c r="B29" s="85">
        <f t="shared" si="0"/>
        <v>22</v>
      </c>
      <c r="C29" s="86">
        <v>14</v>
      </c>
      <c r="D29" s="7" t="str">
        <f>INDEX(Parameter!$B$19:$C$97,MATCH(Calculation!$C29,Parameter!$B$19:$B$97,0),MATCH(Calculation!D$7,Parameter!$B$19:$C$19,0))</f>
        <v>Otorohanga District</v>
      </c>
      <c r="E29" s="73">
        <f>INDEX(Parameter!$B$19:$H$97,MATCH(Calculation!$C29,Parameter!$B$19:$B$97,0),MATCH(Calculation!E$7,Parameter!$B$19:$H$19,0))</f>
        <v>4933</v>
      </c>
      <c r="F29" s="74">
        <f>INDEX(Parameter!$B$19:$H$97,MATCH(Calculation!$C29,Parameter!$B$19:$B$97,0),MATCH(Calculation!F$7,Parameter!$B$19:$H$19,0))</f>
        <v>1026.8116458704694</v>
      </c>
      <c r="G29" s="75">
        <f>INDEX(Parameter!$B$19:$H$97,MATCH(Calculation!$C29,Parameter!$B$19:$B$97,0),MATCH(Calculation!G$7,Parameter!$B$19:$H$19,0))</f>
        <v>1.6478271808379793E-7</v>
      </c>
      <c r="H29" s="76">
        <f t="shared" si="12"/>
        <v>-0.493428825596191</v>
      </c>
      <c r="I29" s="77">
        <f t="shared" si="1"/>
        <v>0.22757417221110104</v>
      </c>
      <c r="J29" s="78">
        <f t="shared" si="2"/>
        <v>0.2698226974411162</v>
      </c>
      <c r="K29" s="76">
        <f t="shared" si="13"/>
        <v>7.1699431253242247</v>
      </c>
      <c r="L29" s="77">
        <f t="shared" si="3"/>
        <v>2.2949588904733798</v>
      </c>
      <c r="M29" s="77">
        <f t="shared" si="4"/>
        <v>1.1133463053236157</v>
      </c>
      <c r="N29" s="77">
        <f t="shared" si="5"/>
        <v>10.578248321121221</v>
      </c>
      <c r="O29" s="78">
        <f t="shared" si="6"/>
        <v>1.2294276475517751</v>
      </c>
      <c r="P29" s="61"/>
      <c r="Q29" s="100"/>
      <c r="R29" s="100"/>
      <c r="S29" s="100"/>
      <c r="T29" s="257">
        <f t="shared" si="14"/>
        <v>0.61</v>
      </c>
      <c r="U29" s="80">
        <f t="shared" si="15"/>
        <v>0.75</v>
      </c>
      <c r="V29" s="80">
        <f t="shared" si="16"/>
        <v>0.61</v>
      </c>
      <c r="W29" s="80">
        <f t="shared" si="17"/>
        <v>0.51</v>
      </c>
      <c r="X29" s="80">
        <f t="shared" si="18"/>
        <v>0.61</v>
      </c>
      <c r="Y29" s="100"/>
      <c r="Z29" s="81">
        <f t="shared" si="7"/>
        <v>0.61</v>
      </c>
      <c r="AA29" s="82">
        <f>INDEX('Table_Previous FAR'!$B$5:$K$83,MATCH(Calculation!D29,'Table_Previous FAR'!$B$5:$B$83,0),MATCH(Calculation!$AA$7,'Table_Previous FAR'!$B$5:$K$5,))</f>
        <v>0.57999999999999996</v>
      </c>
      <c r="AB29" s="73">
        <f>INDEX(Parameter!$C$19:$L$97, MATCH(Calculation!$D29,Parameter!$C$19:$C$97,0),MATCH(Calculation!AB$7,Parameter!$C$19:$L$19,0))</f>
        <v>26624221</v>
      </c>
      <c r="AC29" s="73">
        <f>INDEX(Parameter!$C$19:$L$97, MATCH(Calculation!$D29,Parameter!$C$19:$C$97,0),MATCH(Calculation!AC$7,Parameter!$C$19:$L$19,0))</f>
        <v>15209115</v>
      </c>
      <c r="AD29" s="73">
        <f>INDEX(Parameter!$C$19:$L$97, MATCH(Calculation!$D29,Parameter!$C$19:$C$97,0),MATCH(Calculation!AD$7,Parameter!$C$19:$L$19,0))</f>
        <v>11415106</v>
      </c>
      <c r="AE29" s="73">
        <f t="shared" si="19"/>
        <v>16240774.810000001</v>
      </c>
      <c r="AF29" s="32">
        <f t="shared" si="8"/>
        <v>10383446.189999999</v>
      </c>
      <c r="AG29" s="185">
        <f t="shared" si="9"/>
        <v>1031659.8100000005</v>
      </c>
      <c r="AH29" s="186">
        <f t="shared" si="10"/>
        <v>-1031659.8100000005</v>
      </c>
      <c r="AI29" s="179">
        <f t="shared" si="20"/>
        <v>6.7831679226569103E-2</v>
      </c>
      <c r="AJ29" s="83">
        <f t="shared" si="21"/>
        <v>-9.0376717482956406E-2</v>
      </c>
      <c r="AK29" s="81">
        <f t="shared" si="22"/>
        <v>-1.6079169085145669E-2</v>
      </c>
      <c r="AL29" s="82">
        <f t="shared" si="23"/>
        <v>-1.6079169085145669E-2</v>
      </c>
      <c r="AM29" s="42" t="str">
        <f t="shared" si="11"/>
        <v>Otorohanga District</v>
      </c>
      <c r="AN29" s="206">
        <f t="shared" si="24"/>
        <v>0.57999999999999996</v>
      </c>
      <c r="AO29" s="202">
        <f t="shared" si="25"/>
        <v>0.61</v>
      </c>
      <c r="AQ29" s="84"/>
      <c r="AR29" s="84"/>
      <c r="AS29" s="84"/>
      <c r="AT29" s="84">
        <f>MIN(AD18,AF18)</f>
        <v>19228856.5</v>
      </c>
      <c r="AU29" s="84">
        <f>AF18-AT29</f>
        <v>0</v>
      </c>
      <c r="AV29" s="84">
        <f>AD18-AT29</f>
        <v>1844738.5</v>
      </c>
    </row>
    <row r="30" spans="2:48" x14ac:dyDescent="0.25">
      <c r="B30" s="85">
        <f t="shared" si="0"/>
        <v>23</v>
      </c>
      <c r="C30" s="86">
        <v>41</v>
      </c>
      <c r="D30" s="7" t="str">
        <f>INDEX(Parameter!$B$19:$C$97,MATCH(Calculation!$C30,Parameter!$B$19:$B$97,0),MATCH(Calculation!D$7,Parameter!$B$19:$C$19,0))</f>
        <v>Wanganui District</v>
      </c>
      <c r="E30" s="73">
        <f>INDEX(Parameter!$B$19:$H$97,MATCH(Calculation!$C30,Parameter!$B$19:$B$97,0),MATCH(Calculation!E$7,Parameter!$B$19:$H$19,0))</f>
        <v>21044</v>
      </c>
      <c r="F30" s="74">
        <f>INDEX(Parameter!$B$19:$H$97,MATCH(Calculation!$C30,Parameter!$B$19:$B$97,0),MATCH(Calculation!F$7,Parameter!$B$19:$H$19,0))</f>
        <v>1062.8719883505428</v>
      </c>
      <c r="G30" s="75">
        <f>INDEX(Parameter!$B$19:$H$97,MATCH(Calculation!$C30,Parameter!$B$19:$B$97,0),MATCH(Calculation!G$7,Parameter!$B$19:$H$19,0))</f>
        <v>9.1234618008186798E-8</v>
      </c>
      <c r="H30" s="76">
        <f t="shared" si="12"/>
        <v>-0.28702385662958574</v>
      </c>
      <c r="I30" s="77">
        <f t="shared" si="1"/>
        <v>0.92907110745522259</v>
      </c>
      <c r="J30" s="78">
        <f t="shared" si="2"/>
        <v>-0.25536073812319032</v>
      </c>
      <c r="K30" s="76">
        <f t="shared" si="13"/>
        <v>6.9635381563576191</v>
      </c>
      <c r="L30" s="77">
        <f t="shared" si="3"/>
        <v>2.9964558257175011</v>
      </c>
      <c r="M30" s="77">
        <f t="shared" si="4"/>
        <v>0.58816286975930931</v>
      </c>
      <c r="N30" s="77">
        <f t="shared" si="5"/>
        <v>10.548156851834429</v>
      </c>
      <c r="O30" s="78">
        <f t="shared" si="6"/>
        <v>1.1993361782649838</v>
      </c>
      <c r="P30" s="61"/>
      <c r="Q30" s="100"/>
      <c r="R30" s="100"/>
      <c r="S30" s="100"/>
      <c r="T30" s="257">
        <f t="shared" si="14"/>
        <v>0.6</v>
      </c>
      <c r="U30" s="80">
        <f t="shared" si="15"/>
        <v>0.75</v>
      </c>
      <c r="V30" s="80">
        <f t="shared" si="16"/>
        <v>0.6</v>
      </c>
      <c r="W30" s="80">
        <f t="shared" si="17"/>
        <v>0.51</v>
      </c>
      <c r="X30" s="80">
        <f t="shared" si="18"/>
        <v>0.6</v>
      </c>
      <c r="Y30" s="100"/>
      <c r="Z30" s="81">
        <f t="shared" si="7"/>
        <v>0.6</v>
      </c>
      <c r="AA30" s="82">
        <f>INDEX('Table_Previous FAR'!$B$5:$K$83,MATCH(Calculation!D30,'Table_Previous FAR'!$B$5:$B$83,0),MATCH(Calculation!$AA$7,'Table_Previous FAR'!$B$5:$K$5,))</f>
        <v>0.61</v>
      </c>
      <c r="AB30" s="73">
        <f>INDEX(Parameter!$C$19:$L$97, MATCH(Calculation!$D30,Parameter!$C$19:$C$97,0),MATCH(Calculation!AB$7,Parameter!$C$19:$L$19,0))</f>
        <v>51608935</v>
      </c>
      <c r="AC30" s="73">
        <f>INDEX(Parameter!$C$19:$L$97, MATCH(Calculation!$D30,Parameter!$C$19:$C$97,0),MATCH(Calculation!AC$7,Parameter!$C$19:$L$19,0))</f>
        <v>32769480</v>
      </c>
      <c r="AD30" s="73">
        <f>INDEX(Parameter!$C$19:$L$97, MATCH(Calculation!$D30,Parameter!$C$19:$C$97,0),MATCH(Calculation!AD$7,Parameter!$C$19:$L$19,0))</f>
        <v>18839455</v>
      </c>
      <c r="AE30" s="73">
        <f t="shared" si="19"/>
        <v>30965361</v>
      </c>
      <c r="AF30" s="32">
        <f t="shared" si="8"/>
        <v>20643574</v>
      </c>
      <c r="AG30" s="185">
        <f t="shared" si="9"/>
        <v>-1804119</v>
      </c>
      <c r="AH30" s="186">
        <f t="shared" si="10"/>
        <v>1804119</v>
      </c>
      <c r="AI30" s="179">
        <f t="shared" si="20"/>
        <v>-5.5054855920814126E-2</v>
      </c>
      <c r="AJ30" s="83">
        <f t="shared" si="21"/>
        <v>9.5762802055579632E-2</v>
      </c>
      <c r="AK30" s="81">
        <f t="shared" si="22"/>
        <v>2.8118507835178636E-2</v>
      </c>
      <c r="AL30" s="82">
        <f t="shared" si="23"/>
        <v>2.8118507835178636E-2</v>
      </c>
      <c r="AM30" s="42" t="str">
        <f t="shared" si="11"/>
        <v>Wanganui District</v>
      </c>
      <c r="AN30" s="206">
        <f t="shared" si="24"/>
        <v>0.61</v>
      </c>
      <c r="AO30" s="202">
        <f t="shared" si="25"/>
        <v>0.6</v>
      </c>
      <c r="AQ30" s="84">
        <f>MIN(AC19,AE19)</f>
        <v>14714197</v>
      </c>
      <c r="AR30" s="84">
        <f>AE19-AQ30</f>
        <v>1143521.4000000004</v>
      </c>
      <c r="AS30" s="84">
        <f>AC19-AQ30</f>
        <v>0</v>
      </c>
      <c r="AT30" s="84"/>
      <c r="AU30" s="84"/>
      <c r="AV30" s="84"/>
    </row>
    <row r="31" spans="2:48" x14ac:dyDescent="0.25">
      <c r="B31" s="85">
        <f t="shared" si="0"/>
        <v>24</v>
      </c>
      <c r="C31" s="86">
        <v>12</v>
      </c>
      <c r="D31" s="7" t="str">
        <f>INDEX(Parameter!$B$19:$C$97,MATCH(Calculation!$C31,Parameter!$B$19:$B$97,0),MATCH(Calculation!D$7,Parameter!$B$19:$C$19,0))</f>
        <v>Hauraki District</v>
      </c>
      <c r="E31" s="73">
        <f>INDEX(Parameter!$B$19:$H$97,MATCH(Calculation!$C31,Parameter!$B$19:$B$97,0),MATCH(Calculation!E$7,Parameter!$B$19:$H$19,0))</f>
        <v>11100</v>
      </c>
      <c r="F31" s="74">
        <f>INDEX(Parameter!$B$19:$H$97,MATCH(Calculation!$C31,Parameter!$B$19:$B$97,0),MATCH(Calculation!F$7,Parameter!$B$19:$H$19,0))</f>
        <v>1055.1534653465346</v>
      </c>
      <c r="G31" s="75">
        <f>INDEX(Parameter!$B$19:$H$97,MATCH(Calculation!$C31,Parameter!$B$19:$B$97,0),MATCH(Calculation!G$7,Parameter!$B$19:$H$19,0))</f>
        <v>8.4528745950533429E-8</v>
      </c>
      <c r="H31" s="76">
        <f t="shared" si="12"/>
        <v>-0.41442072903998378</v>
      </c>
      <c r="I31" s="77">
        <f t="shared" si="1"/>
        <v>0.77891944888694953</v>
      </c>
      <c r="J31" s="78">
        <f t="shared" si="2"/>
        <v>-0.30324522354256189</v>
      </c>
      <c r="K31" s="76">
        <f t="shared" si="13"/>
        <v>7.0909350287680173</v>
      </c>
      <c r="L31" s="77">
        <f t="shared" si="3"/>
        <v>2.8463041671492282</v>
      </c>
      <c r="M31" s="77">
        <f t="shared" si="4"/>
        <v>0.54027838433993769</v>
      </c>
      <c r="N31" s="77">
        <f t="shared" si="5"/>
        <v>10.477517580257183</v>
      </c>
      <c r="O31" s="78">
        <f t="shared" si="6"/>
        <v>1.1286969066877379</v>
      </c>
      <c r="P31" s="61"/>
      <c r="T31" s="257">
        <f t="shared" si="14"/>
        <v>0.6</v>
      </c>
      <c r="U31" s="80">
        <f t="shared" si="15"/>
        <v>0.75</v>
      </c>
      <c r="V31" s="80">
        <f t="shared" si="16"/>
        <v>0.6</v>
      </c>
      <c r="W31" s="80">
        <f t="shared" si="17"/>
        <v>0.51</v>
      </c>
      <c r="X31" s="80">
        <f t="shared" si="18"/>
        <v>0.6</v>
      </c>
      <c r="Z31" s="81">
        <f t="shared" si="7"/>
        <v>0.6</v>
      </c>
      <c r="AA31" s="82">
        <f>INDEX('Table_Previous FAR'!$B$5:$K$83,MATCH(Calculation!D31,'Table_Previous FAR'!$B$5:$B$83,0),MATCH(Calculation!$AA$7,'Table_Previous FAR'!$B$5:$K$5,))</f>
        <v>0.6</v>
      </c>
      <c r="AB31" s="73">
        <f>INDEX(Parameter!$C$19:$L$97, MATCH(Calculation!$D31,Parameter!$C$19:$C$97,0),MATCH(Calculation!AB$7,Parameter!$C$19:$L$19,0))</f>
        <v>23338105</v>
      </c>
      <c r="AC31" s="73">
        <f>INDEX(Parameter!$C$19:$L$97, MATCH(Calculation!$D31,Parameter!$C$19:$C$97,0),MATCH(Calculation!AC$7,Parameter!$C$19:$L$19,0))</f>
        <v>13701736</v>
      </c>
      <c r="AD31" s="73">
        <f>INDEX(Parameter!$C$19:$L$97, MATCH(Calculation!$D31,Parameter!$C$19:$C$97,0),MATCH(Calculation!AD$7,Parameter!$C$19:$L$19,0))</f>
        <v>9636369</v>
      </c>
      <c r="AE31" s="73">
        <f t="shared" si="19"/>
        <v>14002863</v>
      </c>
      <c r="AF31" s="32">
        <f t="shared" si="8"/>
        <v>9335242</v>
      </c>
      <c r="AG31" s="185">
        <f t="shared" si="9"/>
        <v>301127</v>
      </c>
      <c r="AH31" s="186">
        <f t="shared" si="10"/>
        <v>-301127</v>
      </c>
      <c r="AI31" s="179">
        <f t="shared" si="20"/>
        <v>2.1977288133416088E-2</v>
      </c>
      <c r="AJ31" s="83">
        <f t="shared" si="21"/>
        <v>-3.1249010908569401E-2</v>
      </c>
      <c r="AK31" s="81">
        <f t="shared" si="22"/>
        <v>-4.6932834856702006E-3</v>
      </c>
      <c r="AL31" s="82">
        <f t="shared" si="23"/>
        <v>-4.6932834856702006E-3</v>
      </c>
      <c r="AM31" s="42" t="str">
        <f t="shared" si="11"/>
        <v>Hauraki District</v>
      </c>
      <c r="AN31" s="206">
        <f t="shared" si="24"/>
        <v>0.6</v>
      </c>
      <c r="AO31" s="202">
        <f t="shared" si="25"/>
        <v>0.6</v>
      </c>
      <c r="AQ31" s="84"/>
      <c r="AR31" s="84"/>
      <c r="AS31" s="84"/>
      <c r="AT31" s="84">
        <f>MIN(AD19,AF19)</f>
        <v>8919966.5999999996</v>
      </c>
      <c r="AU31" s="84">
        <f>AF19-AT31</f>
        <v>0</v>
      </c>
      <c r="AV31" s="84">
        <f>AD19-AT31</f>
        <v>1143521.4000000004</v>
      </c>
    </row>
    <row r="32" spans="2:48" x14ac:dyDescent="0.25">
      <c r="B32" s="85">
        <f t="shared" si="0"/>
        <v>25</v>
      </c>
      <c r="C32" s="86">
        <v>35</v>
      </c>
      <c r="D32" s="7" t="str">
        <f>INDEX(Parameter!$B$19:$C$97,MATCH(Calculation!$C32,Parameter!$B$19:$B$97,0),MATCH(Calculation!D$7,Parameter!$B$19:$C$19,0))</f>
        <v>Horowhenua District</v>
      </c>
      <c r="E32" s="73">
        <f>INDEX(Parameter!$B$19:$H$97,MATCH(Calculation!$C32,Parameter!$B$19:$B$97,0),MATCH(Calculation!E$7,Parameter!$B$19:$H$19,0))</f>
        <v>17716</v>
      </c>
      <c r="F32" s="74">
        <f>INDEX(Parameter!$B$19:$H$97,MATCH(Calculation!$C32,Parameter!$B$19:$B$97,0),MATCH(Calculation!F$7,Parameter!$B$19:$H$19,0))</f>
        <v>1066.5490797546013</v>
      </c>
      <c r="G32" s="75">
        <f>INDEX(Parameter!$B$19:$H$97,MATCH(Calculation!$C32,Parameter!$B$19:$B$97,0),MATCH(Calculation!G$7,Parameter!$B$19:$H$19,0))</f>
        <v>6.40409100198357E-8</v>
      </c>
      <c r="H32" s="76">
        <f t="shared" si="12"/>
        <v>-0.32966029984979939</v>
      </c>
      <c r="I32" s="77">
        <f t="shared" si="1"/>
        <v>1.0006031055771187</v>
      </c>
      <c r="J32" s="78">
        <f t="shared" si="2"/>
        <v>-0.44954230056154659</v>
      </c>
      <c r="K32" s="76">
        <f t="shared" si="13"/>
        <v>7.0061745995778333</v>
      </c>
      <c r="L32" s="77">
        <f t="shared" si="3"/>
        <v>3.0679878238393972</v>
      </c>
      <c r="M32" s="77">
        <f t="shared" si="4"/>
        <v>0.39398130732095299</v>
      </c>
      <c r="N32" s="77">
        <f t="shared" si="5"/>
        <v>10.468143730738184</v>
      </c>
      <c r="O32" s="78">
        <f t="shared" si="6"/>
        <v>1.1193230571687387</v>
      </c>
      <c r="P32" s="61"/>
      <c r="R32" s="101"/>
      <c r="S32" s="101"/>
      <c r="T32" s="257">
        <f t="shared" si="14"/>
        <v>0.6</v>
      </c>
      <c r="U32" s="80">
        <f t="shared" si="15"/>
        <v>0.75</v>
      </c>
      <c r="V32" s="80">
        <f t="shared" si="16"/>
        <v>0.6</v>
      </c>
      <c r="W32" s="80">
        <f t="shared" si="17"/>
        <v>0.51</v>
      </c>
      <c r="X32" s="80">
        <f t="shared" si="18"/>
        <v>0.6</v>
      </c>
      <c r="Y32" s="101"/>
      <c r="Z32" s="81">
        <f t="shared" si="7"/>
        <v>0.6</v>
      </c>
      <c r="AA32" s="82">
        <f>INDEX('Table_Previous FAR'!$B$5:$K$83,MATCH(Calculation!D32,'Table_Previous FAR'!$B$5:$B$83,0),MATCH(Calculation!$AA$7,'Table_Previous FAR'!$B$5:$K$5,))</f>
        <v>0.59</v>
      </c>
      <c r="AB32" s="73">
        <f>INDEX(Parameter!$C$19:$L$97, MATCH(Calculation!$D32,Parameter!$C$19:$C$97,0),MATCH(Calculation!AB$7,Parameter!$C$19:$L$19,0))</f>
        <v>28267942</v>
      </c>
      <c r="AC32" s="73">
        <f>INDEX(Parameter!$C$19:$L$97, MATCH(Calculation!$D32,Parameter!$C$19:$C$97,0),MATCH(Calculation!AC$7,Parameter!$C$19:$L$19,0))</f>
        <v>15424561</v>
      </c>
      <c r="AD32" s="73">
        <f>INDEX(Parameter!$C$19:$L$97, MATCH(Calculation!$D32,Parameter!$C$19:$C$97,0),MATCH(Calculation!AD$7,Parameter!$C$19:$L$19,0))</f>
        <v>12843381</v>
      </c>
      <c r="AE32" s="73">
        <f t="shared" si="19"/>
        <v>16960765.199999999</v>
      </c>
      <c r="AF32" s="32">
        <f t="shared" si="8"/>
        <v>11307176.800000001</v>
      </c>
      <c r="AG32" s="185">
        <f t="shared" si="9"/>
        <v>1536204.1999999993</v>
      </c>
      <c r="AH32" s="186">
        <f t="shared" si="10"/>
        <v>-1536204.1999999993</v>
      </c>
      <c r="AI32" s="179">
        <f t="shared" si="20"/>
        <v>9.9594678902044556E-2</v>
      </c>
      <c r="AJ32" s="83">
        <f t="shared" si="21"/>
        <v>-0.11961057606248691</v>
      </c>
      <c r="AK32" s="81">
        <f t="shared" si="22"/>
        <v>-2.3942860661704857E-2</v>
      </c>
      <c r="AL32" s="82">
        <f t="shared" si="23"/>
        <v>-2.3942860661704857E-2</v>
      </c>
      <c r="AM32" s="42" t="str">
        <f t="shared" si="11"/>
        <v>Horowhenua District</v>
      </c>
      <c r="AN32" s="206">
        <f t="shared" si="24"/>
        <v>0.59</v>
      </c>
      <c r="AO32" s="202">
        <f t="shared" si="25"/>
        <v>0.6</v>
      </c>
      <c r="AQ32" s="84">
        <f>MIN(AC20,AE20)</f>
        <v>9986639</v>
      </c>
      <c r="AR32" s="84">
        <f>AE20-AQ32</f>
        <v>1323333.4800000004</v>
      </c>
      <c r="AS32" s="84">
        <f>AC20-AQ32</f>
        <v>0</v>
      </c>
      <c r="AT32" s="84"/>
      <c r="AU32" s="84"/>
      <c r="AV32" s="84"/>
    </row>
    <row r="33" spans="2:48" x14ac:dyDescent="0.25">
      <c r="B33" s="85">
        <f t="shared" si="0"/>
        <v>26</v>
      </c>
      <c r="C33" s="86">
        <v>71</v>
      </c>
      <c r="D33" s="7" t="str">
        <f>INDEX(Parameter!$B$19:$C$97,MATCH(Calculation!$C33,Parameter!$B$19:$B$97,0),MATCH(Calculation!D$7,Parameter!$B$19:$C$19,0))</f>
        <v>Gore District</v>
      </c>
      <c r="E33" s="73">
        <f>INDEX(Parameter!$B$19:$H$97,MATCH(Calculation!$C33,Parameter!$B$19:$B$97,0),MATCH(Calculation!E$7,Parameter!$B$19:$H$19,0))</f>
        <v>6606</v>
      </c>
      <c r="F33" s="74">
        <f>INDEX(Parameter!$B$19:$H$97,MATCH(Calculation!$C33,Parameter!$B$19:$B$97,0),MATCH(Calculation!F$7,Parameter!$B$19:$H$19,0))</f>
        <v>993.19283813210745</v>
      </c>
      <c r="G33" s="75">
        <f>INDEX(Parameter!$B$19:$H$97,MATCH(Calculation!$C33,Parameter!$B$19:$B$97,0),MATCH(Calculation!G$7,Parameter!$B$19:$H$19,0))</f>
        <v>2.3846696798326597E-7</v>
      </c>
      <c r="H33" s="76">
        <f t="shared" si="12"/>
        <v>-0.4719953011047795</v>
      </c>
      <c r="I33" s="77">
        <f t="shared" si="1"/>
        <v>-0.42642656580336213</v>
      </c>
      <c r="J33" s="78">
        <f t="shared" si="2"/>
        <v>0.79597833530801299</v>
      </c>
      <c r="K33" s="76">
        <f t="shared" si="13"/>
        <v>7.1485096008328135</v>
      </c>
      <c r="L33" s="77">
        <f t="shared" si="3"/>
        <v>1.6409581524589165</v>
      </c>
      <c r="M33" s="77">
        <f t="shared" si="4"/>
        <v>1.6395019431905125</v>
      </c>
      <c r="N33" s="77">
        <f t="shared" si="5"/>
        <v>10.428969696482241</v>
      </c>
      <c r="O33" s="78">
        <f t="shared" si="6"/>
        <v>1.0801490229127957</v>
      </c>
      <c r="P33" s="61"/>
      <c r="T33" s="257">
        <f t="shared" si="14"/>
        <v>0.59</v>
      </c>
      <c r="U33" s="80">
        <f t="shared" si="15"/>
        <v>0.75</v>
      </c>
      <c r="V33" s="80">
        <f t="shared" si="16"/>
        <v>0.59</v>
      </c>
      <c r="W33" s="80">
        <f t="shared" si="17"/>
        <v>0.51</v>
      </c>
      <c r="X33" s="80">
        <f t="shared" si="18"/>
        <v>0.59</v>
      </c>
      <c r="Z33" s="81">
        <f t="shared" si="7"/>
        <v>0.59</v>
      </c>
      <c r="AA33" s="82">
        <f>INDEX('Table_Previous FAR'!$B$5:$K$83,MATCH(Calculation!D33,'Table_Previous FAR'!$B$5:$B$83,0),MATCH(Calculation!$AA$7,'Table_Previous FAR'!$B$5:$K$5,))</f>
        <v>0.55000000000000004</v>
      </c>
      <c r="AB33" s="73">
        <f>INDEX(Parameter!$C$19:$L$97, MATCH(Calculation!$D33,Parameter!$C$19:$C$97,0),MATCH(Calculation!AB$7,Parameter!$C$19:$L$19,0))</f>
        <v>15787244</v>
      </c>
      <c r="AC33" s="73">
        <f>INDEX(Parameter!$C$19:$L$97, MATCH(Calculation!$D33,Parameter!$C$19:$C$97,0),MATCH(Calculation!AC$7,Parameter!$C$19:$L$19,0))</f>
        <v>8849455</v>
      </c>
      <c r="AD33" s="73">
        <f>INDEX(Parameter!$C$19:$L$97, MATCH(Calculation!$D33,Parameter!$C$19:$C$97,0),MATCH(Calculation!AD$7,Parameter!$C$19:$L$19,0))</f>
        <v>6937789</v>
      </c>
      <c r="AE33" s="73">
        <f t="shared" si="19"/>
        <v>9314473.959999999</v>
      </c>
      <c r="AF33" s="32">
        <f t="shared" si="8"/>
        <v>6472770.040000001</v>
      </c>
      <c r="AG33" s="185">
        <f t="shared" si="9"/>
        <v>465018.95999999903</v>
      </c>
      <c r="AH33" s="186">
        <f t="shared" si="10"/>
        <v>-465018.95999999903</v>
      </c>
      <c r="AI33" s="179">
        <f t="shared" si="20"/>
        <v>5.254775124569807E-2</v>
      </c>
      <c r="AJ33" s="83">
        <f t="shared" si="21"/>
        <v>-6.7026967813520855E-2</v>
      </c>
      <c r="AK33" s="81">
        <f t="shared" si="22"/>
        <v>-7.2476589794057897E-3</v>
      </c>
      <c r="AL33" s="82">
        <f t="shared" si="23"/>
        <v>-7.2476589794057897E-3</v>
      </c>
      <c r="AM33" s="42" t="str">
        <f t="shared" si="11"/>
        <v>Gore District</v>
      </c>
      <c r="AN33" s="206">
        <f t="shared" si="24"/>
        <v>0.55000000000000004</v>
      </c>
      <c r="AO33" s="202">
        <f t="shared" si="25"/>
        <v>0.59</v>
      </c>
      <c r="AQ33" s="84"/>
      <c r="AR33" s="84"/>
      <c r="AS33" s="84"/>
      <c r="AT33" s="84">
        <f>MIN(AD20,AF20)</f>
        <v>6361859.5199999996</v>
      </c>
      <c r="AU33" s="84">
        <f>AF20-AT33</f>
        <v>0</v>
      </c>
      <c r="AV33" s="84">
        <f>AD20-AT33</f>
        <v>1323333.4800000004</v>
      </c>
    </row>
    <row r="34" spans="2:48" x14ac:dyDescent="0.25">
      <c r="B34" s="85">
        <f t="shared" si="0"/>
        <v>27</v>
      </c>
      <c r="C34" s="86">
        <v>28</v>
      </c>
      <c r="D34" s="7" t="str">
        <f>INDEX(Parameter!$B$19:$C$97,MATCH(Calculation!$C34,Parameter!$B$19:$B$97,0),MATCH(Calculation!D$7,Parameter!$B$19:$C$19,0))</f>
        <v>Central Hawke's Bay District</v>
      </c>
      <c r="E34" s="73">
        <f>INDEX(Parameter!$B$19:$H$97,MATCH(Calculation!$C34,Parameter!$B$19:$B$97,0),MATCH(Calculation!E$7,Parameter!$B$19:$H$19,0))</f>
        <v>7471</v>
      </c>
      <c r="F34" s="74">
        <f>INDEX(Parameter!$B$19:$H$97,MATCH(Calculation!$C34,Parameter!$B$19:$B$97,0),MATCH(Calculation!F$7,Parameter!$B$19:$H$19,0))</f>
        <v>1005.2979851537646</v>
      </c>
      <c r="G34" s="75">
        <f>INDEX(Parameter!$B$19:$H$97,MATCH(Calculation!$C34,Parameter!$B$19:$B$97,0),MATCH(Calculation!G$7,Parameter!$B$19:$H$19,0))</f>
        <v>1.9413132773852779E-7</v>
      </c>
      <c r="H34" s="76">
        <f t="shared" si="12"/>
        <v>-0.46091341306827566</v>
      </c>
      <c r="I34" s="77">
        <f t="shared" si="1"/>
        <v>-0.19094007420765924</v>
      </c>
      <c r="J34" s="78">
        <f t="shared" si="2"/>
        <v>0.47939172276822939</v>
      </c>
      <c r="K34" s="76">
        <f t="shared" si="13"/>
        <v>7.1374277127963088</v>
      </c>
      <c r="L34" s="77">
        <f t="shared" si="3"/>
        <v>1.8764446440546194</v>
      </c>
      <c r="M34" s="77">
        <f t="shared" si="4"/>
        <v>1.3229153306507291</v>
      </c>
      <c r="N34" s="77">
        <f t="shared" si="5"/>
        <v>10.336787687501658</v>
      </c>
      <c r="O34" s="78">
        <f t="shared" si="6"/>
        <v>0.98796701393221298</v>
      </c>
      <c r="P34" s="61"/>
      <c r="T34" s="257">
        <f t="shared" si="14"/>
        <v>0.59</v>
      </c>
      <c r="U34" s="80">
        <f t="shared" si="15"/>
        <v>0.75</v>
      </c>
      <c r="V34" s="80">
        <f t="shared" si="16"/>
        <v>0.59</v>
      </c>
      <c r="W34" s="80">
        <f t="shared" si="17"/>
        <v>0.51</v>
      </c>
      <c r="X34" s="80">
        <f t="shared" si="18"/>
        <v>0.59</v>
      </c>
      <c r="Z34" s="81">
        <f t="shared" si="7"/>
        <v>0.59</v>
      </c>
      <c r="AA34" s="82">
        <f>INDEX('Table_Previous FAR'!$B$5:$K$83,MATCH(Calculation!D34,'Table_Previous FAR'!$B$5:$B$83,0),MATCH(Calculation!$AA$7,'Table_Previous FAR'!$B$5:$K$5,))</f>
        <v>0.6</v>
      </c>
      <c r="AB34" s="73">
        <f>INDEX(Parameter!$C$19:$L$97, MATCH(Calculation!$D34,Parameter!$C$19:$C$97,0),MATCH(Calculation!AB$7,Parameter!$C$19:$L$19,0))</f>
        <v>43000883</v>
      </c>
      <c r="AC34" s="73">
        <f>INDEX(Parameter!$C$19:$L$97, MATCH(Calculation!$D34,Parameter!$C$19:$C$97,0),MATCH(Calculation!AC$7,Parameter!$C$19:$L$19,0))</f>
        <v>25800529</v>
      </c>
      <c r="AD34" s="73">
        <f>INDEX(Parameter!$C$19:$L$97, MATCH(Calculation!$D34,Parameter!$C$19:$C$97,0),MATCH(Calculation!AD$7,Parameter!$C$19:$L$19,0))</f>
        <v>17200354</v>
      </c>
      <c r="AE34" s="73">
        <f t="shared" si="19"/>
        <v>25370520.969999999</v>
      </c>
      <c r="AF34" s="32">
        <f t="shared" si="8"/>
        <v>17630362.030000001</v>
      </c>
      <c r="AG34" s="185">
        <f t="shared" si="9"/>
        <v>-430008.03000000119</v>
      </c>
      <c r="AH34" s="186">
        <f t="shared" si="10"/>
        <v>430008.03000000119</v>
      </c>
      <c r="AI34" s="179">
        <f t="shared" si="20"/>
        <v>-1.6666636176335809E-2</v>
      </c>
      <c r="AJ34" s="83">
        <f t="shared" si="21"/>
        <v>2.4999952326562651E-2</v>
      </c>
      <c r="AK34" s="81">
        <f t="shared" si="22"/>
        <v>6.7019881508618689E-3</v>
      </c>
      <c r="AL34" s="82">
        <f t="shared" si="23"/>
        <v>6.7019881508618689E-3</v>
      </c>
      <c r="AM34" s="42" t="str">
        <f t="shared" si="11"/>
        <v>Central Hawke's Bay District</v>
      </c>
      <c r="AN34" s="206">
        <f t="shared" si="24"/>
        <v>0.6</v>
      </c>
      <c r="AO34" s="202">
        <f t="shared" si="25"/>
        <v>0.59</v>
      </c>
      <c r="AQ34" s="84">
        <f>MIN(AC21,AE21)</f>
        <v>318449</v>
      </c>
      <c r="AR34" s="84">
        <f>AE21-AQ34</f>
        <v>41364.760000000009</v>
      </c>
      <c r="AS34" s="84">
        <f>AC21-AQ34</f>
        <v>0</v>
      </c>
      <c r="AT34" s="84"/>
      <c r="AU34" s="84"/>
      <c r="AV34" s="84"/>
    </row>
    <row r="35" spans="2:48" x14ac:dyDescent="0.25">
      <c r="B35" s="85">
        <f t="shared" si="0"/>
        <v>28</v>
      </c>
      <c r="C35" s="86">
        <v>70</v>
      </c>
      <c r="D35" s="7" t="str">
        <f>INDEX(Parameter!$B$19:$C$97,MATCH(Calculation!$C35,Parameter!$B$19:$B$97,0),MATCH(Calculation!D$7,Parameter!$B$19:$C$19,0))</f>
        <v>Waitaki District</v>
      </c>
      <c r="E35" s="73">
        <f>INDEX(Parameter!$B$19:$H$97,MATCH(Calculation!$C35,Parameter!$B$19:$B$97,0),MATCH(Calculation!E$7,Parameter!$B$19:$H$19,0))</f>
        <v>13770</v>
      </c>
      <c r="F35" s="74">
        <f>INDEX(Parameter!$B$19:$H$97,MATCH(Calculation!$C35,Parameter!$B$19:$B$97,0),MATCH(Calculation!F$7,Parameter!$B$19:$H$19,0))</f>
        <v>993.57949959644873</v>
      </c>
      <c r="G35" s="75">
        <f>INDEX(Parameter!$B$19:$H$97,MATCH(Calculation!$C35,Parameter!$B$19:$B$97,0),MATCH(Calculation!G$7,Parameter!$B$19:$H$19,0))</f>
        <v>1.9882081986435023E-7</v>
      </c>
      <c r="H35" s="76">
        <f t="shared" si="12"/>
        <v>-0.38021420758626667</v>
      </c>
      <c r="I35" s="77">
        <f t="shared" si="1"/>
        <v>-0.41890467850120205</v>
      </c>
      <c r="J35" s="78">
        <f t="shared" si="2"/>
        <v>0.51287788465628992</v>
      </c>
      <c r="K35" s="76">
        <f t="shared" si="13"/>
        <v>7.0567285073143005</v>
      </c>
      <c r="L35" s="77">
        <f t="shared" si="3"/>
        <v>1.6484800397610766</v>
      </c>
      <c r="M35" s="77">
        <f t="shared" si="4"/>
        <v>1.3564014925387895</v>
      </c>
      <c r="N35" s="77">
        <f t="shared" si="5"/>
        <v>10.061610039614168</v>
      </c>
      <c r="O35" s="78">
        <f t="shared" si="6"/>
        <v>0.71278936604472243</v>
      </c>
      <c r="P35" s="61"/>
      <c r="T35" s="257">
        <f t="shared" si="14"/>
        <v>0.56999999999999995</v>
      </c>
      <c r="U35" s="80">
        <f t="shared" si="15"/>
        <v>0.75</v>
      </c>
      <c r="V35" s="80">
        <f t="shared" si="16"/>
        <v>0.56999999999999995</v>
      </c>
      <c r="W35" s="80">
        <f t="shared" si="17"/>
        <v>0.51</v>
      </c>
      <c r="X35" s="80">
        <f t="shared" si="18"/>
        <v>0.56999999999999995</v>
      </c>
      <c r="Z35" s="81">
        <f t="shared" si="7"/>
        <v>0.56999999999999995</v>
      </c>
      <c r="AA35" s="82">
        <f>INDEX('Table_Previous FAR'!$B$5:$K$83,MATCH(Calculation!D35,'Table_Previous FAR'!$B$5:$B$83,0),MATCH(Calculation!$AA$7,'Table_Previous FAR'!$B$5:$K$5,))</f>
        <v>0.55000000000000004</v>
      </c>
      <c r="AB35" s="73">
        <f>INDEX(Parameter!$C$19:$L$97, MATCH(Calculation!$D35,Parameter!$C$19:$C$97,0),MATCH(Calculation!AB$7,Parameter!$C$19:$L$19,0))</f>
        <v>43360994</v>
      </c>
      <c r="AC35" s="73">
        <f>INDEX(Parameter!$C$19:$L$97, MATCH(Calculation!$D35,Parameter!$C$19:$C$97,0),MATCH(Calculation!AC$7,Parameter!$C$19:$L$19,0))</f>
        <v>24810373</v>
      </c>
      <c r="AD35" s="73">
        <f>INDEX(Parameter!$C$19:$L$97, MATCH(Calculation!$D35,Parameter!$C$19:$C$97,0),MATCH(Calculation!AD$7,Parameter!$C$19:$L$19,0))</f>
        <v>18550621</v>
      </c>
      <c r="AE35" s="73">
        <f t="shared" si="19"/>
        <v>24715766.579999998</v>
      </c>
      <c r="AF35" s="32">
        <f t="shared" si="8"/>
        <v>18645227.420000002</v>
      </c>
      <c r="AG35" s="185">
        <f t="shared" si="9"/>
        <v>-94606.420000001788</v>
      </c>
      <c r="AH35" s="186">
        <f t="shared" si="10"/>
        <v>94606.420000001788</v>
      </c>
      <c r="AI35" s="179">
        <f t="shared" si="20"/>
        <v>-3.8131800759304097E-3</v>
      </c>
      <c r="AJ35" s="83">
        <f t="shared" si="21"/>
        <v>5.0999058198645635E-3</v>
      </c>
      <c r="AK35" s="81">
        <f t="shared" si="22"/>
        <v>1.4745099198158497E-3</v>
      </c>
      <c r="AL35" s="82">
        <f t="shared" si="23"/>
        <v>1.4745099198158497E-3</v>
      </c>
      <c r="AM35" s="42" t="str">
        <f t="shared" si="11"/>
        <v>Waitaki District</v>
      </c>
      <c r="AN35" s="206">
        <f t="shared" si="24"/>
        <v>0.55000000000000004</v>
      </c>
      <c r="AO35" s="202">
        <f t="shared" si="25"/>
        <v>0.56999999999999995</v>
      </c>
      <c r="AQ35" s="84"/>
      <c r="AR35" s="84"/>
      <c r="AS35" s="84"/>
      <c r="AT35" s="84">
        <f>MIN(AD21,AF21)</f>
        <v>202395.24</v>
      </c>
      <c r="AU35" s="84">
        <f>AF21-AT35</f>
        <v>0</v>
      </c>
      <c r="AV35" s="84">
        <f>AD21-AT35</f>
        <v>41364.760000000009</v>
      </c>
    </row>
    <row r="36" spans="2:48" x14ac:dyDescent="0.25">
      <c r="B36" s="85">
        <f t="shared" si="0"/>
        <v>29</v>
      </c>
      <c r="C36" s="86">
        <v>45</v>
      </c>
      <c r="D36" s="7" t="str">
        <f>INDEX(Parameter!$B$19:$C$97,MATCH(Calculation!$C36,Parameter!$B$19:$B$97,0),MATCH(Calculation!D$7,Parameter!$B$19:$C$19,0))</f>
        <v>Masterton District</v>
      </c>
      <c r="E36" s="73">
        <f>INDEX(Parameter!$B$19:$H$97,MATCH(Calculation!$C36,Parameter!$B$19:$B$97,0),MATCH(Calculation!E$7,Parameter!$B$19:$H$19,0))</f>
        <v>12617</v>
      </c>
      <c r="F36" s="74">
        <f>INDEX(Parameter!$B$19:$H$97,MATCH(Calculation!$C36,Parameter!$B$19:$B$97,0),MATCH(Calculation!F$7,Parameter!$B$19:$H$19,0))</f>
        <v>1022.879915483038</v>
      </c>
      <c r="G36" s="75">
        <f>INDEX(Parameter!$B$19:$H$97,MATCH(Calculation!$C36,Parameter!$B$19:$B$97,0),MATCH(Calculation!G$7,Parameter!$B$19:$H$19,0))</f>
        <v>1.1483466077732319E-7</v>
      </c>
      <c r="H36" s="76">
        <f t="shared" si="12"/>
        <v>-0.39498578782451982</v>
      </c>
      <c r="I36" s="77">
        <f t="shared" si="1"/>
        <v>0.15108857536704859</v>
      </c>
      <c r="J36" s="78">
        <f t="shared" si="2"/>
        <v>-8.6840388471498373E-2</v>
      </c>
      <c r="K36" s="76">
        <f t="shared" si="13"/>
        <v>7.0715000875525531</v>
      </c>
      <c r="L36" s="77">
        <f t="shared" si="3"/>
        <v>2.2184732936293274</v>
      </c>
      <c r="M36" s="77">
        <f t="shared" si="4"/>
        <v>0.75668321941100125</v>
      </c>
      <c r="N36" s="77">
        <f t="shared" si="5"/>
        <v>10.046656600592883</v>
      </c>
      <c r="O36" s="78">
        <f t="shared" si="6"/>
        <v>0.69783592702343711</v>
      </c>
      <c r="P36" s="61"/>
      <c r="T36" s="257">
        <f t="shared" si="14"/>
        <v>0.56000000000000005</v>
      </c>
      <c r="U36" s="80">
        <f t="shared" si="15"/>
        <v>0.75</v>
      </c>
      <c r="V36" s="80">
        <f t="shared" si="16"/>
        <v>0.56000000000000005</v>
      </c>
      <c r="W36" s="80">
        <f t="shared" si="17"/>
        <v>0.51</v>
      </c>
      <c r="X36" s="80">
        <f t="shared" si="18"/>
        <v>0.56000000000000005</v>
      </c>
      <c r="Z36" s="81">
        <f t="shared" si="7"/>
        <v>0.56000000000000005</v>
      </c>
      <c r="AA36" s="82">
        <f>INDEX('Table_Previous FAR'!$B$5:$K$83,MATCH(Calculation!D36,'Table_Previous FAR'!$B$5:$B$83,0),MATCH(Calculation!$AA$7,'Table_Previous FAR'!$B$5:$K$5,))</f>
        <v>0.56999999999999995</v>
      </c>
      <c r="AB36" s="73">
        <f>INDEX(Parameter!$C$19:$L$97, MATCH(Calculation!$D36,Parameter!$C$19:$C$97,0),MATCH(Calculation!AB$7,Parameter!$C$19:$L$19,0))</f>
        <v>30473472</v>
      </c>
      <c r="AC36" s="73">
        <f>INDEX(Parameter!$C$19:$L$97, MATCH(Calculation!$D36,Parameter!$C$19:$C$97,0),MATCH(Calculation!AC$7,Parameter!$C$19:$L$19,0))</f>
        <v>17600974</v>
      </c>
      <c r="AD36" s="73">
        <f>INDEX(Parameter!$C$19:$L$97, MATCH(Calculation!$D36,Parameter!$C$19:$C$97,0),MATCH(Calculation!AD$7,Parameter!$C$19:$L$19,0))</f>
        <v>12872498</v>
      </c>
      <c r="AE36" s="73">
        <f t="shared" si="19"/>
        <v>17065144.32</v>
      </c>
      <c r="AF36" s="32">
        <f t="shared" si="8"/>
        <v>13408327.68</v>
      </c>
      <c r="AG36" s="185">
        <f t="shared" si="9"/>
        <v>-535829.6799999997</v>
      </c>
      <c r="AH36" s="186">
        <f t="shared" si="10"/>
        <v>535829.6799999997</v>
      </c>
      <c r="AI36" s="179">
        <f t="shared" si="20"/>
        <v>-3.0443183428371618E-2</v>
      </c>
      <c r="AJ36" s="83">
        <f t="shared" si="21"/>
        <v>4.1625928394007104E-2</v>
      </c>
      <c r="AK36" s="81">
        <f t="shared" si="22"/>
        <v>8.3512955938057597E-3</v>
      </c>
      <c r="AL36" s="82">
        <f t="shared" si="23"/>
        <v>8.3512955938057597E-3</v>
      </c>
      <c r="AM36" s="42" t="str">
        <f t="shared" si="11"/>
        <v>Masterton District</v>
      </c>
      <c r="AN36" s="206">
        <f t="shared" si="24"/>
        <v>0.56999999999999995</v>
      </c>
      <c r="AO36" s="202">
        <f t="shared" si="25"/>
        <v>0.56000000000000005</v>
      </c>
      <c r="AQ36" s="84">
        <f>MIN(AC22,AE22)</f>
        <v>27508219.830000002</v>
      </c>
      <c r="AR36" s="84">
        <f>AE22-AQ36</f>
        <v>0</v>
      </c>
      <c r="AS36" s="84">
        <f>AC22-AQ36</f>
        <v>130957.16999999806</v>
      </c>
      <c r="AT36" s="84"/>
      <c r="AU36" s="84"/>
      <c r="AV36" s="84"/>
    </row>
    <row r="37" spans="2:48" x14ac:dyDescent="0.25">
      <c r="B37" s="85">
        <f t="shared" si="0"/>
        <v>30</v>
      </c>
      <c r="C37" s="86">
        <v>23</v>
      </c>
      <c r="D37" s="7" t="str">
        <f>INDEX(Parameter!$B$19:$C$97,MATCH(Calculation!$C37,Parameter!$B$19:$B$97,0),MATCH(Calculation!D$7,Parameter!$B$19:$C$19,0))</f>
        <v>Rotorua District</v>
      </c>
      <c r="E37" s="73">
        <f>INDEX(Parameter!$B$19:$H$97,MATCH(Calculation!$C37,Parameter!$B$19:$B$97,0),MATCH(Calculation!E$7,Parameter!$B$19:$H$19,0))</f>
        <v>29291</v>
      </c>
      <c r="F37" s="74">
        <f>INDEX(Parameter!$B$19:$H$97,MATCH(Calculation!$C37,Parameter!$B$19:$B$97,0),MATCH(Calculation!F$7,Parameter!$B$19:$H$19,0))</f>
        <v>1056.5879923230975</v>
      </c>
      <c r="G37" s="75">
        <f>INDEX(Parameter!$B$19:$H$97,MATCH(Calculation!$C37,Parameter!$B$19:$B$97,0),MATCH(Calculation!G$7,Parameter!$B$19:$H$19,0))</f>
        <v>5.0469337172926102E-8</v>
      </c>
      <c r="H37" s="76">
        <f t="shared" si="12"/>
        <v>-0.18136798306074497</v>
      </c>
      <c r="I37" s="77">
        <f t="shared" si="1"/>
        <v>0.80682590258022679</v>
      </c>
      <c r="J37" s="78">
        <f t="shared" si="2"/>
        <v>-0.54645255720208175</v>
      </c>
      <c r="K37" s="76">
        <f t="shared" si="13"/>
        <v>6.8578822827887782</v>
      </c>
      <c r="L37" s="77">
        <f t="shared" si="3"/>
        <v>2.8742106208425056</v>
      </c>
      <c r="M37" s="77">
        <f t="shared" si="4"/>
        <v>0.29707105068041784</v>
      </c>
      <c r="N37" s="77">
        <f t="shared" si="5"/>
        <v>10.0291639543117</v>
      </c>
      <c r="O37" s="78">
        <f t="shared" si="6"/>
        <v>0.68034328074225492</v>
      </c>
      <c r="P37" s="61"/>
      <c r="T37" s="257">
        <f t="shared" si="14"/>
        <v>0.56000000000000005</v>
      </c>
      <c r="U37" s="80">
        <f t="shared" si="15"/>
        <v>0.75</v>
      </c>
      <c r="V37" s="80">
        <f t="shared" si="16"/>
        <v>0.56000000000000005</v>
      </c>
      <c r="W37" s="80">
        <f t="shared" si="17"/>
        <v>0.51</v>
      </c>
      <c r="X37" s="80">
        <f t="shared" si="18"/>
        <v>0.56000000000000005</v>
      </c>
      <c r="Z37" s="81">
        <f t="shared" si="7"/>
        <v>0.56000000000000005</v>
      </c>
      <c r="AA37" s="82">
        <f>INDEX('Table_Previous FAR'!$B$5:$K$83,MATCH(Calculation!D37,'Table_Previous FAR'!$B$5:$B$83,0),MATCH(Calculation!$AA$7,'Table_Previous FAR'!$B$5:$K$5,))</f>
        <v>0.55000000000000004</v>
      </c>
      <c r="AB37" s="73">
        <f>INDEX(Parameter!$C$19:$L$97, MATCH(Calculation!$D37,Parameter!$C$19:$C$97,0),MATCH(Calculation!AB$7,Parameter!$C$19:$L$19,0))</f>
        <v>47365022</v>
      </c>
      <c r="AC37" s="73">
        <f>INDEX(Parameter!$C$19:$L$97, MATCH(Calculation!$D37,Parameter!$C$19:$C$97,0),MATCH(Calculation!AC$7,Parameter!$C$19:$L$19,0))</f>
        <v>25074218</v>
      </c>
      <c r="AD37" s="73">
        <f>INDEX(Parameter!$C$19:$L$97, MATCH(Calculation!$D37,Parameter!$C$19:$C$97,0),MATCH(Calculation!AD$7,Parameter!$C$19:$L$19,0))</f>
        <v>22290804</v>
      </c>
      <c r="AE37" s="73">
        <f t="shared" si="19"/>
        <v>26524412.320000004</v>
      </c>
      <c r="AF37" s="32">
        <f t="shared" si="8"/>
        <v>20840609.679999996</v>
      </c>
      <c r="AG37" s="185">
        <f t="shared" si="9"/>
        <v>1450194.320000004</v>
      </c>
      <c r="AH37" s="186">
        <f t="shared" si="10"/>
        <v>-1450194.320000004</v>
      </c>
      <c r="AI37" s="179">
        <f t="shared" si="20"/>
        <v>5.7836073691311295E-2</v>
      </c>
      <c r="AJ37" s="83">
        <f t="shared" si="21"/>
        <v>-6.5057963813239042E-2</v>
      </c>
      <c r="AK37" s="81">
        <f t="shared" si="22"/>
        <v>-2.2602334075219908E-2</v>
      </c>
      <c r="AL37" s="82">
        <f t="shared" si="23"/>
        <v>-2.2602334075219908E-2</v>
      </c>
      <c r="AM37" s="42" t="str">
        <f t="shared" si="11"/>
        <v>Rotorua District</v>
      </c>
      <c r="AN37" s="206">
        <f t="shared" si="24"/>
        <v>0.55000000000000004</v>
      </c>
      <c r="AO37" s="202">
        <f t="shared" si="25"/>
        <v>0.56000000000000005</v>
      </c>
      <c r="AQ37" s="84"/>
      <c r="AR37" s="84"/>
      <c r="AS37" s="84"/>
      <c r="AT37" s="84">
        <f>MIN(AD22,AF22)</f>
        <v>16024664</v>
      </c>
      <c r="AU37" s="84">
        <f>AF22-AT37</f>
        <v>130957.16999999806</v>
      </c>
      <c r="AV37" s="84">
        <f>AD22-AT37</f>
        <v>0</v>
      </c>
    </row>
    <row r="38" spans="2:48" x14ac:dyDescent="0.25">
      <c r="B38" s="85">
        <f t="shared" si="0"/>
        <v>31</v>
      </c>
      <c r="C38" s="86">
        <v>81</v>
      </c>
      <c r="D38" s="7" t="str">
        <f>INDEX(Parameter!$B$19:$C$97,MATCH(Calculation!$C38,Parameter!$B$19:$B$97,0),MATCH(Calculation!D$7,Parameter!$B$19:$C$19,0))</f>
        <v>Northland Regional</v>
      </c>
      <c r="E38" s="73">
        <f>INDEX(Parameter!$B$19:$H$97,MATCH(Calculation!$C38,Parameter!$B$19:$B$97,0),MATCH(Calculation!E$7,Parameter!$B$19:$H$19,0))</f>
        <v>96426</v>
      </c>
      <c r="F38" s="74">
        <f>INDEX(Parameter!$B$19:$H$97,MATCH(Calculation!$C38,Parameter!$B$19:$B$97,0),MATCH(Calculation!F$7,Parameter!$B$19:$H$19,0))</f>
        <v>1068.4937188033903</v>
      </c>
      <c r="G38" s="75">
        <f>INDEX(Parameter!$B$19:$H$97,MATCH(Calculation!$C38,Parameter!$B$19:$B$97,0),MATCH(Calculation!G$7,Parameter!$B$19:$H$19,0))</f>
        <v>9.5573206100502588E-8</v>
      </c>
      <c r="H38" s="76">
        <f t="shared" si="12"/>
        <v>0.67872745431577075</v>
      </c>
      <c r="I38" s="77">
        <f t="shared" si="1"/>
        <v>1.0384329829177275</v>
      </c>
      <c r="J38" s="78">
        <f t="shared" si="2"/>
        <v>-0.2243802695933666</v>
      </c>
      <c r="K38" s="76">
        <f t="shared" si="13"/>
        <v>5.9977868454122625</v>
      </c>
      <c r="L38" s="77">
        <f t="shared" si="3"/>
        <v>3.1058177011800061</v>
      </c>
      <c r="M38" s="77">
        <f t="shared" si="4"/>
        <v>0.61914333828913293</v>
      </c>
      <c r="N38" s="77">
        <f t="shared" si="5"/>
        <v>9.722747884881402</v>
      </c>
      <c r="O38" s="78">
        <f t="shared" si="6"/>
        <v>0.3739272113119565</v>
      </c>
      <c r="P38" s="61"/>
      <c r="T38" s="257">
        <f t="shared" si="14"/>
        <v>0.54</v>
      </c>
      <c r="U38" s="80">
        <f t="shared" si="15"/>
        <v>0.75</v>
      </c>
      <c r="V38" s="80">
        <f t="shared" si="16"/>
        <v>0.54</v>
      </c>
      <c r="W38" s="80">
        <f t="shared" si="17"/>
        <v>0.51</v>
      </c>
      <c r="X38" s="80">
        <f t="shared" si="18"/>
        <v>0.54</v>
      </c>
      <c r="Z38" s="81">
        <f t="shared" si="7"/>
        <v>0.54</v>
      </c>
      <c r="AA38" s="82">
        <f>INDEX('Table_Previous FAR'!$B$5:$K$83,MATCH(Calculation!D38,'Table_Previous FAR'!$B$5:$B$83,0),MATCH(Calculation!$AA$7,'Table_Previous FAR'!$B$5:$K$5,))</f>
        <v>0.54</v>
      </c>
      <c r="AB38" s="73">
        <f>INDEX(Parameter!$C$19:$L$97, MATCH(Calculation!$D38,Parameter!$C$19:$C$97,0),MATCH(Calculation!AB$7,Parameter!$C$19:$L$19,0))</f>
        <v>9280061</v>
      </c>
      <c r="AC38" s="73">
        <f>INDEX(Parameter!$C$19:$L$97, MATCH(Calculation!$D38,Parameter!$C$19:$C$97,0),MATCH(Calculation!AC$7,Parameter!$C$19:$L$19,0))</f>
        <v>5008300</v>
      </c>
      <c r="AD38" s="73">
        <f>INDEX(Parameter!$C$19:$L$97, MATCH(Calculation!$D38,Parameter!$C$19:$C$97,0),MATCH(Calculation!AD$7,Parameter!$C$19:$L$19,0))</f>
        <v>4271761</v>
      </c>
      <c r="AE38" s="73">
        <f t="shared" si="19"/>
        <v>5011232.9400000004</v>
      </c>
      <c r="AF38" s="32">
        <f t="shared" si="8"/>
        <v>4268828.0599999996</v>
      </c>
      <c r="AG38" s="185">
        <f t="shared" si="9"/>
        <v>2932.9400000004098</v>
      </c>
      <c r="AH38" s="186">
        <f t="shared" si="10"/>
        <v>-2932.9400000004098</v>
      </c>
      <c r="AI38" s="179">
        <f t="shared" si="20"/>
        <v>5.8561587764319428E-4</v>
      </c>
      <c r="AJ38" s="83">
        <f t="shared" si="21"/>
        <v>-6.8658803711172268E-4</v>
      </c>
      <c r="AK38" s="81">
        <f t="shared" si="22"/>
        <v>-4.5712004790216359E-5</v>
      </c>
      <c r="AL38" s="82">
        <f t="shared" si="23"/>
        <v>-4.5712004790216359E-5</v>
      </c>
      <c r="AM38" s="42" t="str">
        <f t="shared" si="11"/>
        <v>Northland Regional</v>
      </c>
      <c r="AN38" s="206">
        <f t="shared" si="24"/>
        <v>0.54</v>
      </c>
      <c r="AO38" s="202">
        <f t="shared" si="25"/>
        <v>0.54</v>
      </c>
      <c r="AQ38" s="84">
        <f>MIN(AC23,AE23)</f>
        <v>13053506</v>
      </c>
      <c r="AR38" s="84">
        <f>AE23-AQ38</f>
        <v>287935.33000000007</v>
      </c>
      <c r="AS38" s="84">
        <f>AC23-AQ38</f>
        <v>0</v>
      </c>
      <c r="AT38" s="84"/>
      <c r="AU38" s="84"/>
      <c r="AV38" s="84"/>
    </row>
    <row r="39" spans="2:48" x14ac:dyDescent="0.25">
      <c r="B39" s="85">
        <f t="shared" si="0"/>
        <v>32</v>
      </c>
      <c r="C39" s="86">
        <v>3</v>
      </c>
      <c r="D39" s="7" t="str">
        <f>INDEX(Parameter!$B$19:$C$97,MATCH(Calculation!$C39,Parameter!$B$19:$B$97,0),MATCH(Calculation!D$7,Parameter!$B$19:$C$19,0))</f>
        <v>Whangarei District</v>
      </c>
      <c r="E39" s="73">
        <f>INDEX(Parameter!$B$19:$H$97,MATCH(Calculation!$C39,Parameter!$B$19:$B$97,0),MATCH(Calculation!E$7,Parameter!$B$19:$H$19,0))</f>
        <v>44865</v>
      </c>
      <c r="F39" s="74">
        <f>INDEX(Parameter!$B$19:$H$97,MATCH(Calculation!$C39,Parameter!$B$19:$B$97,0),MATCH(Calculation!F$7,Parameter!$B$19:$H$19,0))</f>
        <v>1042.8171419152793</v>
      </c>
      <c r="G39" s="75">
        <f>INDEX(Parameter!$B$19:$H$97,MATCH(Calculation!$C39,Parameter!$B$19:$B$97,0),MATCH(Calculation!G$7,Parameter!$B$19:$H$19,0))</f>
        <v>5.5402072846030092E-8</v>
      </c>
      <c r="H39" s="76">
        <f t="shared" si="12"/>
        <v>1.8157247321348661E-2</v>
      </c>
      <c r="I39" s="77">
        <f t="shared" si="1"/>
        <v>0.53893578583694046</v>
      </c>
      <c r="J39" s="78">
        <f t="shared" si="2"/>
        <v>-0.51122947101945959</v>
      </c>
      <c r="K39" s="76">
        <f t="shared" si="13"/>
        <v>6.6583570524066849</v>
      </c>
      <c r="L39" s="77">
        <f t="shared" si="3"/>
        <v>2.606320504099219</v>
      </c>
      <c r="M39" s="77">
        <f t="shared" si="4"/>
        <v>0.33229413686303999</v>
      </c>
      <c r="N39" s="77">
        <f t="shared" si="5"/>
        <v>9.5969716933689426</v>
      </c>
      <c r="O39" s="78">
        <f t="shared" si="6"/>
        <v>0.24815101979949716</v>
      </c>
      <c r="P39" s="61"/>
      <c r="T39" s="257">
        <f t="shared" si="14"/>
        <v>0.53</v>
      </c>
      <c r="U39" s="80">
        <f t="shared" si="15"/>
        <v>0.75</v>
      </c>
      <c r="V39" s="80">
        <f t="shared" si="16"/>
        <v>0.53</v>
      </c>
      <c r="W39" s="80">
        <f t="shared" si="17"/>
        <v>0.51</v>
      </c>
      <c r="X39" s="80">
        <f t="shared" si="18"/>
        <v>0.53</v>
      </c>
      <c r="Z39" s="81">
        <f t="shared" si="7"/>
        <v>0.53</v>
      </c>
      <c r="AA39" s="82">
        <f>INDEX('Table_Previous FAR'!$B$5:$K$83,MATCH(Calculation!D39,'Table_Previous FAR'!$B$5:$B$83,0),MATCH(Calculation!$AA$7,'Table_Previous FAR'!$B$5:$K$5,))</f>
        <v>0.53</v>
      </c>
      <c r="AB39" s="73">
        <f>INDEX(Parameter!$C$19:$L$97, MATCH(Calculation!$D39,Parameter!$C$19:$C$97,0),MATCH(Calculation!AB$7,Parameter!$C$19:$L$19,0))</f>
        <v>139053895</v>
      </c>
      <c r="AC39" s="73">
        <f>INDEX(Parameter!$C$19:$L$97, MATCH(Calculation!$D39,Parameter!$C$19:$C$97,0),MATCH(Calculation!AC$7,Parameter!$C$19:$L$19,0))</f>
        <v>76205106</v>
      </c>
      <c r="AD39" s="73">
        <f>INDEX(Parameter!$C$19:$L$97, MATCH(Calculation!$D39,Parameter!$C$19:$C$97,0),MATCH(Calculation!AD$7,Parameter!$C$19:$L$19,0))</f>
        <v>62848789</v>
      </c>
      <c r="AE39" s="73">
        <f t="shared" si="19"/>
        <v>73698564.350000009</v>
      </c>
      <c r="AF39" s="32">
        <f t="shared" si="8"/>
        <v>65355330.649999991</v>
      </c>
      <c r="AG39" s="185">
        <f t="shared" si="9"/>
        <v>-2506541.6499999911</v>
      </c>
      <c r="AH39" s="186">
        <f t="shared" si="10"/>
        <v>2506541.6499999911</v>
      </c>
      <c r="AI39" s="179">
        <f t="shared" si="20"/>
        <v>-3.2892043349431084E-2</v>
      </c>
      <c r="AJ39" s="83">
        <f t="shared" si="21"/>
        <v>3.9882099398923836E-2</v>
      </c>
      <c r="AK39" s="81">
        <f t="shared" si="22"/>
        <v>3.9066276129637978E-2</v>
      </c>
      <c r="AL39" s="82">
        <f t="shared" si="23"/>
        <v>3.9066276129637978E-2</v>
      </c>
      <c r="AM39" s="42" t="str">
        <f t="shared" si="11"/>
        <v>Whangarei District</v>
      </c>
      <c r="AN39" s="206">
        <f t="shared" si="24"/>
        <v>0.53</v>
      </c>
      <c r="AO39" s="202">
        <f t="shared" si="25"/>
        <v>0.53</v>
      </c>
      <c r="AQ39" s="84"/>
      <c r="AR39" s="84"/>
      <c r="AS39" s="84"/>
      <c r="AT39" s="84">
        <f>MIN(AD23,AF23)</f>
        <v>7835449.6699999999</v>
      </c>
      <c r="AU39" s="84">
        <f>AF23-AT39</f>
        <v>0</v>
      </c>
      <c r="AV39" s="84">
        <f>AD23-AT39</f>
        <v>287935.33000000007</v>
      </c>
    </row>
    <row r="40" spans="2:48" x14ac:dyDescent="0.25">
      <c r="B40" s="85">
        <f t="shared" ref="B40:B71" si="26">RANK(O40,O$8:O$85,0)</f>
        <v>33</v>
      </c>
      <c r="C40" s="86">
        <v>29</v>
      </c>
      <c r="D40" s="7" t="str">
        <f>INDEX(Parameter!$B$19:$C$97,MATCH(Calculation!$C40,Parameter!$B$19:$B$97,0),MATCH(Calculation!D$7,Parameter!$B$19:$C$19,0))</f>
        <v>Hastings District</v>
      </c>
      <c r="E40" s="73">
        <f>INDEX(Parameter!$B$19:$H$97,MATCH(Calculation!$C40,Parameter!$B$19:$B$97,0),MATCH(Calculation!E$7,Parameter!$B$19:$H$19,0))</f>
        <v>31332</v>
      </c>
      <c r="F40" s="74">
        <f>INDEX(Parameter!$B$19:$H$97,MATCH(Calculation!$C40,Parameter!$B$19:$B$97,0),MATCH(Calculation!F$7,Parameter!$B$19:$H$19,0))</f>
        <v>1029.2808720267637</v>
      </c>
      <c r="G40" s="75">
        <f>INDEX(Parameter!$B$19:$H$97,MATCH(Calculation!$C40,Parameter!$B$19:$B$97,0),MATCH(Calculation!G$7,Parameter!$B$19:$H$19,0))</f>
        <v>6.1447130549907053E-8</v>
      </c>
      <c r="H40" s="76">
        <f t="shared" ref="H40:H71" si="27">STANDARDIZE(E40,E$92,E$93)</f>
        <v>-0.1552198518670983</v>
      </c>
      <c r="I40" s="77">
        <f t="shared" ref="I40:I71" si="28">STANDARDIZE(F40,F$92,F$93)</f>
        <v>0.27560906211882352</v>
      </c>
      <c r="J40" s="78">
        <f t="shared" ref="J40:J71" si="29">STANDARDIZE(G40,G$92,G$93)</f>
        <v>-0.46806364933483741</v>
      </c>
      <c r="K40" s="76">
        <f t="shared" ref="K40:K71" si="30">IF(E$96=0,0,E$97*IF(E$96&lt;0,H40-H$87,H$88-H40))</f>
        <v>6.831734151595132</v>
      </c>
      <c r="L40" s="77">
        <f t="shared" ref="L40:L71" si="31">IF(F$96=0,0,F$97*IF(F$96&lt;0,I40-I$87,I$88-I40))</f>
        <v>2.3429937803811023</v>
      </c>
      <c r="M40" s="77">
        <f t="shared" ref="M40:M71" si="32">IF(G$96=0,0,G$97*IF(G$96&lt;0,J40-J$87,J$88-J40))</f>
        <v>0.37545995854766218</v>
      </c>
      <c r="N40" s="77">
        <f t="shared" ref="N40:N71" si="33">SUM(K40:M40)</f>
        <v>9.5501878905238957</v>
      </c>
      <c r="O40" s="78">
        <f t="shared" ref="O40:O71" si="34">N40-N$90</f>
        <v>0.20136721695445026</v>
      </c>
      <c r="P40" s="61"/>
      <c r="T40" s="257">
        <f t="shared" si="14"/>
        <v>0.53</v>
      </c>
      <c r="U40" s="80">
        <f t="shared" si="15"/>
        <v>0.75</v>
      </c>
      <c r="V40" s="80">
        <f t="shared" si="16"/>
        <v>0.53</v>
      </c>
      <c r="W40" s="80">
        <f t="shared" si="17"/>
        <v>0.51</v>
      </c>
      <c r="X40" s="80">
        <f t="shared" si="18"/>
        <v>0.53</v>
      </c>
      <c r="Z40" s="81">
        <f t="shared" ref="Z40:Z71" si="35">MAX(IF(C40=74,$R$16,$R$17),MIN($R$15,ROUND($R$17+$R$20*O40,2)))</f>
        <v>0.53</v>
      </c>
      <c r="AA40" s="82">
        <f>INDEX('Table_Previous FAR'!$B$5:$K$83,MATCH(Calculation!D40,'Table_Previous FAR'!$B$5:$B$83,0),MATCH(Calculation!$AA$7,'Table_Previous FAR'!$B$5:$K$5,))</f>
        <v>0.54</v>
      </c>
      <c r="AB40" s="73">
        <f>INDEX(Parameter!$C$19:$L$97, MATCH(Calculation!$D40,Parameter!$C$19:$C$97,0),MATCH(Calculation!AB$7,Parameter!$C$19:$L$19,0))</f>
        <v>111472293</v>
      </c>
      <c r="AC40" s="73">
        <f>INDEX(Parameter!$C$19:$L$97, MATCH(Calculation!$D40,Parameter!$C$19:$C$97,0),MATCH(Calculation!AC$7,Parameter!$C$19:$L$19,0))</f>
        <v>62851255</v>
      </c>
      <c r="AD40" s="73">
        <f>INDEX(Parameter!$C$19:$L$97, MATCH(Calculation!$D40,Parameter!$C$19:$C$97,0),MATCH(Calculation!AD$7,Parameter!$C$19:$L$19,0))</f>
        <v>48621038</v>
      </c>
      <c r="AE40" s="73">
        <f t="shared" ref="AE40:AE71" si="36">AB40*Z40</f>
        <v>59080315.290000007</v>
      </c>
      <c r="AF40" s="32">
        <f t="shared" ref="AF40:AF71" si="37">AB40-AE40</f>
        <v>52391977.709999993</v>
      </c>
      <c r="AG40" s="185">
        <f t="shared" ref="AG40:AG71" si="38">AE40-AC40</f>
        <v>-3770939.7099999934</v>
      </c>
      <c r="AH40" s="186">
        <f t="shared" ref="AH40:AH71" si="39">AF40-AD40</f>
        <v>3770939.7099999934</v>
      </c>
      <c r="AI40" s="179">
        <f t="shared" si="20"/>
        <v>-5.999784268428679E-2</v>
      </c>
      <c r="AJ40" s="83">
        <f t="shared" si="21"/>
        <v>7.7557778795261295E-2</v>
      </c>
      <c r="AK40" s="81">
        <f t="shared" si="22"/>
        <v>5.8772840251458507E-2</v>
      </c>
      <c r="AL40" s="82">
        <f t="shared" si="23"/>
        <v>5.8772840251458507E-2</v>
      </c>
      <c r="AM40" s="42" t="str">
        <f t="shared" ref="AM40:AM71" si="40">D40</f>
        <v>Hastings District</v>
      </c>
      <c r="AN40" s="206">
        <f t="shared" si="24"/>
        <v>0.54</v>
      </c>
      <c r="AO40" s="202">
        <f t="shared" si="25"/>
        <v>0.53</v>
      </c>
      <c r="AQ40" s="84">
        <f>MIN(AC24,AE24)</f>
        <v>26064770</v>
      </c>
      <c r="AR40" s="84">
        <f>AE24-AQ40</f>
        <v>2172039.7899999991</v>
      </c>
      <c r="AS40" s="84">
        <f>AC24-AQ40</f>
        <v>0</v>
      </c>
      <c r="AT40" s="84"/>
      <c r="AU40" s="84"/>
      <c r="AV40" s="84"/>
    </row>
    <row r="41" spans="2:48" x14ac:dyDescent="0.25">
      <c r="B41" s="85">
        <f t="shared" si="26"/>
        <v>34</v>
      </c>
      <c r="C41" s="86">
        <v>57</v>
      </c>
      <c r="D41" s="7" t="str">
        <f>INDEX(Parameter!$B$19:$C$97,MATCH(Calculation!$C41,Parameter!$B$19:$B$97,0),MATCH(Calculation!D$7,Parameter!$B$19:$C$19,0))</f>
        <v>Hurunui District</v>
      </c>
      <c r="E41" s="73">
        <f>INDEX(Parameter!$B$19:$H$97,MATCH(Calculation!$C41,Parameter!$B$19:$B$97,0),MATCH(Calculation!E$7,Parameter!$B$19:$H$19,0))</f>
        <v>8026</v>
      </c>
      <c r="F41" s="74">
        <f>INDEX(Parameter!$B$19:$H$97,MATCH(Calculation!$C41,Parameter!$B$19:$B$97,0),MATCH(Calculation!F$7,Parameter!$B$19:$H$19,0))</f>
        <v>963.52435530085961</v>
      </c>
      <c r="G41" s="75">
        <f>INDEX(Parameter!$B$19:$H$97,MATCH(Calculation!$C41,Parameter!$B$19:$B$97,0),MATCH(Calculation!G$7,Parameter!$B$19:$H$19,0))</f>
        <v>1.9697059413091694E-7</v>
      </c>
      <c r="H41" s="76">
        <f t="shared" si="27"/>
        <v>-0.45380306872115467</v>
      </c>
      <c r="I41" s="77">
        <f t="shared" si="28"/>
        <v>-1.0035799799996896</v>
      </c>
      <c r="J41" s="78">
        <f t="shared" si="29"/>
        <v>0.49966601505999825</v>
      </c>
      <c r="K41" s="76">
        <f t="shared" si="30"/>
        <v>7.1303173684491883</v>
      </c>
      <c r="L41" s="77">
        <f t="shared" si="31"/>
        <v>1.063804738262589</v>
      </c>
      <c r="M41" s="77">
        <f t="shared" si="32"/>
        <v>1.3431896229424978</v>
      </c>
      <c r="N41" s="77">
        <f t="shared" si="33"/>
        <v>9.5373117296542755</v>
      </c>
      <c r="O41" s="78">
        <f t="shared" si="34"/>
        <v>0.18849105608483008</v>
      </c>
      <c r="P41" s="61"/>
      <c r="T41" s="257">
        <f t="shared" si="14"/>
        <v>0.52</v>
      </c>
      <c r="U41" s="80">
        <f t="shared" si="15"/>
        <v>0.75</v>
      </c>
      <c r="V41" s="80">
        <f t="shared" si="16"/>
        <v>0.52</v>
      </c>
      <c r="W41" s="80">
        <f t="shared" si="17"/>
        <v>0.51</v>
      </c>
      <c r="X41" s="80">
        <f t="shared" si="18"/>
        <v>0.52</v>
      </c>
      <c r="Z41" s="81">
        <f t="shared" si="35"/>
        <v>0.52</v>
      </c>
      <c r="AA41" s="82">
        <f>INDEX('Table_Previous FAR'!$B$5:$K$83,MATCH(Calculation!D41,'Table_Previous FAR'!$B$5:$B$83,0),MATCH(Calculation!$AA$7,'Table_Previous FAR'!$B$5:$K$5,))</f>
        <v>0.51</v>
      </c>
      <c r="AB41" s="73">
        <f>INDEX(Parameter!$C$19:$L$97, MATCH(Calculation!$D41,Parameter!$C$19:$C$97,0),MATCH(Calculation!AB$7,Parameter!$C$19:$L$19,0))</f>
        <v>30745974</v>
      </c>
      <c r="AC41" s="73">
        <f>INDEX(Parameter!$C$19:$L$97, MATCH(Calculation!$D41,Parameter!$C$19:$C$97,0),MATCH(Calculation!AC$7,Parameter!$C$19:$L$19,0))</f>
        <v>15837195</v>
      </c>
      <c r="AD41" s="73">
        <f>INDEX(Parameter!$C$19:$L$97, MATCH(Calculation!$D41,Parameter!$C$19:$C$97,0),MATCH(Calculation!AD$7,Parameter!$C$19:$L$19,0))</f>
        <v>14908779</v>
      </c>
      <c r="AE41" s="73">
        <f t="shared" si="36"/>
        <v>15987906.48</v>
      </c>
      <c r="AF41" s="32">
        <f t="shared" si="37"/>
        <v>14758067.52</v>
      </c>
      <c r="AG41" s="185">
        <f t="shared" si="38"/>
        <v>150711.48000000045</v>
      </c>
      <c r="AH41" s="186">
        <f t="shared" si="39"/>
        <v>-150711.48000000045</v>
      </c>
      <c r="AI41" s="179">
        <f t="shared" si="20"/>
        <v>9.5162988142786925E-3</v>
      </c>
      <c r="AJ41" s="83">
        <f t="shared" si="21"/>
        <v>-1.0108908315027035E-2</v>
      </c>
      <c r="AK41" s="81">
        <f t="shared" si="22"/>
        <v>-2.34894811884991E-3</v>
      </c>
      <c r="AL41" s="82">
        <f t="shared" si="23"/>
        <v>-2.34894811884991E-3</v>
      </c>
      <c r="AM41" s="42" t="str">
        <f t="shared" si="40"/>
        <v>Hurunui District</v>
      </c>
      <c r="AN41" s="206">
        <f t="shared" si="24"/>
        <v>0.51</v>
      </c>
      <c r="AO41" s="202">
        <f t="shared" si="25"/>
        <v>0.52</v>
      </c>
      <c r="AQ41" s="84"/>
      <c r="AR41" s="84"/>
      <c r="AS41" s="84"/>
      <c r="AT41" s="84">
        <f>MIN(AD24,AF24)</f>
        <v>16583523.210000001</v>
      </c>
      <c r="AU41" s="84">
        <f>AF24-AT41</f>
        <v>0</v>
      </c>
      <c r="AV41" s="84">
        <f>AD24-AT41</f>
        <v>2172039.7899999991</v>
      </c>
    </row>
    <row r="42" spans="2:48" x14ac:dyDescent="0.25">
      <c r="B42" s="85">
        <f t="shared" si="26"/>
        <v>35</v>
      </c>
      <c r="C42" s="86">
        <v>73</v>
      </c>
      <c r="D42" s="7" t="str">
        <f>INDEX(Parameter!$B$19:$C$97,MATCH(Calculation!$C42,Parameter!$B$19:$B$97,0),MATCH(Calculation!D$7,Parameter!$B$19:$C$19,0))</f>
        <v>Southland District</v>
      </c>
      <c r="E42" s="73">
        <f>INDEX(Parameter!$B$19:$H$97,MATCH(Calculation!$C42,Parameter!$B$19:$B$97,0),MATCH(Calculation!E$7,Parameter!$B$19:$H$19,0))</f>
        <v>18897</v>
      </c>
      <c r="F42" s="74">
        <f>INDEX(Parameter!$B$19:$H$97,MATCH(Calculation!$C42,Parameter!$B$19:$B$97,0),MATCH(Calculation!F$7,Parameter!$B$19:$H$19,0))</f>
        <v>962.65266433294437</v>
      </c>
      <c r="G42" s="75">
        <f>INDEX(Parameter!$B$19:$H$97,MATCH(Calculation!$C42,Parameter!$B$19:$B$97,0),MATCH(Calculation!G$7,Parameter!$B$19:$H$19,0))</f>
        <v>2.1751209045801809E-7</v>
      </c>
      <c r="H42" s="76">
        <f t="shared" si="27"/>
        <v>-0.31452999953637623</v>
      </c>
      <c r="I42" s="77">
        <f t="shared" si="28"/>
        <v>-1.0205373492429359</v>
      </c>
      <c r="J42" s="78">
        <f t="shared" si="29"/>
        <v>0.64634626378984861</v>
      </c>
      <c r="K42" s="76">
        <f t="shared" si="30"/>
        <v>6.9910442992644102</v>
      </c>
      <c r="L42" s="77">
        <f t="shared" si="31"/>
        <v>1.0468473690193427</v>
      </c>
      <c r="M42" s="77">
        <f t="shared" si="32"/>
        <v>1.4898698716723482</v>
      </c>
      <c r="N42" s="77">
        <f t="shared" si="33"/>
        <v>9.5277615399560993</v>
      </c>
      <c r="O42" s="78">
        <f t="shared" si="34"/>
        <v>0.17894086638665385</v>
      </c>
      <c r="P42" s="61"/>
      <c r="T42" s="257">
        <f t="shared" si="14"/>
        <v>0.52</v>
      </c>
      <c r="U42" s="80">
        <f t="shared" si="15"/>
        <v>0.75</v>
      </c>
      <c r="V42" s="80">
        <f t="shared" si="16"/>
        <v>0.52</v>
      </c>
      <c r="W42" s="80">
        <f t="shared" si="17"/>
        <v>0.51</v>
      </c>
      <c r="X42" s="80">
        <f t="shared" si="18"/>
        <v>0.52</v>
      </c>
      <c r="Z42" s="81">
        <f t="shared" si="35"/>
        <v>0.52</v>
      </c>
      <c r="AA42" s="82">
        <f>INDEX('Table_Previous FAR'!$B$5:$K$83,MATCH(Calculation!D42,'Table_Previous FAR'!$B$5:$B$83,0),MATCH(Calculation!$AA$7,'Table_Previous FAR'!$B$5:$K$5,))</f>
        <v>0.51</v>
      </c>
      <c r="AB42" s="73">
        <f>INDEX(Parameter!$C$19:$L$97, MATCH(Calculation!$D42,Parameter!$C$19:$C$97,0),MATCH(Calculation!AB$7,Parameter!$C$19:$L$19,0))</f>
        <v>105981232</v>
      </c>
      <c r="AC42" s="73">
        <f>INDEX(Parameter!$C$19:$L$97, MATCH(Calculation!$D42,Parameter!$C$19:$C$97,0),MATCH(Calculation!AC$7,Parameter!$C$19:$L$19,0))</f>
        <v>55891785</v>
      </c>
      <c r="AD42" s="73">
        <f>INDEX(Parameter!$C$19:$L$97, MATCH(Calculation!$D42,Parameter!$C$19:$C$97,0),MATCH(Calculation!AD$7,Parameter!$C$19:$L$19,0))</f>
        <v>50089447</v>
      </c>
      <c r="AE42" s="73">
        <f t="shared" si="36"/>
        <v>55110240.640000001</v>
      </c>
      <c r="AF42" s="32">
        <f t="shared" si="37"/>
        <v>50870991.359999999</v>
      </c>
      <c r="AG42" s="185">
        <f t="shared" si="38"/>
        <v>-781544.3599999994</v>
      </c>
      <c r="AH42" s="186">
        <f t="shared" si="39"/>
        <v>781544.3599999994</v>
      </c>
      <c r="AI42" s="179">
        <f t="shared" si="20"/>
        <v>-1.3983170514235668E-2</v>
      </c>
      <c r="AJ42" s="83">
        <f t="shared" si="21"/>
        <v>1.5602974414950108E-2</v>
      </c>
      <c r="AK42" s="81">
        <f t="shared" si="22"/>
        <v>1.2180937737588072E-2</v>
      </c>
      <c r="AL42" s="82">
        <f t="shared" si="23"/>
        <v>1.2180937737588072E-2</v>
      </c>
      <c r="AM42" s="42" t="str">
        <f t="shared" si="40"/>
        <v>Southland District</v>
      </c>
      <c r="AN42" s="206">
        <f t="shared" si="24"/>
        <v>0.51</v>
      </c>
      <c r="AO42" s="202">
        <f t="shared" si="25"/>
        <v>0.52</v>
      </c>
      <c r="AQ42" s="84">
        <f>MIN(AC25,AE25)</f>
        <v>33139948</v>
      </c>
      <c r="AR42" s="84">
        <f>AE25-AQ42</f>
        <v>3399352.700000003</v>
      </c>
      <c r="AS42" s="84">
        <f>AC25-AQ42</f>
        <v>0</v>
      </c>
      <c r="AT42" s="84"/>
      <c r="AU42" s="84"/>
      <c r="AV42" s="84"/>
    </row>
    <row r="43" spans="2:48" x14ac:dyDescent="0.25">
      <c r="B43" s="85">
        <f t="shared" si="26"/>
        <v>36</v>
      </c>
      <c r="C43" s="86">
        <v>46</v>
      </c>
      <c r="D43" s="7" t="str">
        <f>INDEX(Parameter!$B$19:$C$97,MATCH(Calculation!$C43,Parameter!$B$19:$B$97,0),MATCH(Calculation!D$7,Parameter!$B$19:$C$19,0))</f>
        <v>Porirua City</v>
      </c>
      <c r="E43" s="73">
        <f>INDEX(Parameter!$B$19:$H$97,MATCH(Calculation!$C43,Parameter!$B$19:$B$97,0),MATCH(Calculation!E$7,Parameter!$B$19:$H$19,0))</f>
        <v>19005</v>
      </c>
      <c r="F43" s="74">
        <f>INDEX(Parameter!$B$19:$H$97,MATCH(Calculation!$C43,Parameter!$B$19:$B$97,0),MATCH(Calculation!F$7,Parameter!$B$19:$H$19,0))</f>
        <v>1033.0837090870511</v>
      </c>
      <c r="G43" s="75">
        <f>INDEX(Parameter!$B$19:$H$97,MATCH(Calculation!$C43,Parameter!$B$19:$B$97,0),MATCH(Calculation!G$7,Parameter!$B$19:$H$19,0))</f>
        <v>1.8608176924375536E-8</v>
      </c>
      <c r="H43" s="76">
        <f t="shared" si="27"/>
        <v>-0.31314636496072024</v>
      </c>
      <c r="I43" s="77">
        <f t="shared" si="28"/>
        <v>0.34958724312191614</v>
      </c>
      <c r="J43" s="78">
        <f t="shared" si="29"/>
        <v>-0.77396290190434314</v>
      </c>
      <c r="K43" s="76">
        <f t="shared" si="30"/>
        <v>6.9896606646887536</v>
      </c>
      <c r="L43" s="77">
        <f t="shared" si="31"/>
        <v>2.4169719613841947</v>
      </c>
      <c r="M43" s="77">
        <f t="shared" si="32"/>
        <v>6.9560705978156445E-2</v>
      </c>
      <c r="N43" s="77">
        <f t="shared" si="33"/>
        <v>9.4761933320511051</v>
      </c>
      <c r="O43" s="78">
        <f t="shared" si="34"/>
        <v>0.12737265848165968</v>
      </c>
      <c r="P43" s="61"/>
      <c r="T43" s="257">
        <f t="shared" si="14"/>
        <v>0.52</v>
      </c>
      <c r="U43" s="80">
        <f t="shared" si="15"/>
        <v>0.75</v>
      </c>
      <c r="V43" s="80">
        <f t="shared" si="16"/>
        <v>0.52</v>
      </c>
      <c r="W43" s="80">
        <f t="shared" si="17"/>
        <v>0.51</v>
      </c>
      <c r="X43" s="80">
        <f t="shared" si="18"/>
        <v>0.52</v>
      </c>
      <c r="Z43" s="81">
        <f t="shared" si="35"/>
        <v>0.52</v>
      </c>
      <c r="AA43" s="82">
        <f>INDEX('Table_Previous FAR'!$B$5:$K$83,MATCH(Calculation!D43,'Table_Previous FAR'!$B$5:$B$83,0),MATCH(Calculation!$AA$7,'Table_Previous FAR'!$B$5:$K$5,))</f>
        <v>0.56000000000000005</v>
      </c>
      <c r="AB43" s="73">
        <f>INDEX(Parameter!$C$19:$L$97, MATCH(Calculation!$D43,Parameter!$C$19:$C$97,0),MATCH(Calculation!AB$7,Parameter!$C$19:$L$19,0))</f>
        <v>58869366</v>
      </c>
      <c r="AC43" s="73">
        <f>INDEX(Parameter!$C$19:$L$97, MATCH(Calculation!$D43,Parameter!$C$19:$C$97,0),MATCH(Calculation!AC$7,Parameter!$C$19:$L$19,0))</f>
        <v>32127633</v>
      </c>
      <c r="AD43" s="73">
        <f>INDEX(Parameter!$C$19:$L$97, MATCH(Calculation!$D43,Parameter!$C$19:$C$97,0),MATCH(Calculation!AD$7,Parameter!$C$19:$L$19,0))</f>
        <v>26741733</v>
      </c>
      <c r="AE43" s="73">
        <f t="shared" si="36"/>
        <v>30612070.32</v>
      </c>
      <c r="AF43" s="32">
        <f t="shared" si="37"/>
        <v>28257295.68</v>
      </c>
      <c r="AG43" s="185">
        <f t="shared" si="38"/>
        <v>-1515562.6799999997</v>
      </c>
      <c r="AH43" s="186">
        <f t="shared" si="39"/>
        <v>1515562.6799999997</v>
      </c>
      <c r="AI43" s="179">
        <f t="shared" si="20"/>
        <v>-4.7173182039274404E-2</v>
      </c>
      <c r="AJ43" s="83">
        <f t="shared" si="21"/>
        <v>5.6674063719056644E-2</v>
      </c>
      <c r="AK43" s="81">
        <f t="shared" si="22"/>
        <v>2.3621147547520049E-2</v>
      </c>
      <c r="AL43" s="82">
        <f t="shared" si="23"/>
        <v>2.3621147547520049E-2</v>
      </c>
      <c r="AM43" s="42" t="str">
        <f t="shared" si="40"/>
        <v>Porirua City</v>
      </c>
      <c r="AN43" s="206">
        <f t="shared" si="24"/>
        <v>0.56000000000000005</v>
      </c>
      <c r="AO43" s="202">
        <f t="shared" si="25"/>
        <v>0.52</v>
      </c>
      <c r="AQ43" s="84"/>
      <c r="AR43" s="84"/>
      <c r="AS43" s="84"/>
      <c r="AT43" s="84">
        <f>MIN(AD25,AF25)</f>
        <v>21459589.299999997</v>
      </c>
      <c r="AU43" s="84">
        <f>AF25-AT43</f>
        <v>0</v>
      </c>
      <c r="AV43" s="84">
        <f>AD25-AT43</f>
        <v>3399352.700000003</v>
      </c>
    </row>
    <row r="44" spans="2:48" x14ac:dyDescent="0.25">
      <c r="B44" s="85">
        <f t="shared" si="26"/>
        <v>37</v>
      </c>
      <c r="C44" s="86">
        <v>94</v>
      </c>
      <c r="D44" s="7" t="str">
        <f>INDEX(Parameter!$B$19:$C$97,MATCH(Calculation!$C44,Parameter!$B$19:$B$97,0),MATCH(Calculation!D$7,Parameter!$B$19:$C$19,0))</f>
        <v>Southland Regional</v>
      </c>
      <c r="E44" s="73">
        <f>INDEX(Parameter!$B$19:$H$97,MATCH(Calculation!$C44,Parameter!$B$19:$B$97,0),MATCH(Calculation!E$7,Parameter!$B$19:$H$19,0))</f>
        <v>50814</v>
      </c>
      <c r="F44" s="74">
        <f>INDEX(Parameter!$B$19:$H$97,MATCH(Calculation!$C44,Parameter!$B$19:$B$97,0),MATCH(Calculation!F$7,Parameter!$B$19:$H$19,0))</f>
        <v>994.33963367708168</v>
      </c>
      <c r="G44" s="75">
        <f>INDEX(Parameter!$B$19:$H$97,MATCH(Calculation!$C44,Parameter!$B$19:$B$97,0),MATCH(Calculation!G$7,Parameter!$B$19:$H$19,0))</f>
        <v>1.7311161397128111E-7</v>
      </c>
      <c r="H44" s="76">
        <f t="shared" si="27"/>
        <v>9.4372451863731804E-2</v>
      </c>
      <c r="I44" s="77">
        <f t="shared" si="28"/>
        <v>-0.40411747207815485</v>
      </c>
      <c r="J44" s="78">
        <f t="shared" si="29"/>
        <v>0.32929667640384869</v>
      </c>
      <c r="K44" s="76">
        <f t="shared" si="30"/>
        <v>6.5821418478643015</v>
      </c>
      <c r="L44" s="77">
        <f t="shared" si="31"/>
        <v>1.6632672461841238</v>
      </c>
      <c r="M44" s="77">
        <f t="shared" si="32"/>
        <v>1.1728202842863482</v>
      </c>
      <c r="N44" s="77">
        <f t="shared" si="33"/>
        <v>9.4182293783347735</v>
      </c>
      <c r="O44" s="78">
        <f t="shared" si="34"/>
        <v>6.9408704765328011E-2</v>
      </c>
      <c r="P44" s="61"/>
      <c r="T44" s="257">
        <f t="shared" si="14"/>
        <v>0.52</v>
      </c>
      <c r="U44" s="80">
        <f t="shared" si="15"/>
        <v>0.75</v>
      </c>
      <c r="V44" s="80">
        <f t="shared" si="16"/>
        <v>0.52</v>
      </c>
      <c r="W44" s="80">
        <f t="shared" si="17"/>
        <v>0.51</v>
      </c>
      <c r="X44" s="80">
        <f t="shared" si="18"/>
        <v>0.52</v>
      </c>
      <c r="Z44" s="81">
        <f t="shared" si="35"/>
        <v>0.52</v>
      </c>
      <c r="AA44" s="82">
        <f>INDEX('Table_Previous FAR'!$B$5:$K$83,MATCH(Calculation!D44,'Table_Previous FAR'!$B$5:$B$83,0),MATCH(Calculation!$AA$7,'Table_Previous FAR'!$B$5:$K$5,))</f>
        <v>0.51</v>
      </c>
      <c r="AB44" s="73">
        <f>INDEX(Parameter!$C$19:$L$97, MATCH(Calculation!$D44,Parameter!$C$19:$C$97,0),MATCH(Calculation!AB$7,Parameter!$C$19:$L$19,0))</f>
        <v>900049</v>
      </c>
      <c r="AC44" s="73">
        <f>INDEX(Parameter!$C$19:$L$97, MATCH(Calculation!$D44,Parameter!$C$19:$C$97,0),MATCH(Calculation!AC$7,Parameter!$C$19:$L$19,0))</f>
        <v>557421</v>
      </c>
      <c r="AD44" s="73">
        <f>INDEX(Parameter!$C$19:$L$97, MATCH(Calculation!$D44,Parameter!$C$19:$C$97,0),MATCH(Calculation!AD$7,Parameter!$C$19:$L$19,0))</f>
        <v>342628</v>
      </c>
      <c r="AE44" s="73">
        <f t="shared" si="36"/>
        <v>468025.48000000004</v>
      </c>
      <c r="AF44" s="32">
        <f t="shared" si="37"/>
        <v>432023.51999999996</v>
      </c>
      <c r="AG44" s="185">
        <f t="shared" si="38"/>
        <v>-89395.51999999996</v>
      </c>
      <c r="AH44" s="186">
        <f t="shared" si="39"/>
        <v>89395.51999999996</v>
      </c>
      <c r="AI44" s="179">
        <f t="shared" si="20"/>
        <v>-0.16037343408303592</v>
      </c>
      <c r="AJ44" s="83">
        <f t="shared" si="21"/>
        <v>0.26091130905822046</v>
      </c>
      <c r="AK44" s="81">
        <f t="shared" si="22"/>
        <v>1.3932942502960543E-3</v>
      </c>
      <c r="AL44" s="82">
        <f t="shared" si="23"/>
        <v>1.3932942502960543E-3</v>
      </c>
      <c r="AM44" s="42" t="str">
        <f t="shared" si="40"/>
        <v>Southland Regional</v>
      </c>
      <c r="AN44" s="206">
        <f t="shared" si="24"/>
        <v>0.51</v>
      </c>
      <c r="AO44" s="202">
        <f t="shared" si="25"/>
        <v>0.52</v>
      </c>
      <c r="AQ44" s="84">
        <f>MIN(AC26,AE26)</f>
        <v>9565882</v>
      </c>
      <c r="AR44" s="84">
        <f>AE26-AQ44</f>
        <v>579842.6400000006</v>
      </c>
      <c r="AS44" s="84">
        <f>AC26-AQ44</f>
        <v>0</v>
      </c>
      <c r="AT44" s="84"/>
      <c r="AU44" s="84"/>
      <c r="AV44" s="84"/>
    </row>
    <row r="45" spans="2:48" x14ac:dyDescent="0.25">
      <c r="B45" s="85">
        <f t="shared" si="26"/>
        <v>38</v>
      </c>
      <c r="C45" s="86">
        <v>36</v>
      </c>
      <c r="D45" s="7" t="str">
        <f>INDEX(Parameter!$B$19:$C$97,MATCH(Calculation!$C45,Parameter!$B$19:$B$97,0),MATCH(Calculation!D$7,Parameter!$B$19:$C$19,0))</f>
        <v>Manawatu District</v>
      </c>
      <c r="E45" s="73">
        <f>INDEX(Parameter!$B$19:$H$97,MATCH(Calculation!$C45,Parameter!$B$19:$B$97,0),MATCH(Calculation!E$7,Parameter!$B$19:$H$19,0))</f>
        <v>13916</v>
      </c>
      <c r="F45" s="74">
        <f>INDEX(Parameter!$B$19:$H$97,MATCH(Calculation!$C45,Parameter!$B$19:$B$97,0),MATCH(Calculation!F$7,Parameter!$B$19:$H$19,0))</f>
        <v>985.63383084577117</v>
      </c>
      <c r="G45" s="75">
        <f>INDEX(Parameter!$B$19:$H$97,MATCH(Calculation!$C45,Parameter!$B$19:$B$97,0),MATCH(Calculation!G$7,Parameter!$B$19:$H$19,0))</f>
        <v>1.269987450375241E-7</v>
      </c>
      <c r="H45" s="76">
        <f t="shared" si="27"/>
        <v>-0.3783437386228799</v>
      </c>
      <c r="I45" s="77">
        <f t="shared" si="28"/>
        <v>-0.57347509835080168</v>
      </c>
      <c r="J45" s="78">
        <f t="shared" si="29"/>
        <v>1.9442791286823748E-5</v>
      </c>
      <c r="K45" s="76">
        <f t="shared" si="30"/>
        <v>7.0548580383509139</v>
      </c>
      <c r="L45" s="77">
        <f t="shared" si="31"/>
        <v>1.493909619911477</v>
      </c>
      <c r="M45" s="77">
        <f t="shared" si="32"/>
        <v>0.84354305067378643</v>
      </c>
      <c r="N45" s="77">
        <f t="shared" si="33"/>
        <v>9.3923107089361757</v>
      </c>
      <c r="O45" s="78">
        <f t="shared" si="34"/>
        <v>4.349003536673024E-2</v>
      </c>
      <c r="P45" s="61"/>
      <c r="T45" s="257">
        <f t="shared" si="14"/>
        <v>0.51</v>
      </c>
      <c r="U45" s="80">
        <f t="shared" si="15"/>
        <v>0.75</v>
      </c>
      <c r="V45" s="80">
        <f t="shared" si="16"/>
        <v>0.51</v>
      </c>
      <c r="W45" s="80">
        <f t="shared" si="17"/>
        <v>0.51</v>
      </c>
      <c r="X45" s="80">
        <f t="shared" si="18"/>
        <v>0.51</v>
      </c>
      <c r="Z45" s="81">
        <f t="shared" si="35"/>
        <v>0.51</v>
      </c>
      <c r="AA45" s="82">
        <f>INDEX('Table_Previous FAR'!$B$5:$K$83,MATCH(Calculation!D45,'Table_Previous FAR'!$B$5:$B$83,0),MATCH(Calculation!$AA$7,'Table_Previous FAR'!$B$5:$K$5,))</f>
        <v>0.53</v>
      </c>
      <c r="AB45" s="73">
        <f>INDEX(Parameter!$C$19:$L$97, MATCH(Calculation!$D45,Parameter!$C$19:$C$97,0),MATCH(Calculation!AB$7,Parameter!$C$19:$L$19,0))</f>
        <v>45429845</v>
      </c>
      <c r="AC45" s="73">
        <f>INDEX(Parameter!$C$19:$L$97, MATCH(Calculation!$D45,Parameter!$C$19:$C$97,0),MATCH(Calculation!AC$7,Parameter!$C$19:$L$19,0))</f>
        <v>24363160</v>
      </c>
      <c r="AD45" s="73">
        <f>INDEX(Parameter!$C$19:$L$97, MATCH(Calculation!$D45,Parameter!$C$19:$C$97,0),MATCH(Calculation!AD$7,Parameter!$C$19:$L$19,0))</f>
        <v>21066685</v>
      </c>
      <c r="AE45" s="73">
        <f t="shared" si="36"/>
        <v>23169220.949999999</v>
      </c>
      <c r="AF45" s="32">
        <f t="shared" si="37"/>
        <v>22260624.050000001</v>
      </c>
      <c r="AG45" s="185">
        <f t="shared" si="38"/>
        <v>-1193939.0500000007</v>
      </c>
      <c r="AH45" s="186">
        <f t="shared" si="39"/>
        <v>1193939.0500000007</v>
      </c>
      <c r="AI45" s="179">
        <f t="shared" si="20"/>
        <v>-4.9005919182897484E-2</v>
      </c>
      <c r="AJ45" s="83">
        <f t="shared" si="21"/>
        <v>5.6674272672705778E-2</v>
      </c>
      <c r="AK45" s="81">
        <f t="shared" si="22"/>
        <v>1.8608409163780638E-2</v>
      </c>
      <c r="AL45" s="82">
        <f t="shared" si="23"/>
        <v>1.8608409163780638E-2</v>
      </c>
      <c r="AM45" s="42" t="str">
        <f t="shared" si="40"/>
        <v>Manawatu District</v>
      </c>
      <c r="AN45" s="206">
        <f t="shared" si="24"/>
        <v>0.53</v>
      </c>
      <c r="AO45" s="202">
        <f t="shared" si="25"/>
        <v>0.51</v>
      </c>
      <c r="AQ45" s="84"/>
      <c r="AR45" s="84"/>
      <c r="AS45" s="84"/>
      <c r="AT45" s="84">
        <f>MIN(AD26,AF26)</f>
        <v>6218347.3599999994</v>
      </c>
      <c r="AU45" s="84">
        <f>AF26-AT45</f>
        <v>0</v>
      </c>
      <c r="AV45" s="84">
        <f>AD26-AT45</f>
        <v>579842.6400000006</v>
      </c>
    </row>
    <row r="46" spans="2:48" x14ac:dyDescent="0.25">
      <c r="B46" s="85">
        <f t="shared" si="26"/>
        <v>39</v>
      </c>
      <c r="C46" s="86">
        <v>13</v>
      </c>
      <c r="D46" s="7" t="str">
        <f>INDEX(Parameter!$B$19:$C$97,MATCH(Calculation!$C46,Parameter!$B$19:$B$97,0),MATCH(Calculation!D$7,Parameter!$B$19:$C$19,0))</f>
        <v>Matamata-Piako District</v>
      </c>
      <c r="E46" s="73">
        <f>INDEX(Parameter!$B$19:$H$97,MATCH(Calculation!$C46,Parameter!$B$19:$B$97,0),MATCH(Calculation!E$7,Parameter!$B$19:$H$19,0))</f>
        <v>14629</v>
      </c>
      <c r="F46" s="74">
        <f>INDEX(Parameter!$B$19:$H$97,MATCH(Calculation!$C46,Parameter!$B$19:$B$97,0),MATCH(Calculation!F$7,Parameter!$B$19:$H$19,0))</f>
        <v>1008.0043614794138</v>
      </c>
      <c r="G46" s="75">
        <f>INDEX(Parameter!$B$19:$H$97,MATCH(Calculation!$C46,Parameter!$B$19:$B$97,0),MATCH(Calculation!G$7,Parameter!$B$19:$H$19,0))</f>
        <v>6.3572209013955303E-8</v>
      </c>
      <c r="H46" s="76">
        <f t="shared" si="27"/>
        <v>-0.3692091881372993</v>
      </c>
      <c r="I46" s="77">
        <f t="shared" si="28"/>
        <v>-0.13829180279677969</v>
      </c>
      <c r="J46" s="78">
        <f t="shared" si="29"/>
        <v>-0.45288914438576028</v>
      </c>
      <c r="K46" s="76">
        <f t="shared" si="30"/>
        <v>7.0457234878653328</v>
      </c>
      <c r="L46" s="77">
        <f t="shared" si="31"/>
        <v>1.929092915465499</v>
      </c>
      <c r="M46" s="77">
        <f t="shared" si="32"/>
        <v>0.3906344634967393</v>
      </c>
      <c r="N46" s="77">
        <f t="shared" si="33"/>
        <v>9.3654508668275724</v>
      </c>
      <c r="O46" s="78">
        <f t="shared" si="34"/>
        <v>1.663019325812698E-2</v>
      </c>
      <c r="P46" s="61"/>
      <c r="T46" s="257">
        <f t="shared" si="14"/>
        <v>0.51</v>
      </c>
      <c r="U46" s="80">
        <f t="shared" si="15"/>
        <v>0.75</v>
      </c>
      <c r="V46" s="80">
        <f t="shared" si="16"/>
        <v>0.51</v>
      </c>
      <c r="W46" s="80">
        <f t="shared" si="17"/>
        <v>0.51</v>
      </c>
      <c r="X46" s="80">
        <f t="shared" si="18"/>
        <v>0.51</v>
      </c>
      <c r="Z46" s="81">
        <f t="shared" si="35"/>
        <v>0.51</v>
      </c>
      <c r="AA46" s="82">
        <f>INDEX('Table_Previous FAR'!$B$5:$K$83,MATCH(Calculation!D46,'Table_Previous FAR'!$B$5:$B$83,0),MATCH(Calculation!$AA$7,'Table_Previous FAR'!$B$5:$K$5,))</f>
        <v>0.51</v>
      </c>
      <c r="AB46" s="73">
        <f>INDEX(Parameter!$C$19:$L$97, MATCH(Calculation!$D46,Parameter!$C$19:$C$97,0),MATCH(Calculation!AB$7,Parameter!$C$19:$L$19,0))</f>
        <v>45715659</v>
      </c>
      <c r="AC46" s="73">
        <f>INDEX(Parameter!$C$19:$L$97, MATCH(Calculation!$D46,Parameter!$C$19:$C$97,0),MATCH(Calculation!AC$7,Parameter!$C$19:$L$19,0))</f>
        <v>23804886</v>
      </c>
      <c r="AD46" s="73">
        <f>INDEX(Parameter!$C$19:$L$97, MATCH(Calculation!$D46,Parameter!$C$19:$C$97,0),MATCH(Calculation!AD$7,Parameter!$C$19:$L$19,0))</f>
        <v>21910773</v>
      </c>
      <c r="AE46" s="73">
        <f t="shared" si="36"/>
        <v>23314986.09</v>
      </c>
      <c r="AF46" s="32">
        <f t="shared" si="37"/>
        <v>22400672.91</v>
      </c>
      <c r="AG46" s="185">
        <f t="shared" si="38"/>
        <v>-489899.91000000015</v>
      </c>
      <c r="AH46" s="186">
        <f t="shared" si="39"/>
        <v>489899.91000000015</v>
      </c>
      <c r="AI46" s="179">
        <f t="shared" si="20"/>
        <v>-2.0579804919040576E-2</v>
      </c>
      <c r="AJ46" s="83">
        <f t="shared" si="21"/>
        <v>2.2358860182614286E-2</v>
      </c>
      <c r="AK46" s="81">
        <f t="shared" si="22"/>
        <v>7.6354466960263222E-3</v>
      </c>
      <c r="AL46" s="82">
        <f t="shared" si="23"/>
        <v>7.6354466960263222E-3</v>
      </c>
      <c r="AM46" s="42" t="str">
        <f t="shared" si="40"/>
        <v>Matamata-Piako District</v>
      </c>
      <c r="AN46" s="206">
        <f t="shared" si="24"/>
        <v>0.51</v>
      </c>
      <c r="AO46" s="202">
        <f t="shared" si="25"/>
        <v>0.51</v>
      </c>
      <c r="AQ46" s="84">
        <f>MIN(AC27,AE27)</f>
        <v>42581457</v>
      </c>
      <c r="AR46" s="84">
        <f>AE27-AQ46</f>
        <v>450478.1400000006</v>
      </c>
      <c r="AS46" s="84">
        <f>AC27-AQ46</f>
        <v>0</v>
      </c>
      <c r="AT46" s="84"/>
      <c r="AU46" s="84"/>
      <c r="AV46" s="84"/>
    </row>
    <row r="47" spans="2:48" x14ac:dyDescent="0.25">
      <c r="B47" s="85">
        <f t="shared" si="26"/>
        <v>40</v>
      </c>
      <c r="C47" s="86">
        <v>50</v>
      </c>
      <c r="D47" s="7" t="str">
        <f>INDEX(Parameter!$B$19:$C$97,MATCH(Calculation!$C47,Parameter!$B$19:$B$97,0),MATCH(Calculation!D$7,Parameter!$B$19:$C$19,0))</f>
        <v>Kaikoura District</v>
      </c>
      <c r="E47" s="73">
        <f>INDEX(Parameter!$B$19:$H$97,MATCH(Calculation!$C47,Parameter!$B$19:$B$97,0),MATCH(Calculation!E$7,Parameter!$B$19:$H$19,0))</f>
        <v>2981</v>
      </c>
      <c r="F47" s="74">
        <f>INDEX(Parameter!$B$19:$H$97,MATCH(Calculation!$C47,Parameter!$B$19:$B$97,0),MATCH(Calculation!F$7,Parameter!$B$19:$H$19,0))</f>
        <v>981.94474290099765</v>
      </c>
      <c r="G47" s="75">
        <f>INDEX(Parameter!$B$19:$H$97,MATCH(Calculation!$C47,Parameter!$B$19:$B$97,0),MATCH(Calculation!G$7,Parameter!$B$19:$H$19,0))</f>
        <v>1.0901056178074549E-7</v>
      </c>
      <c r="H47" s="76">
        <f t="shared" si="27"/>
        <v>-0.51843673940804713</v>
      </c>
      <c r="I47" s="77">
        <f t="shared" si="28"/>
        <v>-0.64524047020035369</v>
      </c>
      <c r="J47" s="78">
        <f t="shared" si="29"/>
        <v>-0.12842841476918365</v>
      </c>
      <c r="K47" s="76">
        <f t="shared" si="30"/>
        <v>7.1949510391360807</v>
      </c>
      <c r="L47" s="77">
        <f t="shared" si="31"/>
        <v>1.4221442480619251</v>
      </c>
      <c r="M47" s="77">
        <f t="shared" si="32"/>
        <v>0.71509519311331593</v>
      </c>
      <c r="N47" s="77">
        <f t="shared" si="33"/>
        <v>9.3321904803113203</v>
      </c>
      <c r="O47" s="78">
        <f t="shared" si="34"/>
        <v>-1.6630193258125203E-2</v>
      </c>
      <c r="P47" s="61"/>
      <c r="T47" s="257">
        <f t="shared" si="14"/>
        <v>0.51</v>
      </c>
      <c r="U47" s="80">
        <f t="shared" si="15"/>
        <v>0.75</v>
      </c>
      <c r="V47" s="80">
        <f t="shared" si="16"/>
        <v>0.51</v>
      </c>
      <c r="W47" s="80">
        <f t="shared" si="17"/>
        <v>0.51</v>
      </c>
      <c r="X47" s="80">
        <f t="shared" si="18"/>
        <v>0.51</v>
      </c>
      <c r="Z47" s="81">
        <f t="shared" si="35"/>
        <v>0.51</v>
      </c>
      <c r="AA47" s="82">
        <f>INDEX('Table_Previous FAR'!$B$5:$K$83,MATCH(Calculation!D47,'Table_Previous FAR'!$B$5:$B$83,0),MATCH(Calculation!$AA$7,'Table_Previous FAR'!$B$5:$K$5,))</f>
        <v>0.51</v>
      </c>
      <c r="AB47" s="73">
        <f>INDEX(Parameter!$C$19:$L$97, MATCH(Calculation!$D47,Parameter!$C$19:$C$97,0),MATCH(Calculation!AB$7,Parameter!$C$19:$L$19,0))</f>
        <v>4222634</v>
      </c>
      <c r="AC47" s="73">
        <f>INDEX(Parameter!$C$19:$L$97, MATCH(Calculation!$D47,Parameter!$C$19:$C$97,0),MATCH(Calculation!AC$7,Parameter!$C$19:$L$19,0))</f>
        <v>2098311</v>
      </c>
      <c r="AD47" s="73">
        <f>INDEX(Parameter!$C$19:$L$97, MATCH(Calculation!$D47,Parameter!$C$19:$C$97,0),MATCH(Calculation!AD$7,Parameter!$C$19:$L$19,0))</f>
        <v>2124323</v>
      </c>
      <c r="AE47" s="73">
        <f t="shared" si="36"/>
        <v>2153543.34</v>
      </c>
      <c r="AF47" s="32">
        <f t="shared" si="37"/>
        <v>2069090.6600000001</v>
      </c>
      <c r="AG47" s="185">
        <f t="shared" si="38"/>
        <v>55232.339999999851</v>
      </c>
      <c r="AH47" s="186">
        <f t="shared" si="39"/>
        <v>-55232.339999999851</v>
      </c>
      <c r="AI47" s="179">
        <f t="shared" si="20"/>
        <v>2.6322284923445499E-2</v>
      </c>
      <c r="AJ47" s="83">
        <f t="shared" si="21"/>
        <v>-2.5999972697183928E-2</v>
      </c>
      <c r="AK47" s="81">
        <f t="shared" si="22"/>
        <v>-8.6083622258024343E-4</v>
      </c>
      <c r="AL47" s="82">
        <f t="shared" si="23"/>
        <v>-8.6083622258024343E-4</v>
      </c>
      <c r="AM47" s="42" t="str">
        <f t="shared" si="40"/>
        <v>Kaikoura District</v>
      </c>
      <c r="AN47" s="206">
        <f t="shared" si="24"/>
        <v>0.51</v>
      </c>
      <c r="AO47" s="202">
        <f t="shared" si="25"/>
        <v>0.51</v>
      </c>
      <c r="AQ47" s="84"/>
      <c r="AR47" s="84"/>
      <c r="AS47" s="84"/>
      <c r="AT47" s="84">
        <f>MIN(AD27,AF27)</f>
        <v>26374411.859999999</v>
      </c>
      <c r="AU47" s="84">
        <f>AF27-AT47</f>
        <v>0</v>
      </c>
      <c r="AV47" s="84">
        <f>AD27-AT47</f>
        <v>450478.1400000006</v>
      </c>
    </row>
    <row r="48" spans="2:48" x14ac:dyDescent="0.25">
      <c r="B48" s="85">
        <f t="shared" si="26"/>
        <v>41</v>
      </c>
      <c r="C48" s="86">
        <v>42</v>
      </c>
      <c r="D48" s="7" t="str">
        <f>INDEX(Parameter!$B$19:$C$97,MATCH(Calculation!$C48,Parameter!$B$19:$B$97,0),MATCH(Calculation!D$7,Parameter!$B$19:$C$19,0))</f>
        <v>Carterton District</v>
      </c>
      <c r="E48" s="73">
        <f>INDEX(Parameter!$B$19:$H$97,MATCH(Calculation!$C48,Parameter!$B$19:$B$97,0),MATCH(Calculation!E$7,Parameter!$B$19:$H$19,0))</f>
        <v>4843</v>
      </c>
      <c r="F48" s="74">
        <f>INDEX(Parameter!$B$19:$H$97,MATCH(Calculation!$C48,Parameter!$B$19:$B$97,0),MATCH(Calculation!F$7,Parameter!$B$19:$H$19,0))</f>
        <v>968.58433931484501</v>
      </c>
      <c r="G48" s="75">
        <f>INDEX(Parameter!$B$19:$H$97,MATCH(Calculation!$C48,Parameter!$B$19:$B$97,0),MATCH(Calculation!G$7,Parameter!$B$19:$H$19,0))</f>
        <v>1.4598290997645337E-7</v>
      </c>
      <c r="H48" s="76">
        <f t="shared" si="27"/>
        <v>-0.49458185440923763</v>
      </c>
      <c r="I48" s="77">
        <f t="shared" si="28"/>
        <v>-0.90514599313013988</v>
      </c>
      <c r="J48" s="78">
        <f t="shared" si="29"/>
        <v>0.13557928667163849</v>
      </c>
      <c r="K48" s="76">
        <f t="shared" si="30"/>
        <v>7.1710961541372713</v>
      </c>
      <c r="L48" s="77">
        <f t="shared" si="31"/>
        <v>1.1622387251321387</v>
      </c>
      <c r="M48" s="77">
        <f t="shared" si="32"/>
        <v>0.97910289455413801</v>
      </c>
      <c r="N48" s="77">
        <f t="shared" si="33"/>
        <v>9.3124377738235484</v>
      </c>
      <c r="O48" s="78">
        <f t="shared" si="34"/>
        <v>-3.6382899745897035E-2</v>
      </c>
      <c r="P48" s="61"/>
      <c r="T48" s="79">
        <f t="shared" si="14"/>
        <v>0.51</v>
      </c>
      <c r="U48" s="80">
        <f t="shared" si="15"/>
        <v>0.75</v>
      </c>
      <c r="V48" s="80">
        <f t="shared" si="16"/>
        <v>0.51</v>
      </c>
      <c r="W48" s="80">
        <f t="shared" si="17"/>
        <v>0.51</v>
      </c>
      <c r="X48" s="80">
        <f t="shared" si="18"/>
        <v>0.51</v>
      </c>
      <c r="Z48" s="81">
        <f t="shared" si="35"/>
        <v>0.51</v>
      </c>
      <c r="AA48" s="82">
        <f>INDEX('Table_Previous FAR'!$B$5:$K$83,MATCH(Calculation!D48,'Table_Previous FAR'!$B$5:$B$83,0),MATCH(Calculation!$AA$7,'Table_Previous FAR'!$B$5:$K$5,))</f>
        <v>0.53</v>
      </c>
      <c r="AB48" s="73">
        <f>INDEX(Parameter!$C$19:$L$97, MATCH(Calculation!$D48,Parameter!$C$19:$C$97,0),MATCH(Calculation!AB$7,Parameter!$C$19:$L$19,0))</f>
        <v>11296276</v>
      </c>
      <c r="AC48" s="73">
        <f>INDEX(Parameter!$C$19:$L$97, MATCH(Calculation!$D48,Parameter!$C$19:$C$97,0),MATCH(Calculation!AC$7,Parameter!$C$19:$L$19,0))</f>
        <v>6085258</v>
      </c>
      <c r="AD48" s="73">
        <f>INDEX(Parameter!$C$19:$L$97, MATCH(Calculation!$D48,Parameter!$C$19:$C$97,0),MATCH(Calculation!AD$7,Parameter!$C$19:$L$19,0))</f>
        <v>5211018</v>
      </c>
      <c r="AE48" s="73">
        <f t="shared" si="36"/>
        <v>5761100.7599999998</v>
      </c>
      <c r="AF48" s="32">
        <f t="shared" si="37"/>
        <v>5535175.2400000002</v>
      </c>
      <c r="AG48" s="185">
        <f t="shared" si="38"/>
        <v>-324157.24000000022</v>
      </c>
      <c r="AH48" s="186">
        <f t="shared" si="39"/>
        <v>324157.24000000022</v>
      </c>
      <c r="AI48" s="179">
        <f t="shared" si="20"/>
        <v>-5.3269268123060716E-2</v>
      </c>
      <c r="AJ48" s="83">
        <f t="shared" si="21"/>
        <v>6.2206125559343725E-2</v>
      </c>
      <c r="AK48" s="81">
        <f t="shared" si="22"/>
        <v>5.0522265398069014E-3</v>
      </c>
      <c r="AL48" s="82">
        <f t="shared" si="23"/>
        <v>5.0522265398069014E-3</v>
      </c>
      <c r="AM48" s="42" t="str">
        <f t="shared" si="40"/>
        <v>Carterton District</v>
      </c>
      <c r="AN48" s="206">
        <f t="shared" si="24"/>
        <v>0.53</v>
      </c>
      <c r="AO48" s="202">
        <f t="shared" si="25"/>
        <v>0.51</v>
      </c>
      <c r="AQ48" s="84">
        <f>MIN(AC28,AE28)</f>
        <v>12517535</v>
      </c>
      <c r="AR48" s="84">
        <f>AE28-AQ48</f>
        <v>1001855.959999999</v>
      </c>
      <c r="AS48" s="84">
        <f>AC28-AQ48</f>
        <v>0</v>
      </c>
      <c r="AT48" s="84"/>
      <c r="AU48" s="84"/>
      <c r="AV48" s="84"/>
    </row>
    <row r="49" spans="2:48" x14ac:dyDescent="0.25">
      <c r="B49" s="85">
        <f t="shared" si="26"/>
        <v>42</v>
      </c>
      <c r="C49" s="86">
        <v>72</v>
      </c>
      <c r="D49" s="7" t="str">
        <f>INDEX(Parameter!$B$19:$C$97,MATCH(Calculation!$C49,Parameter!$B$19:$B$97,0),MATCH(Calculation!D$7,Parameter!$B$19:$C$19,0))</f>
        <v>Invercargill City</v>
      </c>
      <c r="E49" s="73">
        <f>INDEX(Parameter!$B$19:$H$97,MATCH(Calculation!$C49,Parameter!$B$19:$B$97,0),MATCH(Calculation!E$7,Parameter!$B$19:$H$19,0))</f>
        <v>25311</v>
      </c>
      <c r="F49" s="74">
        <f>INDEX(Parameter!$B$19:$H$97,MATCH(Calculation!$C49,Parameter!$B$19:$B$97,0),MATCH(Calculation!F$7,Parameter!$B$19:$H$19,0))</f>
        <v>1012.6376466681426</v>
      </c>
      <c r="G49" s="75">
        <f>INDEX(Parameter!$B$19:$H$97,MATCH(Calculation!$C49,Parameter!$B$19:$B$97,0),MATCH(Calculation!G$7,Parameter!$B$19:$H$19,0))</f>
        <v>5.471226669130713E-8</v>
      </c>
      <c r="H49" s="76">
        <f t="shared" si="27"/>
        <v>-0.23235747945991875</v>
      </c>
      <c r="I49" s="77">
        <f t="shared" si="28"/>
        <v>-4.8158566768827904E-2</v>
      </c>
      <c r="J49" s="78">
        <f t="shared" si="29"/>
        <v>-0.51615515592278638</v>
      </c>
      <c r="K49" s="76">
        <f t="shared" si="30"/>
        <v>6.9088717791879519</v>
      </c>
      <c r="L49" s="77">
        <f t="shared" si="31"/>
        <v>2.0192261514934509</v>
      </c>
      <c r="M49" s="77">
        <f t="shared" si="32"/>
        <v>0.3273684519597132</v>
      </c>
      <c r="N49" s="77">
        <f t="shared" si="33"/>
        <v>9.2554663826411172</v>
      </c>
      <c r="O49" s="78">
        <f t="shared" si="34"/>
        <v>-9.3354290928328254E-2</v>
      </c>
      <c r="P49" s="61"/>
      <c r="T49" s="79">
        <f t="shared" si="14"/>
        <v>0.5</v>
      </c>
      <c r="U49" s="80">
        <f t="shared" si="15"/>
        <v>0.75</v>
      </c>
      <c r="V49" s="80">
        <f t="shared" si="16"/>
        <v>0.5</v>
      </c>
      <c r="W49" s="80">
        <f t="shared" si="17"/>
        <v>0.51</v>
      </c>
      <c r="X49" s="80">
        <f t="shared" si="18"/>
        <v>0.51</v>
      </c>
      <c r="Z49" s="81">
        <f t="shared" si="35"/>
        <v>0.51</v>
      </c>
      <c r="AA49" s="82">
        <f>INDEX('Table_Previous FAR'!$B$5:$K$83,MATCH(Calculation!D49,'Table_Previous FAR'!$B$5:$B$83,0),MATCH(Calculation!$AA$7,'Table_Previous FAR'!$B$5:$K$5,))</f>
        <v>0.51</v>
      </c>
      <c r="AB49" s="73">
        <f>INDEX(Parameter!$C$19:$L$97, MATCH(Calculation!$D49,Parameter!$C$19:$C$97,0),MATCH(Calculation!AB$7,Parameter!$C$19:$L$19,0))</f>
        <v>47678163</v>
      </c>
      <c r="AC49" s="73">
        <f>INDEX(Parameter!$C$19:$L$97, MATCH(Calculation!$D49,Parameter!$C$19:$C$97,0),MATCH(Calculation!AC$7,Parameter!$C$19:$L$19,0))</f>
        <v>28694941</v>
      </c>
      <c r="AD49" s="73">
        <f>INDEX(Parameter!$C$19:$L$97, MATCH(Calculation!$D49,Parameter!$C$19:$C$97,0),MATCH(Calculation!AD$7,Parameter!$C$19:$L$19,0))</f>
        <v>18983222</v>
      </c>
      <c r="AE49" s="73">
        <f t="shared" si="36"/>
        <v>24315863.129999999</v>
      </c>
      <c r="AF49" s="32">
        <f t="shared" si="37"/>
        <v>23362299.870000001</v>
      </c>
      <c r="AG49" s="185">
        <f t="shared" si="38"/>
        <v>-4379077.870000001</v>
      </c>
      <c r="AH49" s="186">
        <f t="shared" si="39"/>
        <v>4379077.870000001</v>
      </c>
      <c r="AI49" s="179">
        <f t="shared" si="20"/>
        <v>-0.15260801093823476</v>
      </c>
      <c r="AJ49" s="83">
        <f t="shared" si="21"/>
        <v>0.23068148652531173</v>
      </c>
      <c r="AK49" s="81">
        <f t="shared" si="22"/>
        <v>6.8251116139485479E-2</v>
      </c>
      <c r="AL49" s="82">
        <f t="shared" si="23"/>
        <v>6.8251116139485479E-2</v>
      </c>
      <c r="AM49" s="42" t="str">
        <f t="shared" si="40"/>
        <v>Invercargill City</v>
      </c>
      <c r="AN49" s="206">
        <f t="shared" si="24"/>
        <v>0.51</v>
      </c>
      <c r="AO49" s="202">
        <f t="shared" si="25"/>
        <v>0.51</v>
      </c>
      <c r="AQ49" s="84"/>
      <c r="AR49" s="84"/>
      <c r="AS49" s="84"/>
      <c r="AT49" s="84">
        <f>MIN(AD28,AF28)</f>
        <v>8643545.040000001</v>
      </c>
      <c r="AU49" s="84">
        <f>AF28-AT49</f>
        <v>0</v>
      </c>
      <c r="AV49" s="84">
        <f>AD28-AT49</f>
        <v>1001855.959999999</v>
      </c>
    </row>
    <row r="50" spans="2:48" x14ac:dyDescent="0.25">
      <c r="B50" s="85">
        <f t="shared" si="26"/>
        <v>43</v>
      </c>
      <c r="C50" s="86">
        <v>54</v>
      </c>
      <c r="D50" s="7" t="str">
        <f>INDEX(Parameter!$B$19:$C$97,MATCH(Calculation!$C50,Parameter!$B$19:$B$97,0),MATCH(Calculation!D$7,Parameter!$B$19:$C$19,0))</f>
        <v>Ashburton District</v>
      </c>
      <c r="E50" s="73">
        <f>INDEX(Parameter!$B$19:$H$97,MATCH(Calculation!$C50,Parameter!$B$19:$B$97,0),MATCH(Calculation!E$7,Parameter!$B$19:$H$19,0))</f>
        <v>15370</v>
      </c>
      <c r="F50" s="74">
        <f>INDEX(Parameter!$B$19:$H$97,MATCH(Calculation!$C50,Parameter!$B$19:$B$97,0),MATCH(Calculation!F$7,Parameter!$B$19:$H$19,0))</f>
        <v>971.70221743424008</v>
      </c>
      <c r="G50" s="75">
        <f>INDEX(Parameter!$B$19:$H$97,MATCH(Calculation!$C50,Parameter!$B$19:$B$97,0),MATCH(Calculation!G$7,Parameter!$B$19:$H$19,0))</f>
        <v>1.3960870928149445E-7</v>
      </c>
      <c r="H50" s="76">
        <f t="shared" si="27"/>
        <v>-0.35971591757654858</v>
      </c>
      <c r="I50" s="77">
        <f t="shared" si="28"/>
        <v>-0.84449260509232604</v>
      </c>
      <c r="J50" s="78">
        <f t="shared" si="29"/>
        <v>9.0063160265743736E-2</v>
      </c>
      <c r="K50" s="76">
        <f t="shared" si="30"/>
        <v>7.0362302173045821</v>
      </c>
      <c r="L50" s="77">
        <f t="shared" si="31"/>
        <v>1.2228921131699526</v>
      </c>
      <c r="M50" s="77">
        <f t="shared" si="32"/>
        <v>0.93358676814824326</v>
      </c>
      <c r="N50" s="77">
        <f t="shared" si="33"/>
        <v>9.1927090986227782</v>
      </c>
      <c r="O50" s="78">
        <f t="shared" si="34"/>
        <v>-0.15611157494666728</v>
      </c>
      <c r="P50" s="61"/>
      <c r="T50" s="79">
        <f t="shared" si="14"/>
        <v>0.5</v>
      </c>
      <c r="U50" s="80">
        <f t="shared" si="15"/>
        <v>0.75</v>
      </c>
      <c r="V50" s="80">
        <f t="shared" si="16"/>
        <v>0.5</v>
      </c>
      <c r="W50" s="80">
        <f t="shared" si="17"/>
        <v>0.51</v>
      </c>
      <c r="X50" s="80">
        <f t="shared" si="18"/>
        <v>0.51</v>
      </c>
      <c r="Z50" s="81">
        <f t="shared" si="35"/>
        <v>0.51</v>
      </c>
      <c r="AA50" s="82">
        <f>INDEX('Table_Previous FAR'!$B$5:$K$83,MATCH(Calculation!D50,'Table_Previous FAR'!$B$5:$B$83,0),MATCH(Calculation!$AA$7,'Table_Previous FAR'!$B$5:$K$5,))</f>
        <v>0.51</v>
      </c>
      <c r="AB50" s="73">
        <f>INDEX(Parameter!$C$19:$L$97, MATCH(Calculation!$D50,Parameter!$C$19:$C$97,0),MATCH(Calculation!AB$7,Parameter!$C$19:$L$19,0))</f>
        <v>47528982</v>
      </c>
      <c r="AC50" s="73">
        <f>INDEX(Parameter!$C$19:$L$97, MATCH(Calculation!$D50,Parameter!$C$19:$C$97,0),MATCH(Calculation!AC$7,Parameter!$C$19:$L$19,0))</f>
        <v>24559140</v>
      </c>
      <c r="AD50" s="73">
        <f>INDEX(Parameter!$C$19:$L$97, MATCH(Calculation!$D50,Parameter!$C$19:$C$97,0),MATCH(Calculation!AD$7,Parameter!$C$19:$L$19,0))</f>
        <v>22969842</v>
      </c>
      <c r="AE50" s="73">
        <f t="shared" si="36"/>
        <v>24239780.82</v>
      </c>
      <c r="AF50" s="32">
        <f t="shared" si="37"/>
        <v>23289201.18</v>
      </c>
      <c r="AG50" s="185">
        <f t="shared" si="38"/>
        <v>-319359.1799999997</v>
      </c>
      <c r="AH50" s="186">
        <f t="shared" si="39"/>
        <v>319359.1799999997</v>
      </c>
      <c r="AI50" s="179">
        <f t="shared" si="20"/>
        <v>-1.3003679281929241E-2</v>
      </c>
      <c r="AJ50" s="83">
        <f t="shared" si="21"/>
        <v>1.39034121349202E-2</v>
      </c>
      <c r="AK50" s="81">
        <f t="shared" si="22"/>
        <v>4.9774452821938105E-3</v>
      </c>
      <c r="AL50" s="82">
        <f t="shared" si="23"/>
        <v>4.9774452821938105E-3</v>
      </c>
      <c r="AM50" s="42" t="str">
        <f t="shared" si="40"/>
        <v>Ashburton District</v>
      </c>
      <c r="AN50" s="206">
        <f t="shared" si="24"/>
        <v>0.51</v>
      </c>
      <c r="AO50" s="202">
        <f t="shared" si="25"/>
        <v>0.51</v>
      </c>
      <c r="AQ50" s="84">
        <f>MIN(AC29,AE29)</f>
        <v>15209115</v>
      </c>
      <c r="AR50" s="84">
        <f>AE29-AQ50</f>
        <v>1031659.8100000005</v>
      </c>
      <c r="AS50" s="84">
        <f>AC29-AQ50</f>
        <v>0</v>
      </c>
      <c r="AT50" s="84"/>
      <c r="AU50" s="84"/>
      <c r="AV50" s="84"/>
    </row>
    <row r="51" spans="2:48" x14ac:dyDescent="0.25">
      <c r="B51" s="85">
        <f t="shared" si="26"/>
        <v>44</v>
      </c>
      <c r="C51" s="86">
        <v>60</v>
      </c>
      <c r="D51" s="7" t="str">
        <f>INDEX(Parameter!$B$19:$C$97,MATCH(Calculation!$C51,Parameter!$B$19:$B$97,0),MATCH(Calculation!D$7,Parameter!$B$19:$C$19,0))</f>
        <v>Timaru District</v>
      </c>
      <c r="E51" s="73">
        <f>INDEX(Parameter!$B$19:$H$97,MATCH(Calculation!$C51,Parameter!$B$19:$B$97,0),MATCH(Calculation!E$7,Parameter!$B$19:$H$19,0))</f>
        <v>22037</v>
      </c>
      <c r="F51" s="74">
        <f>INDEX(Parameter!$B$19:$H$97,MATCH(Calculation!$C51,Parameter!$B$19:$B$97,0),MATCH(Calculation!F$7,Parameter!$B$19:$H$19,0))</f>
        <v>982.63224050796941</v>
      </c>
      <c r="G51" s="75">
        <f>INDEX(Parameter!$B$19:$H$97,MATCH(Calculation!$C51,Parameter!$B$19:$B$97,0),MATCH(Calculation!G$7,Parameter!$B$19:$H$19,0))</f>
        <v>1.2167828327037647E-7</v>
      </c>
      <c r="H51" s="76">
        <f t="shared" si="27"/>
        <v>-0.27430210539230443</v>
      </c>
      <c r="I51" s="77">
        <f t="shared" si="28"/>
        <v>-0.63186629150127838</v>
      </c>
      <c r="J51" s="78">
        <f t="shared" si="29"/>
        <v>-3.7972271294957928E-2</v>
      </c>
      <c r="K51" s="76">
        <f t="shared" si="30"/>
        <v>6.9508164051203378</v>
      </c>
      <c r="L51" s="77">
        <f t="shared" si="31"/>
        <v>1.4355184267610004</v>
      </c>
      <c r="M51" s="77">
        <f t="shared" si="32"/>
        <v>0.80555133658754163</v>
      </c>
      <c r="N51" s="77">
        <f t="shared" si="33"/>
        <v>9.19188616846888</v>
      </c>
      <c r="O51" s="78">
        <f t="shared" si="34"/>
        <v>-0.1569345051005655</v>
      </c>
      <c r="P51" s="61"/>
      <c r="T51" s="79">
        <f t="shared" si="14"/>
        <v>0.5</v>
      </c>
      <c r="U51" s="80">
        <f t="shared" si="15"/>
        <v>0.75</v>
      </c>
      <c r="V51" s="80">
        <f t="shared" si="16"/>
        <v>0.5</v>
      </c>
      <c r="W51" s="80">
        <f t="shared" si="17"/>
        <v>0.51</v>
      </c>
      <c r="X51" s="80">
        <f t="shared" si="18"/>
        <v>0.51</v>
      </c>
      <c r="Z51" s="81">
        <f t="shared" si="35"/>
        <v>0.51</v>
      </c>
      <c r="AA51" s="82">
        <f>INDEX('Table_Previous FAR'!$B$5:$K$83,MATCH(Calculation!D51,'Table_Previous FAR'!$B$5:$B$83,0),MATCH(Calculation!$AA$7,'Table_Previous FAR'!$B$5:$K$5,))</f>
        <v>0.51</v>
      </c>
      <c r="AB51" s="73">
        <f>INDEX(Parameter!$C$19:$L$97, MATCH(Calculation!$D51,Parameter!$C$19:$C$97,0),MATCH(Calculation!AB$7,Parameter!$C$19:$L$19,0))</f>
        <v>58073111</v>
      </c>
      <c r="AC51" s="73">
        <f>INDEX(Parameter!$C$19:$L$97, MATCH(Calculation!$D51,Parameter!$C$19:$C$97,0),MATCH(Calculation!AC$7,Parameter!$C$19:$L$19,0))</f>
        <v>31485241</v>
      </c>
      <c r="AD51" s="73">
        <f>INDEX(Parameter!$C$19:$L$97, MATCH(Calculation!$D51,Parameter!$C$19:$C$97,0),MATCH(Calculation!AD$7,Parameter!$C$19:$L$19,0))</f>
        <v>26587870</v>
      </c>
      <c r="AE51" s="73">
        <f t="shared" si="36"/>
        <v>29617286.609999999</v>
      </c>
      <c r="AF51" s="32">
        <f t="shared" si="37"/>
        <v>28455824.390000001</v>
      </c>
      <c r="AG51" s="185">
        <f t="shared" si="38"/>
        <v>-1867954.3900000006</v>
      </c>
      <c r="AH51" s="186">
        <f t="shared" si="39"/>
        <v>1867954.3900000006</v>
      </c>
      <c r="AI51" s="179">
        <f t="shared" si="20"/>
        <v>-5.9327936857780462E-2</v>
      </c>
      <c r="AJ51" s="83">
        <f t="shared" si="21"/>
        <v>7.0255886989066846E-2</v>
      </c>
      <c r="AK51" s="81">
        <f t="shared" si="22"/>
        <v>2.9113428854178326E-2</v>
      </c>
      <c r="AL51" s="82">
        <f t="shared" si="23"/>
        <v>2.9113428854178326E-2</v>
      </c>
      <c r="AM51" s="42" t="str">
        <f t="shared" si="40"/>
        <v>Timaru District</v>
      </c>
      <c r="AN51" s="206">
        <f t="shared" si="24"/>
        <v>0.51</v>
      </c>
      <c r="AO51" s="202">
        <f t="shared" si="25"/>
        <v>0.51</v>
      </c>
      <c r="AQ51" s="84"/>
      <c r="AR51" s="84"/>
      <c r="AS51" s="84"/>
      <c r="AT51" s="84">
        <f>MIN(AD29,AF29)</f>
        <v>10383446.189999999</v>
      </c>
      <c r="AU51" s="84">
        <f>AF29-AT51</f>
        <v>0</v>
      </c>
      <c r="AV51" s="84">
        <f>AD29-AT51</f>
        <v>1031659.8100000005</v>
      </c>
    </row>
    <row r="52" spans="2:48" x14ac:dyDescent="0.25">
      <c r="B52" s="85">
        <f t="shared" si="26"/>
        <v>45</v>
      </c>
      <c r="C52" s="86">
        <v>87</v>
      </c>
      <c r="D52" s="7" t="str">
        <f>INDEX(Parameter!$B$19:$C$97,MATCH(Calculation!$C52,Parameter!$B$19:$B$97,0),MATCH(Calculation!D$7,Parameter!$B$19:$C$19,0))</f>
        <v>Taranaki Regional</v>
      </c>
      <c r="E52" s="73">
        <f>INDEX(Parameter!$B$19:$H$97,MATCH(Calculation!$C52,Parameter!$B$19:$B$97,0),MATCH(Calculation!E$7,Parameter!$B$19:$H$19,0))</f>
        <v>54774</v>
      </c>
      <c r="F52" s="74">
        <f>INDEX(Parameter!$B$19:$H$97,MATCH(Calculation!$C52,Parameter!$B$19:$B$97,0),MATCH(Calculation!F$7,Parameter!$B$19:$H$19,0))</f>
        <v>1012.6067750815661</v>
      </c>
      <c r="G52" s="75">
        <f>INDEX(Parameter!$B$19:$H$97,MATCH(Calculation!$C52,Parameter!$B$19:$B$97,0),MATCH(Calculation!G$7,Parameter!$B$19:$H$19,0))</f>
        <v>9.3495459848618237E-8</v>
      </c>
      <c r="H52" s="76">
        <f t="shared" si="27"/>
        <v>0.14510571963778413</v>
      </c>
      <c r="I52" s="77">
        <f t="shared" si="28"/>
        <v>-4.8759124663737025E-2</v>
      </c>
      <c r="J52" s="78">
        <f t="shared" si="29"/>
        <v>-0.23921679036920823</v>
      </c>
      <c r="K52" s="76">
        <f t="shared" si="30"/>
        <v>6.5314085800902495</v>
      </c>
      <c r="L52" s="77">
        <f t="shared" si="31"/>
        <v>2.0186255935985415</v>
      </c>
      <c r="M52" s="77">
        <f t="shared" si="32"/>
        <v>0.60430681751329129</v>
      </c>
      <c r="N52" s="77">
        <f t="shared" si="33"/>
        <v>9.1543409912020834</v>
      </c>
      <c r="O52" s="78">
        <f t="shared" si="34"/>
        <v>-0.19447968236736202</v>
      </c>
      <c r="P52" s="61"/>
      <c r="T52" s="79">
        <f t="shared" si="14"/>
        <v>0.49</v>
      </c>
      <c r="U52" s="80">
        <f t="shared" si="15"/>
        <v>0.75</v>
      </c>
      <c r="V52" s="80">
        <f t="shared" si="16"/>
        <v>0.49</v>
      </c>
      <c r="W52" s="80">
        <f t="shared" si="17"/>
        <v>0.51</v>
      </c>
      <c r="X52" s="80">
        <f t="shared" si="18"/>
        <v>0.51</v>
      </c>
      <c r="Z52" s="81">
        <f t="shared" si="35"/>
        <v>0.51</v>
      </c>
      <c r="AA52" s="82">
        <f>INDEX('Table_Previous FAR'!$B$5:$K$83,MATCH(Calculation!D52,'Table_Previous FAR'!$B$5:$B$83,0),MATCH(Calculation!$AA$7,'Table_Previous FAR'!$B$5:$K$5,))</f>
        <v>0.51</v>
      </c>
      <c r="AB52" s="73">
        <f>INDEX(Parameter!$C$19:$L$97, MATCH(Calculation!$D52,Parameter!$C$19:$C$97,0),MATCH(Calculation!AB$7,Parameter!$C$19:$L$19,0))</f>
        <v>12508347</v>
      </c>
      <c r="AC52" s="73">
        <f>INDEX(Parameter!$C$19:$L$97, MATCH(Calculation!$D52,Parameter!$C$19:$C$97,0),MATCH(Calculation!AC$7,Parameter!$C$19:$L$19,0))</f>
        <v>6620569</v>
      </c>
      <c r="AD52" s="73">
        <f>INDEX(Parameter!$C$19:$L$97, MATCH(Calculation!$D52,Parameter!$C$19:$C$97,0),MATCH(Calculation!AD$7,Parameter!$C$19:$L$19,0))</f>
        <v>5887778</v>
      </c>
      <c r="AE52" s="73">
        <f t="shared" si="36"/>
        <v>6379256.9699999997</v>
      </c>
      <c r="AF52" s="32">
        <f t="shared" si="37"/>
        <v>6129090.0300000003</v>
      </c>
      <c r="AG52" s="185">
        <f t="shared" si="38"/>
        <v>-241312.03000000026</v>
      </c>
      <c r="AH52" s="186">
        <f t="shared" si="39"/>
        <v>241312.03000000026</v>
      </c>
      <c r="AI52" s="179">
        <f t="shared" si="20"/>
        <v>-3.6448835439975062E-2</v>
      </c>
      <c r="AJ52" s="83">
        <f t="shared" si="21"/>
        <v>4.0985246046980756E-2</v>
      </c>
      <c r="AK52" s="81">
        <f t="shared" si="22"/>
        <v>3.7610236388386071E-3</v>
      </c>
      <c r="AL52" s="82">
        <f t="shared" si="23"/>
        <v>3.7610236388386071E-3</v>
      </c>
      <c r="AM52" s="42" t="str">
        <f t="shared" si="40"/>
        <v>Taranaki Regional</v>
      </c>
      <c r="AN52" s="206">
        <f t="shared" si="24"/>
        <v>0.51</v>
      </c>
      <c r="AO52" s="202">
        <f t="shared" si="25"/>
        <v>0.51</v>
      </c>
      <c r="AQ52" s="84">
        <f>MIN(AC30,AE30)</f>
        <v>30965361</v>
      </c>
      <c r="AR52" s="84">
        <f>AE30-AQ52</f>
        <v>0</v>
      </c>
      <c r="AS52" s="84">
        <f>AC30-AQ52</f>
        <v>1804119</v>
      </c>
      <c r="AT52" s="84"/>
      <c r="AU52" s="84"/>
      <c r="AV52" s="84"/>
    </row>
    <row r="53" spans="2:48" x14ac:dyDescent="0.25">
      <c r="B53" s="85">
        <f t="shared" si="26"/>
        <v>46</v>
      </c>
      <c r="C53" s="86">
        <v>18</v>
      </c>
      <c r="D53" s="7" t="str">
        <f>INDEX(Parameter!$B$19:$C$97,MATCH(Calculation!$C53,Parameter!$B$19:$B$97,0),MATCH(Calculation!D$7,Parameter!$B$19:$C$19,0))</f>
        <v>Waikato District</v>
      </c>
      <c r="E53" s="73">
        <f>INDEX(Parameter!$B$19:$H$97,MATCH(Calculation!$C53,Parameter!$B$19:$B$97,0),MATCH(Calculation!E$7,Parameter!$B$19:$H$19,0))</f>
        <v>32708</v>
      </c>
      <c r="F53" s="74">
        <f>INDEX(Parameter!$B$19:$H$97,MATCH(Calculation!$C53,Parameter!$B$19:$B$97,0),MATCH(Calculation!F$7,Parameter!$B$19:$H$19,0))</f>
        <v>1003.3650749583564</v>
      </c>
      <c r="G53" s="75">
        <f>INDEX(Parameter!$B$19:$H$97,MATCH(Calculation!$C53,Parameter!$B$19:$B$97,0),MATCH(Calculation!G$7,Parameter!$B$19:$H$19,0))</f>
        <v>7.9008681876718921E-8</v>
      </c>
      <c r="H53" s="76">
        <f t="shared" si="27"/>
        <v>-0.13759132245874073</v>
      </c>
      <c r="I53" s="77">
        <f t="shared" si="28"/>
        <v>-0.22854178525436333</v>
      </c>
      <c r="J53" s="78">
        <f t="shared" si="29"/>
        <v>-0.34266223379626853</v>
      </c>
      <c r="K53" s="76">
        <f t="shared" si="30"/>
        <v>6.8141056221867746</v>
      </c>
      <c r="L53" s="77">
        <f t="shared" si="31"/>
        <v>1.8388429330079152</v>
      </c>
      <c r="M53" s="77">
        <f t="shared" si="32"/>
        <v>0.5008613740862311</v>
      </c>
      <c r="N53" s="77">
        <f t="shared" si="33"/>
        <v>9.1538099292809214</v>
      </c>
      <c r="O53" s="78">
        <f t="shared" si="34"/>
        <v>-0.19501074428852405</v>
      </c>
      <c r="P53" s="61"/>
      <c r="T53" s="79">
        <f t="shared" si="14"/>
        <v>0.49</v>
      </c>
      <c r="U53" s="80">
        <f t="shared" si="15"/>
        <v>0.75</v>
      </c>
      <c r="V53" s="80">
        <f t="shared" si="16"/>
        <v>0.49</v>
      </c>
      <c r="W53" s="80">
        <f t="shared" si="17"/>
        <v>0.51</v>
      </c>
      <c r="X53" s="80">
        <f t="shared" si="18"/>
        <v>0.51</v>
      </c>
      <c r="Z53" s="81">
        <f t="shared" si="35"/>
        <v>0.51</v>
      </c>
      <c r="AA53" s="82">
        <f>INDEX('Table_Previous FAR'!$B$5:$K$83,MATCH(Calculation!D53,'Table_Previous FAR'!$B$5:$B$83,0),MATCH(Calculation!$AA$7,'Table_Previous FAR'!$B$5:$K$5,))</f>
        <v>0.52</v>
      </c>
      <c r="AB53" s="73">
        <f>INDEX(Parameter!$C$19:$L$97, MATCH(Calculation!$D53,Parameter!$C$19:$C$97,0),MATCH(Calculation!AB$7,Parameter!$C$19:$L$19,0))</f>
        <v>133367852</v>
      </c>
      <c r="AC53" s="73">
        <f>INDEX(Parameter!$C$19:$L$97, MATCH(Calculation!$D53,Parameter!$C$19:$C$97,0),MATCH(Calculation!AC$7,Parameter!$C$19:$L$19,0))</f>
        <v>70786826</v>
      </c>
      <c r="AD53" s="73">
        <f>INDEX(Parameter!$C$19:$L$97, MATCH(Calculation!$D53,Parameter!$C$19:$C$97,0),MATCH(Calculation!AD$7,Parameter!$C$19:$L$19,0))</f>
        <v>62581026</v>
      </c>
      <c r="AE53" s="73">
        <f t="shared" si="36"/>
        <v>68017604.519999996</v>
      </c>
      <c r="AF53" s="32">
        <f t="shared" si="37"/>
        <v>65350247.480000004</v>
      </c>
      <c r="AG53" s="185">
        <f t="shared" si="38"/>
        <v>-2769221.4800000042</v>
      </c>
      <c r="AH53" s="186">
        <f t="shared" si="39"/>
        <v>2769221.4800000042</v>
      </c>
      <c r="AI53" s="179">
        <f t="shared" si="20"/>
        <v>-3.9120577040705345E-2</v>
      </c>
      <c r="AJ53" s="83">
        <f t="shared" si="21"/>
        <v>4.4250177042479362E-2</v>
      </c>
      <c r="AK53" s="81">
        <f t="shared" si="22"/>
        <v>4.3160332485121598E-2</v>
      </c>
      <c r="AL53" s="82">
        <f t="shared" si="23"/>
        <v>4.3160332485121598E-2</v>
      </c>
      <c r="AM53" s="42" t="str">
        <f t="shared" si="40"/>
        <v>Waikato District</v>
      </c>
      <c r="AN53" s="206">
        <f t="shared" si="24"/>
        <v>0.52</v>
      </c>
      <c r="AO53" s="202">
        <f t="shared" si="25"/>
        <v>0.51</v>
      </c>
      <c r="AQ53" s="84"/>
      <c r="AR53" s="84"/>
      <c r="AS53" s="84"/>
      <c r="AT53" s="84">
        <f>MIN(AD30,AF30)</f>
        <v>18839455</v>
      </c>
      <c r="AU53" s="84">
        <f>AF30-AT53</f>
        <v>1804119</v>
      </c>
      <c r="AV53" s="84">
        <f>AD30-AT53</f>
        <v>0</v>
      </c>
    </row>
    <row r="54" spans="2:48" x14ac:dyDescent="0.25">
      <c r="B54" s="85">
        <f t="shared" si="26"/>
        <v>47</v>
      </c>
      <c r="C54" s="86">
        <v>86</v>
      </c>
      <c r="D54" s="7" t="str">
        <f>INDEX(Parameter!$B$19:$C$97,MATCH(Calculation!$C54,Parameter!$B$19:$B$97,0),MATCH(Calculation!D$7,Parameter!$B$19:$C$19,0))</f>
        <v>Hawkes Bay Regional</v>
      </c>
      <c r="E54" s="73">
        <f>INDEX(Parameter!$B$19:$H$97,MATCH(Calculation!$C54,Parameter!$B$19:$B$97,0),MATCH(Calculation!E$7,Parameter!$B$19:$H$19,0))</f>
        <v>71072</v>
      </c>
      <c r="F54" s="74">
        <f>INDEX(Parameter!$B$19:$H$97,MATCH(Calculation!$C54,Parameter!$B$19:$B$97,0),MATCH(Calculation!F$7,Parameter!$B$19:$H$19,0))</f>
        <v>1028.7512624440917</v>
      </c>
      <c r="G54" s="75">
        <f>INDEX(Parameter!$B$19:$H$97,MATCH(Calculation!$C54,Parameter!$B$19:$B$97,0),MATCH(Calculation!G$7,Parameter!$B$19:$H$19,0))</f>
        <v>7.7827334866397E-8</v>
      </c>
      <c r="H54" s="76">
        <f t="shared" si="27"/>
        <v>0.35390642624927521</v>
      </c>
      <c r="I54" s="77">
        <f t="shared" si="28"/>
        <v>0.26530634524014574</v>
      </c>
      <c r="J54" s="78">
        <f t="shared" si="29"/>
        <v>-0.35109785457826914</v>
      </c>
      <c r="K54" s="76">
        <f t="shared" si="30"/>
        <v>6.3226078734787583</v>
      </c>
      <c r="L54" s="77">
        <f t="shared" si="31"/>
        <v>2.3326910635024243</v>
      </c>
      <c r="M54" s="77">
        <f t="shared" si="32"/>
        <v>0.49242575330423044</v>
      </c>
      <c r="N54" s="77">
        <f t="shared" si="33"/>
        <v>9.147724690285413</v>
      </c>
      <c r="O54" s="78">
        <f t="shared" si="34"/>
        <v>-0.20109598328403244</v>
      </c>
      <c r="P54" s="61"/>
      <c r="T54" s="79">
        <f t="shared" si="14"/>
        <v>0.49</v>
      </c>
      <c r="U54" s="80">
        <f t="shared" si="15"/>
        <v>0.75</v>
      </c>
      <c r="V54" s="80">
        <f t="shared" si="16"/>
        <v>0.49</v>
      </c>
      <c r="W54" s="80">
        <f t="shared" si="17"/>
        <v>0.51</v>
      </c>
      <c r="X54" s="80">
        <f t="shared" si="18"/>
        <v>0.51</v>
      </c>
      <c r="Z54" s="81">
        <f t="shared" si="35"/>
        <v>0.51</v>
      </c>
      <c r="AA54" s="82">
        <f>INDEX('Table_Previous FAR'!$B$5:$K$83,MATCH(Calculation!D54,'Table_Previous FAR'!$B$5:$B$83,0),MATCH(Calculation!$AA$7,'Table_Previous FAR'!$B$5:$K$5,))</f>
        <v>0.51</v>
      </c>
      <c r="AB54" s="73">
        <f>INDEX(Parameter!$C$19:$L$97, MATCH(Calculation!$D54,Parameter!$C$19:$C$97,0),MATCH(Calculation!AB$7,Parameter!$C$19:$L$19,0))</f>
        <v>16251083</v>
      </c>
      <c r="AC54" s="73">
        <f>INDEX(Parameter!$C$19:$L$97, MATCH(Calculation!$D54,Parameter!$C$19:$C$97,0),MATCH(Calculation!AC$7,Parameter!$C$19:$L$19,0))</f>
        <v>9165473</v>
      </c>
      <c r="AD54" s="73">
        <f>INDEX(Parameter!$C$19:$L$97, MATCH(Calculation!$D54,Parameter!$C$19:$C$97,0),MATCH(Calculation!AD$7,Parameter!$C$19:$L$19,0))</f>
        <v>7085610</v>
      </c>
      <c r="AE54" s="73">
        <f t="shared" si="36"/>
        <v>8288052.3300000001</v>
      </c>
      <c r="AF54" s="32">
        <f t="shared" si="37"/>
        <v>7963030.6699999999</v>
      </c>
      <c r="AG54" s="185">
        <f t="shared" si="38"/>
        <v>-877420.66999999993</v>
      </c>
      <c r="AH54" s="186">
        <f t="shared" si="39"/>
        <v>877420.66999999993</v>
      </c>
      <c r="AI54" s="179">
        <f t="shared" si="20"/>
        <v>-9.5731084473218125E-2</v>
      </c>
      <c r="AJ54" s="83">
        <f t="shared" si="21"/>
        <v>0.12383135255821304</v>
      </c>
      <c r="AK54" s="81">
        <f t="shared" si="22"/>
        <v>1.3675239817408213E-2</v>
      </c>
      <c r="AL54" s="82">
        <f t="shared" si="23"/>
        <v>1.3675239817408213E-2</v>
      </c>
      <c r="AM54" s="42" t="str">
        <f t="shared" si="40"/>
        <v>Hawkes Bay Regional</v>
      </c>
      <c r="AN54" s="206">
        <f t="shared" si="24"/>
        <v>0.51</v>
      </c>
      <c r="AO54" s="202">
        <f t="shared" si="25"/>
        <v>0.51</v>
      </c>
      <c r="AQ54" s="84">
        <f>MIN(AC31,AE31)</f>
        <v>13701736</v>
      </c>
      <c r="AR54" s="84">
        <f>AE31-AQ54</f>
        <v>301127</v>
      </c>
      <c r="AS54" s="84">
        <f>AC31-AQ54</f>
        <v>0</v>
      </c>
      <c r="AT54" s="84"/>
      <c r="AU54" s="84"/>
      <c r="AV54" s="84"/>
    </row>
    <row r="55" spans="2:48" x14ac:dyDescent="0.25">
      <c r="B55" s="85">
        <f t="shared" si="26"/>
        <v>48</v>
      </c>
      <c r="C55" s="86">
        <v>47</v>
      </c>
      <c r="D55" s="7" t="str">
        <f>INDEX(Parameter!$B$19:$C$97,MATCH(Calculation!$C55,Parameter!$B$19:$B$97,0),MATCH(Calculation!D$7,Parameter!$B$19:$C$19,0))</f>
        <v>South Wairarapa District</v>
      </c>
      <c r="E55" s="73">
        <f>INDEX(Parameter!$B$19:$H$97,MATCH(Calculation!$C55,Parameter!$B$19:$B$97,0),MATCH(Calculation!E$7,Parameter!$B$19:$H$19,0))</f>
        <v>6755</v>
      </c>
      <c r="F55" s="74">
        <f>INDEX(Parameter!$B$19:$H$97,MATCH(Calculation!$C55,Parameter!$B$19:$B$97,0),MATCH(Calculation!F$7,Parameter!$B$19:$H$19,0))</f>
        <v>964.29670641680866</v>
      </c>
      <c r="G55" s="75">
        <f>INDEX(Parameter!$B$19:$H$97,MATCH(Calculation!$C55,Parameter!$B$19:$B$97,0),MATCH(Calculation!G$7,Parameter!$B$19:$H$19,0))</f>
        <v>1.265517977049885E-7</v>
      </c>
      <c r="H55" s="76">
        <f t="shared" si="27"/>
        <v>-0.47008639784762452</v>
      </c>
      <c r="I55" s="77">
        <f t="shared" si="28"/>
        <v>-0.98855511047522426</v>
      </c>
      <c r="J55" s="78">
        <f t="shared" si="29"/>
        <v>-3.1720650162029278E-3</v>
      </c>
      <c r="K55" s="76">
        <f t="shared" si="30"/>
        <v>7.146600697575658</v>
      </c>
      <c r="L55" s="77">
        <f t="shared" si="31"/>
        <v>1.0788296077870543</v>
      </c>
      <c r="M55" s="77">
        <f t="shared" si="32"/>
        <v>0.84035154286629665</v>
      </c>
      <c r="N55" s="77">
        <f t="shared" si="33"/>
        <v>9.0657818482290082</v>
      </c>
      <c r="O55" s="78">
        <f t="shared" si="34"/>
        <v>-0.28303882534043723</v>
      </c>
      <c r="P55" s="61"/>
      <c r="T55" s="79">
        <f t="shared" si="14"/>
        <v>0.49</v>
      </c>
      <c r="U55" s="80">
        <f t="shared" si="15"/>
        <v>0.75</v>
      </c>
      <c r="V55" s="80">
        <f t="shared" si="16"/>
        <v>0.49</v>
      </c>
      <c r="W55" s="80">
        <f t="shared" si="17"/>
        <v>0.51</v>
      </c>
      <c r="X55" s="80">
        <f t="shared" si="18"/>
        <v>0.51</v>
      </c>
      <c r="Z55" s="81">
        <f t="shared" si="35"/>
        <v>0.51</v>
      </c>
      <c r="AA55" s="82">
        <f>INDEX('Table_Previous FAR'!$B$5:$K$83,MATCH(Calculation!D55,'Table_Previous FAR'!$B$5:$B$83,0),MATCH(Calculation!$AA$7,'Table_Previous FAR'!$B$5:$K$5,))</f>
        <v>0.52</v>
      </c>
      <c r="AB55" s="73">
        <f>INDEX(Parameter!$C$19:$L$97, MATCH(Calculation!$D55,Parameter!$C$19:$C$97,0),MATCH(Calculation!AB$7,Parameter!$C$19:$L$19,0))</f>
        <v>12955322</v>
      </c>
      <c r="AC55" s="73">
        <f>INDEX(Parameter!$C$19:$L$97, MATCH(Calculation!$D55,Parameter!$C$19:$C$97,0),MATCH(Calculation!AC$7,Parameter!$C$19:$L$19,0))</f>
        <v>6845542</v>
      </c>
      <c r="AD55" s="73">
        <f>INDEX(Parameter!$C$19:$L$97, MATCH(Calculation!$D55,Parameter!$C$19:$C$97,0),MATCH(Calculation!AD$7,Parameter!$C$19:$L$19,0))</f>
        <v>6109780</v>
      </c>
      <c r="AE55" s="73">
        <f t="shared" si="36"/>
        <v>6607214.2199999997</v>
      </c>
      <c r="AF55" s="32">
        <f t="shared" si="37"/>
        <v>6348107.7800000003</v>
      </c>
      <c r="AG55" s="185">
        <f t="shared" si="38"/>
        <v>-238327.78000000026</v>
      </c>
      <c r="AH55" s="186">
        <f t="shared" si="39"/>
        <v>238327.78000000026</v>
      </c>
      <c r="AI55" s="179">
        <f t="shared" si="20"/>
        <v>-3.4815034368352461E-2</v>
      </c>
      <c r="AJ55" s="83">
        <f t="shared" si="21"/>
        <v>3.9007587834586556E-2</v>
      </c>
      <c r="AK55" s="81">
        <f t="shared" si="22"/>
        <v>3.7145119303497926E-3</v>
      </c>
      <c r="AL55" s="82">
        <f t="shared" si="23"/>
        <v>3.7145119303497926E-3</v>
      </c>
      <c r="AM55" s="42" t="str">
        <f t="shared" si="40"/>
        <v>South Wairarapa District</v>
      </c>
      <c r="AN55" s="206">
        <f t="shared" si="24"/>
        <v>0.52</v>
      </c>
      <c r="AO55" s="202">
        <f t="shared" si="25"/>
        <v>0.51</v>
      </c>
      <c r="AQ55" s="84"/>
      <c r="AR55" s="84"/>
      <c r="AS55" s="84"/>
      <c r="AT55" s="84">
        <f>MIN(AD31,AF31)</f>
        <v>9335242</v>
      </c>
      <c r="AU55" s="84">
        <f>AF31-AT55</f>
        <v>0</v>
      </c>
      <c r="AV55" s="84">
        <f>AD31-AT55</f>
        <v>301127</v>
      </c>
    </row>
    <row r="56" spans="2:48" x14ac:dyDescent="0.25">
      <c r="B56" s="85">
        <f t="shared" si="26"/>
        <v>49</v>
      </c>
      <c r="C56" s="86">
        <v>30</v>
      </c>
      <c r="D56" s="7" t="str">
        <f>INDEX(Parameter!$B$19:$C$97,MATCH(Calculation!$C56,Parameter!$B$19:$B$97,0),MATCH(Calculation!D$7,Parameter!$B$19:$C$19,0))</f>
        <v>Napier City</v>
      </c>
      <c r="E56" s="73">
        <f>INDEX(Parameter!$B$19:$H$97,MATCH(Calculation!$C56,Parameter!$B$19:$B$97,0),MATCH(Calculation!E$7,Parameter!$B$19:$H$19,0))</f>
        <v>25615</v>
      </c>
      <c r="F56" s="74">
        <f>INDEX(Parameter!$B$19:$H$97,MATCH(Calculation!$C56,Parameter!$B$19:$B$97,0),MATCH(Calculation!F$7,Parameter!$B$19:$H$19,0))</f>
        <v>1015.2862444572971</v>
      </c>
      <c r="G56" s="75">
        <f>INDEX(Parameter!$B$19:$H$97,MATCH(Calculation!$C56,Parameter!$B$19:$B$97,0),MATCH(Calculation!G$7,Parameter!$B$19:$H$19,0))</f>
        <v>2.0782570602082752E-8</v>
      </c>
      <c r="H56" s="76">
        <f t="shared" si="27"/>
        <v>-0.22846280435807231</v>
      </c>
      <c r="I56" s="77">
        <f t="shared" si="28"/>
        <v>3.3657145885382608E-3</v>
      </c>
      <c r="J56" s="78">
        <f t="shared" si="29"/>
        <v>-0.75843625280322968</v>
      </c>
      <c r="K56" s="76">
        <f t="shared" si="30"/>
        <v>6.9049771040861057</v>
      </c>
      <c r="L56" s="77">
        <f t="shared" si="31"/>
        <v>2.0707504328508168</v>
      </c>
      <c r="M56" s="77">
        <f t="shared" si="32"/>
        <v>8.50873550792699E-2</v>
      </c>
      <c r="N56" s="77">
        <f t="shared" si="33"/>
        <v>9.0608148920161931</v>
      </c>
      <c r="O56" s="78">
        <f t="shared" si="34"/>
        <v>-0.2880057815532524</v>
      </c>
      <c r="P56" s="61"/>
      <c r="T56" s="79">
        <f t="shared" si="14"/>
        <v>0.49</v>
      </c>
      <c r="U56" s="80">
        <f t="shared" si="15"/>
        <v>0.75</v>
      </c>
      <c r="V56" s="80">
        <f t="shared" si="16"/>
        <v>0.49</v>
      </c>
      <c r="W56" s="80">
        <f t="shared" si="17"/>
        <v>0.51</v>
      </c>
      <c r="X56" s="80">
        <f t="shared" si="18"/>
        <v>0.51</v>
      </c>
      <c r="Z56" s="81">
        <f t="shared" si="35"/>
        <v>0.51</v>
      </c>
      <c r="AA56" s="82">
        <f>INDEX('Table_Previous FAR'!$B$5:$K$83,MATCH(Calculation!D56,'Table_Previous FAR'!$B$5:$B$83,0),MATCH(Calculation!$AA$7,'Table_Previous FAR'!$B$5:$K$5,))</f>
        <v>0.51</v>
      </c>
      <c r="AB56" s="73">
        <f>INDEX(Parameter!$C$19:$L$97, MATCH(Calculation!$D56,Parameter!$C$19:$C$97,0),MATCH(Calculation!AB$7,Parameter!$C$19:$L$19,0))</f>
        <v>36674622</v>
      </c>
      <c r="AC56" s="73">
        <f>INDEX(Parameter!$C$19:$L$97, MATCH(Calculation!$D56,Parameter!$C$19:$C$97,0),MATCH(Calculation!AC$7,Parameter!$C$19:$L$19,0))</f>
        <v>19190294</v>
      </c>
      <c r="AD56" s="73">
        <f>INDEX(Parameter!$C$19:$L$97, MATCH(Calculation!$D56,Parameter!$C$19:$C$97,0),MATCH(Calculation!AD$7,Parameter!$C$19:$L$19,0))</f>
        <v>17484328</v>
      </c>
      <c r="AE56" s="73">
        <f t="shared" si="36"/>
        <v>18704057.219999999</v>
      </c>
      <c r="AF56" s="32">
        <f t="shared" si="37"/>
        <v>17970564.780000001</v>
      </c>
      <c r="AG56" s="185">
        <f t="shared" si="38"/>
        <v>-486236.78000000119</v>
      </c>
      <c r="AH56" s="186">
        <f t="shared" si="39"/>
        <v>486236.78000000119</v>
      </c>
      <c r="AI56" s="179">
        <f t="shared" si="20"/>
        <v>-2.5337640997058264E-2</v>
      </c>
      <c r="AJ56" s="83">
        <f t="shared" si="21"/>
        <v>2.7809863782011023E-2</v>
      </c>
      <c r="AK56" s="81">
        <f t="shared" si="22"/>
        <v>7.5783541485800352E-3</v>
      </c>
      <c r="AL56" s="82">
        <f t="shared" si="23"/>
        <v>7.5783541485800352E-3</v>
      </c>
      <c r="AM56" s="42" t="str">
        <f t="shared" si="40"/>
        <v>Napier City</v>
      </c>
      <c r="AN56" s="206">
        <f t="shared" si="24"/>
        <v>0.51</v>
      </c>
      <c r="AO56" s="202">
        <f t="shared" si="25"/>
        <v>0.51</v>
      </c>
      <c r="AQ56" s="84">
        <f>MIN(AC32,AE32)</f>
        <v>15424561</v>
      </c>
      <c r="AR56" s="84">
        <f>AE32-AQ56</f>
        <v>1536204.1999999993</v>
      </c>
      <c r="AS56" s="84">
        <f>AC32-AQ56</f>
        <v>0</v>
      </c>
      <c r="AT56" s="84"/>
      <c r="AU56" s="84"/>
      <c r="AV56" s="84"/>
    </row>
    <row r="57" spans="2:48" x14ac:dyDescent="0.25">
      <c r="B57" s="85">
        <f t="shared" si="26"/>
        <v>50</v>
      </c>
      <c r="C57" s="86">
        <v>17</v>
      </c>
      <c r="D57" s="7" t="str">
        <f>INDEX(Parameter!$B$19:$C$97,MATCH(Calculation!$C57,Parameter!$B$19:$B$97,0),MATCH(Calculation!D$7,Parameter!$B$19:$C$19,0))</f>
        <v>Thames-Coromandel District</v>
      </c>
      <c r="E57" s="73">
        <f>INDEX(Parameter!$B$19:$H$97,MATCH(Calculation!$C57,Parameter!$B$19:$B$97,0),MATCH(Calculation!E$7,Parameter!$B$19:$H$19,0))</f>
        <v>27816</v>
      </c>
      <c r="F57" s="74">
        <f>INDEX(Parameter!$B$19:$H$97,MATCH(Calculation!$C57,Parameter!$B$19:$B$97,0),MATCH(Calculation!F$7,Parameter!$B$19:$H$19,0))</f>
        <v>1009.8807302638178</v>
      </c>
      <c r="G57" s="75">
        <f>INDEX(Parameter!$B$19:$H$97,MATCH(Calculation!$C57,Parameter!$B$19:$B$97,0),MATCH(Calculation!G$7,Parameter!$B$19:$H$19,0))</f>
        <v>3.1068287367644942E-8</v>
      </c>
      <c r="H57" s="76">
        <f t="shared" si="27"/>
        <v>-0.20026484416345386</v>
      </c>
      <c r="I57" s="77">
        <f t="shared" si="28"/>
        <v>-0.10179001548362515</v>
      </c>
      <c r="J57" s="78">
        <f t="shared" si="29"/>
        <v>-0.6849892424436701</v>
      </c>
      <c r="K57" s="76">
        <f t="shared" si="30"/>
        <v>6.8767791438914871</v>
      </c>
      <c r="L57" s="77">
        <f t="shared" si="31"/>
        <v>1.9655947027786536</v>
      </c>
      <c r="M57" s="77">
        <f t="shared" si="32"/>
        <v>0.15853436543882948</v>
      </c>
      <c r="N57" s="77">
        <f t="shared" si="33"/>
        <v>9.0009082121089694</v>
      </c>
      <c r="O57" s="78">
        <f t="shared" si="34"/>
        <v>-0.34791246146047605</v>
      </c>
      <c r="P57" s="61"/>
      <c r="T57" s="79">
        <f t="shared" si="14"/>
        <v>0.48</v>
      </c>
      <c r="U57" s="80">
        <f t="shared" si="15"/>
        <v>0.75</v>
      </c>
      <c r="V57" s="80">
        <f t="shared" si="16"/>
        <v>0.48</v>
      </c>
      <c r="W57" s="80">
        <f t="shared" si="17"/>
        <v>0.51</v>
      </c>
      <c r="X57" s="80">
        <f t="shared" si="18"/>
        <v>0.51</v>
      </c>
      <c r="Z57" s="81">
        <f t="shared" si="35"/>
        <v>0.51</v>
      </c>
      <c r="AA57" s="82">
        <f>INDEX('Table_Previous FAR'!$B$5:$K$83,MATCH(Calculation!D57,'Table_Previous FAR'!$B$5:$B$83,0),MATCH(Calculation!$AA$7,'Table_Previous FAR'!$B$5:$K$5,))</f>
        <v>0.51</v>
      </c>
      <c r="AB57" s="73">
        <f>INDEX(Parameter!$C$19:$L$97, MATCH(Calculation!$D57,Parameter!$C$19:$C$97,0),MATCH(Calculation!AB$7,Parameter!$C$19:$L$19,0))</f>
        <v>51145872</v>
      </c>
      <c r="AC57" s="73">
        <f>INDEX(Parameter!$C$19:$L$97, MATCH(Calculation!$D57,Parameter!$C$19:$C$97,0),MATCH(Calculation!AC$7,Parameter!$C$19:$L$19,0))</f>
        <v>25236473</v>
      </c>
      <c r="AD57" s="73">
        <f>INDEX(Parameter!$C$19:$L$97, MATCH(Calculation!$D57,Parameter!$C$19:$C$97,0),MATCH(Calculation!AD$7,Parameter!$C$19:$L$19,0))</f>
        <v>25909399</v>
      </c>
      <c r="AE57" s="73">
        <f t="shared" si="36"/>
        <v>26084394.719999999</v>
      </c>
      <c r="AF57" s="32">
        <f t="shared" si="37"/>
        <v>25061477.280000001</v>
      </c>
      <c r="AG57" s="185">
        <f t="shared" si="38"/>
        <v>847921.71999999881</v>
      </c>
      <c r="AH57" s="186">
        <f t="shared" si="39"/>
        <v>-847921.71999999881</v>
      </c>
      <c r="AI57" s="179">
        <f t="shared" si="20"/>
        <v>3.3599057998318499E-2</v>
      </c>
      <c r="AJ57" s="83">
        <f t="shared" si="21"/>
        <v>-3.2726414070816494E-2</v>
      </c>
      <c r="AK57" s="81">
        <f t="shared" si="22"/>
        <v>-1.3215477209340465E-2</v>
      </c>
      <c r="AL57" s="82">
        <f t="shared" si="23"/>
        <v>-1.3215477209340465E-2</v>
      </c>
      <c r="AM57" s="42" t="str">
        <f t="shared" si="40"/>
        <v>Thames-Coromandel District</v>
      </c>
      <c r="AN57" s="206">
        <f t="shared" si="24"/>
        <v>0.51</v>
      </c>
      <c r="AO57" s="202">
        <f t="shared" si="25"/>
        <v>0.51</v>
      </c>
      <c r="AQ57" s="84"/>
      <c r="AR57" s="84"/>
      <c r="AS57" s="84"/>
      <c r="AT57" s="84">
        <f>MIN(AD32,AF32)</f>
        <v>11307176.800000001</v>
      </c>
      <c r="AU57" s="84">
        <f>AF32-AT57</f>
        <v>0</v>
      </c>
      <c r="AV57" s="84">
        <f>AD32-AT57</f>
        <v>1536204.1999999993</v>
      </c>
    </row>
    <row r="58" spans="2:48" x14ac:dyDescent="0.25">
      <c r="B58" s="85">
        <f t="shared" si="26"/>
        <v>51</v>
      </c>
      <c r="C58" s="86">
        <v>16</v>
      </c>
      <c r="D58" s="7" t="str">
        <f>INDEX(Parameter!$B$19:$C$97,MATCH(Calculation!$C58,Parameter!$B$19:$B$97,0),MATCH(Calculation!D$7,Parameter!$B$19:$C$19,0))</f>
        <v>Taupo District</v>
      </c>
      <c r="E58" s="73">
        <f>INDEX(Parameter!$B$19:$H$97,MATCH(Calculation!$C58,Parameter!$B$19:$B$97,0),MATCH(Calculation!E$7,Parameter!$B$19:$H$19,0))</f>
        <v>23129</v>
      </c>
      <c r="F58" s="74">
        <f>INDEX(Parameter!$B$19:$H$97,MATCH(Calculation!$C58,Parameter!$B$19:$B$97,0),MATCH(Calculation!F$7,Parameter!$B$19:$H$19,0))</f>
        <v>1001.660696999032</v>
      </c>
      <c r="G58" s="75">
        <f>INDEX(Parameter!$B$19:$H$97,MATCH(Calculation!$C58,Parameter!$B$19:$B$97,0),MATCH(Calculation!G$7,Parameter!$B$19:$H$19,0))</f>
        <v>4.1125569117030948E-8</v>
      </c>
      <c r="H58" s="76">
        <f t="shared" si="27"/>
        <v>-0.26031202246067181</v>
      </c>
      <c r="I58" s="77">
        <f t="shared" si="28"/>
        <v>-0.26169776306085329</v>
      </c>
      <c r="J58" s="78">
        <f t="shared" si="29"/>
        <v>-0.61317341339913101</v>
      </c>
      <c r="K58" s="76">
        <f t="shared" si="30"/>
        <v>6.936826322188705</v>
      </c>
      <c r="L58" s="77">
        <f t="shared" si="31"/>
        <v>1.8056869552014254</v>
      </c>
      <c r="M58" s="77">
        <f t="shared" si="32"/>
        <v>0.23035019448336858</v>
      </c>
      <c r="N58" s="77">
        <f t="shared" si="33"/>
        <v>8.9728634718734988</v>
      </c>
      <c r="O58" s="78">
        <f t="shared" si="34"/>
        <v>-0.37595720169594671</v>
      </c>
      <c r="P58" s="61"/>
      <c r="T58" s="79">
        <f t="shared" si="14"/>
        <v>0.48</v>
      </c>
      <c r="U58" s="80">
        <f t="shared" si="15"/>
        <v>0.75</v>
      </c>
      <c r="V58" s="80">
        <f t="shared" si="16"/>
        <v>0.48</v>
      </c>
      <c r="W58" s="80">
        <f t="shared" si="17"/>
        <v>0.51</v>
      </c>
      <c r="X58" s="80">
        <f t="shared" si="18"/>
        <v>0.51</v>
      </c>
      <c r="Z58" s="81">
        <f t="shared" si="35"/>
        <v>0.51</v>
      </c>
      <c r="AA58" s="82">
        <f>INDEX('Table_Previous FAR'!$B$5:$K$83,MATCH(Calculation!D58,'Table_Previous FAR'!$B$5:$B$83,0),MATCH(Calculation!$AA$7,'Table_Previous FAR'!$B$5:$K$5,))</f>
        <v>0.51</v>
      </c>
      <c r="AB58" s="73">
        <f>INDEX(Parameter!$C$19:$L$97, MATCH(Calculation!$D58,Parameter!$C$19:$C$97,0),MATCH(Calculation!AB$7,Parameter!$C$19:$L$19,0))</f>
        <v>23340318</v>
      </c>
      <c r="AC58" s="73">
        <f>INDEX(Parameter!$C$19:$L$97, MATCH(Calculation!$D58,Parameter!$C$19:$C$97,0),MATCH(Calculation!AC$7,Parameter!$C$19:$L$19,0))</f>
        <v>12384609</v>
      </c>
      <c r="AD58" s="73">
        <f>INDEX(Parameter!$C$19:$L$97, MATCH(Calculation!$D58,Parameter!$C$19:$C$97,0),MATCH(Calculation!AD$7,Parameter!$C$19:$L$19,0))</f>
        <v>10955709</v>
      </c>
      <c r="AE58" s="73">
        <f t="shared" si="36"/>
        <v>11903562.18</v>
      </c>
      <c r="AF58" s="32">
        <f t="shared" si="37"/>
        <v>11436755.82</v>
      </c>
      <c r="AG58" s="185">
        <f t="shared" si="38"/>
        <v>-481046.8200000003</v>
      </c>
      <c r="AH58" s="186">
        <f t="shared" si="39"/>
        <v>481046.8200000003</v>
      </c>
      <c r="AI58" s="179">
        <f t="shared" si="20"/>
        <v>-3.8842309837960998E-2</v>
      </c>
      <c r="AJ58" s="83">
        <f t="shared" si="21"/>
        <v>4.390832396150722E-2</v>
      </c>
      <c r="AK58" s="81">
        <f t="shared" si="22"/>
        <v>7.4974648442025027E-3</v>
      </c>
      <c r="AL58" s="82">
        <f t="shared" si="23"/>
        <v>7.4974648442025027E-3</v>
      </c>
      <c r="AM58" s="42" t="str">
        <f t="shared" si="40"/>
        <v>Taupo District</v>
      </c>
      <c r="AN58" s="206">
        <f t="shared" si="24"/>
        <v>0.51</v>
      </c>
      <c r="AO58" s="202">
        <f t="shared" si="25"/>
        <v>0.51</v>
      </c>
      <c r="AQ58" s="84">
        <f>MIN(AC33,AE33)</f>
        <v>8849455</v>
      </c>
      <c r="AR58" s="84">
        <f>AE33-AQ58</f>
        <v>465018.95999999903</v>
      </c>
      <c r="AS58" s="84">
        <f>AC33-AQ58</f>
        <v>0</v>
      </c>
      <c r="AT58" s="84"/>
      <c r="AU58" s="84"/>
      <c r="AV58" s="84"/>
    </row>
    <row r="59" spans="2:48" x14ac:dyDescent="0.25">
      <c r="B59" s="85">
        <f t="shared" si="26"/>
        <v>52</v>
      </c>
      <c r="C59" s="86">
        <v>88</v>
      </c>
      <c r="D59" s="7" t="str">
        <f>INDEX(Parameter!$B$19:$C$97,MATCH(Calculation!$C59,Parameter!$B$19:$B$97,0),MATCH(Calculation!D$7,Parameter!$B$19:$C$19,0))</f>
        <v>Manawatu-Wanganui Regional</v>
      </c>
      <c r="E59" s="73">
        <f>INDEX(Parameter!$B$19:$H$97,MATCH(Calculation!$C59,Parameter!$B$19:$B$97,0),MATCH(Calculation!E$7,Parameter!$B$19:$H$19,0))</f>
        <v>112215</v>
      </c>
      <c r="F59" s="74">
        <f>INDEX(Parameter!$B$19:$H$97,MATCH(Calculation!$C59,Parameter!$B$19:$B$97,0),MATCH(Calculation!F$7,Parameter!$B$19:$H$19,0))</f>
        <v>1031.7979881805609</v>
      </c>
      <c r="G59" s="75">
        <f>INDEX(Parameter!$B$19:$H$97,MATCH(Calculation!$C59,Parameter!$B$19:$B$97,0),MATCH(Calculation!G$7,Parameter!$B$19:$H$19,0))</f>
        <v>1.1660331677702796E-7</v>
      </c>
      <c r="H59" s="76">
        <f t="shared" si="27"/>
        <v>0.88100714241792022</v>
      </c>
      <c r="I59" s="77">
        <f t="shared" si="28"/>
        <v>0.32457557619222416</v>
      </c>
      <c r="J59" s="78">
        <f t="shared" si="29"/>
        <v>-7.4210982228489347E-2</v>
      </c>
      <c r="K59" s="76">
        <f t="shared" si="30"/>
        <v>5.7955071573101131</v>
      </c>
      <c r="L59" s="77">
        <f t="shared" si="31"/>
        <v>2.3919602944545026</v>
      </c>
      <c r="M59" s="77">
        <f t="shared" si="32"/>
        <v>0.76931262565401026</v>
      </c>
      <c r="N59" s="77">
        <f t="shared" si="33"/>
        <v>8.9567800774186246</v>
      </c>
      <c r="O59" s="78">
        <f t="shared" si="34"/>
        <v>-0.39204059615082087</v>
      </c>
      <c r="P59" s="61"/>
      <c r="T59" s="79">
        <f t="shared" si="14"/>
        <v>0.48</v>
      </c>
      <c r="U59" s="80">
        <f t="shared" si="15"/>
        <v>0.75</v>
      </c>
      <c r="V59" s="80">
        <f t="shared" si="16"/>
        <v>0.48</v>
      </c>
      <c r="W59" s="80">
        <f t="shared" si="17"/>
        <v>0.51</v>
      </c>
      <c r="X59" s="80">
        <f t="shared" si="18"/>
        <v>0.51</v>
      </c>
      <c r="Z59" s="81">
        <f t="shared" si="35"/>
        <v>0.51</v>
      </c>
      <c r="AA59" s="82">
        <f>INDEX('Table_Previous FAR'!$B$5:$K$83,MATCH(Calculation!D59,'Table_Previous FAR'!$B$5:$B$83,0),MATCH(Calculation!$AA$7,'Table_Previous FAR'!$B$5:$K$5,))</f>
        <v>0.51</v>
      </c>
      <c r="AB59" s="73">
        <f>INDEX(Parameter!$C$19:$L$97, MATCH(Calculation!$D59,Parameter!$C$19:$C$97,0),MATCH(Calculation!AB$7,Parameter!$C$19:$L$19,0))</f>
        <v>27512460</v>
      </c>
      <c r="AC59" s="73">
        <f>INDEX(Parameter!$C$19:$L$97, MATCH(Calculation!$D59,Parameter!$C$19:$C$97,0),MATCH(Calculation!AC$7,Parameter!$C$19:$L$19,0))</f>
        <v>15029128</v>
      </c>
      <c r="AD59" s="73">
        <f>INDEX(Parameter!$C$19:$L$97, MATCH(Calculation!$D59,Parameter!$C$19:$C$97,0),MATCH(Calculation!AD$7,Parameter!$C$19:$L$19,0))</f>
        <v>12483332</v>
      </c>
      <c r="AE59" s="73">
        <f t="shared" si="36"/>
        <v>14031354.6</v>
      </c>
      <c r="AF59" s="32">
        <f t="shared" si="37"/>
        <v>13481105.4</v>
      </c>
      <c r="AG59" s="185">
        <f t="shared" si="38"/>
        <v>-997773.40000000037</v>
      </c>
      <c r="AH59" s="186">
        <f t="shared" si="39"/>
        <v>997773.40000000037</v>
      </c>
      <c r="AI59" s="179">
        <f t="shared" si="20"/>
        <v>-6.6389307483441518E-2</v>
      </c>
      <c r="AJ59" s="83">
        <f t="shared" si="21"/>
        <v>7.9928451794761241E-2</v>
      </c>
      <c r="AK59" s="81">
        <f t="shared" si="22"/>
        <v>1.555102471934104E-2</v>
      </c>
      <c r="AL59" s="82">
        <f t="shared" si="23"/>
        <v>1.555102471934104E-2</v>
      </c>
      <c r="AM59" s="42" t="str">
        <f t="shared" si="40"/>
        <v>Manawatu-Wanganui Regional</v>
      </c>
      <c r="AN59" s="206">
        <f t="shared" si="24"/>
        <v>0.51</v>
      </c>
      <c r="AO59" s="202">
        <f t="shared" si="25"/>
        <v>0.51</v>
      </c>
      <c r="AQ59" s="84"/>
      <c r="AR59" s="84"/>
      <c r="AS59" s="84"/>
      <c r="AT59" s="84">
        <f>MIN(AD33,AF33)</f>
        <v>6472770.040000001</v>
      </c>
      <c r="AU59" s="84">
        <f>AF33-AT59</f>
        <v>0</v>
      </c>
      <c r="AV59" s="84">
        <f>AD33-AT59</f>
        <v>465018.95999999903</v>
      </c>
    </row>
    <row r="60" spans="2:48" x14ac:dyDescent="0.25">
      <c r="B60" s="85">
        <f t="shared" si="26"/>
        <v>53</v>
      </c>
      <c r="C60" s="86">
        <v>58</v>
      </c>
      <c r="D60" s="7" t="str">
        <f>INDEX(Parameter!$B$19:$C$97,MATCH(Calculation!$C60,Parameter!$B$19:$B$97,0),MATCH(Calculation!D$7,Parameter!$B$19:$C$19,0))</f>
        <v>Mackenzie District</v>
      </c>
      <c r="E60" s="73">
        <f>INDEX(Parameter!$B$19:$H$97,MATCH(Calculation!$C60,Parameter!$B$19:$B$97,0),MATCH(Calculation!E$7,Parameter!$B$19:$H$19,0))</f>
        <v>4698</v>
      </c>
      <c r="F60" s="74">
        <f>INDEX(Parameter!$B$19:$H$97,MATCH(Calculation!$C60,Parameter!$B$19:$B$97,0),MATCH(Calculation!F$7,Parameter!$B$19:$H$19,0))</f>
        <v>942.80593325092707</v>
      </c>
      <c r="G60" s="75">
        <f>INDEX(Parameter!$B$19:$H$97,MATCH(Calculation!$C60,Parameter!$B$19:$B$97,0),MATCH(Calculation!G$7,Parameter!$B$19:$H$19,0))</f>
        <v>1.5900394581647531E-7</v>
      </c>
      <c r="H60" s="76">
        <f t="shared" si="27"/>
        <v>-0.49643951194136837</v>
      </c>
      <c r="I60" s="77">
        <f t="shared" si="28"/>
        <v>-1.4066241157882839</v>
      </c>
      <c r="J60" s="78">
        <f t="shared" si="29"/>
        <v>0.22855833480528756</v>
      </c>
      <c r="K60" s="76">
        <f t="shared" si="30"/>
        <v>7.1729538116694016</v>
      </c>
      <c r="L60" s="77">
        <f t="shared" si="31"/>
        <v>0.66076060247399471</v>
      </c>
      <c r="M60" s="77">
        <f t="shared" si="32"/>
        <v>1.0720819426877872</v>
      </c>
      <c r="N60" s="77">
        <f t="shared" si="33"/>
        <v>8.9057963568311838</v>
      </c>
      <c r="O60" s="78">
        <f t="shared" si="34"/>
        <v>-0.4430243167382617</v>
      </c>
      <c r="P60" s="61"/>
      <c r="T60" s="79">
        <f t="shared" si="14"/>
        <v>0.48</v>
      </c>
      <c r="U60" s="80">
        <f t="shared" si="15"/>
        <v>0.75</v>
      </c>
      <c r="V60" s="80">
        <f t="shared" si="16"/>
        <v>0.48</v>
      </c>
      <c r="W60" s="80">
        <f t="shared" si="17"/>
        <v>0.51</v>
      </c>
      <c r="X60" s="80">
        <f t="shared" si="18"/>
        <v>0.51</v>
      </c>
      <c r="Z60" s="81">
        <f t="shared" si="35"/>
        <v>0.51</v>
      </c>
      <c r="AA60" s="82">
        <f>INDEX('Table_Previous FAR'!$B$5:$K$83,MATCH(Calculation!D60,'Table_Previous FAR'!$B$5:$B$83,0),MATCH(Calculation!$AA$7,'Table_Previous FAR'!$B$5:$K$5,))</f>
        <v>0.51</v>
      </c>
      <c r="AB60" s="73">
        <f>INDEX(Parameter!$C$19:$L$97, MATCH(Calculation!$D60,Parameter!$C$19:$C$97,0),MATCH(Calculation!AB$7,Parameter!$C$19:$L$19,0))</f>
        <v>13101359</v>
      </c>
      <c r="AC60" s="73">
        <f>INDEX(Parameter!$C$19:$L$97, MATCH(Calculation!$D60,Parameter!$C$19:$C$97,0),MATCH(Calculation!AC$7,Parameter!$C$19:$L$19,0))</f>
        <v>6878092</v>
      </c>
      <c r="AD60" s="73">
        <f>INDEX(Parameter!$C$19:$L$97, MATCH(Calculation!$D60,Parameter!$C$19:$C$97,0),MATCH(Calculation!AD$7,Parameter!$C$19:$L$19,0))</f>
        <v>6223267</v>
      </c>
      <c r="AE60" s="73">
        <f t="shared" si="36"/>
        <v>6681693.0899999999</v>
      </c>
      <c r="AF60" s="32">
        <f t="shared" si="37"/>
        <v>6419665.9100000001</v>
      </c>
      <c r="AG60" s="185">
        <f t="shared" si="38"/>
        <v>-196398.91000000015</v>
      </c>
      <c r="AH60" s="186">
        <f t="shared" si="39"/>
        <v>196398.91000000015</v>
      </c>
      <c r="AI60" s="179">
        <f t="shared" si="20"/>
        <v>-2.8554272027765861E-2</v>
      </c>
      <c r="AJ60" s="83">
        <f t="shared" si="21"/>
        <v>3.1558811473137847E-2</v>
      </c>
      <c r="AK60" s="81">
        <f t="shared" si="22"/>
        <v>3.0610199713298003E-3</v>
      </c>
      <c r="AL60" s="82">
        <f t="shared" si="23"/>
        <v>3.0610199713298003E-3</v>
      </c>
      <c r="AM60" s="42" t="str">
        <f t="shared" si="40"/>
        <v>Mackenzie District</v>
      </c>
      <c r="AN60" s="206">
        <f t="shared" si="24"/>
        <v>0.51</v>
      </c>
      <c r="AO60" s="202">
        <f t="shared" si="25"/>
        <v>0.51</v>
      </c>
      <c r="AQ60" s="84">
        <f>MIN(AC34,AE34)</f>
        <v>25370520.969999999</v>
      </c>
      <c r="AR60" s="84">
        <f>AE34-AQ60</f>
        <v>0</v>
      </c>
      <c r="AS60" s="84">
        <f>AC34-AQ60</f>
        <v>430008.03000000119</v>
      </c>
      <c r="AT60" s="84"/>
      <c r="AU60" s="84"/>
      <c r="AV60" s="84"/>
    </row>
    <row r="61" spans="2:48" x14ac:dyDescent="0.25">
      <c r="B61" s="85">
        <f t="shared" si="26"/>
        <v>54</v>
      </c>
      <c r="C61" s="86">
        <v>11</v>
      </c>
      <c r="D61" s="7" t="str">
        <f>INDEX(Parameter!$B$19:$C$97,MATCH(Calculation!$C61,Parameter!$B$19:$B$97,0),MATCH(Calculation!D$7,Parameter!$B$19:$C$19,0))</f>
        <v>Hamilton City</v>
      </c>
      <c r="E61" s="73">
        <f>INDEX(Parameter!$B$19:$H$97,MATCH(Calculation!$C61,Parameter!$B$19:$B$97,0),MATCH(Calculation!E$7,Parameter!$B$19:$H$19,0))</f>
        <v>60184</v>
      </c>
      <c r="F61" s="74">
        <f>INDEX(Parameter!$B$19:$H$97,MATCH(Calculation!$C61,Parameter!$B$19:$B$97,0),MATCH(Calculation!F$7,Parameter!$B$19:$H$19,0))</f>
        <v>1031.3918606386153</v>
      </c>
      <c r="G61" s="75">
        <f>INDEX(Parameter!$B$19:$H$97,MATCH(Calculation!$C61,Parameter!$B$19:$B$97,0),MATCH(Calculation!G$7,Parameter!$B$19:$H$19,0))</f>
        <v>1.4929591264993249E-8</v>
      </c>
      <c r="H61" s="76">
        <f t="shared" si="27"/>
        <v>0.21441556273314347</v>
      </c>
      <c r="I61" s="77">
        <f t="shared" si="28"/>
        <v>0.31667500713494234</v>
      </c>
      <c r="J61" s="78">
        <f t="shared" si="29"/>
        <v>-0.80023050436621301</v>
      </c>
      <c r="K61" s="76">
        <f t="shared" si="30"/>
        <v>6.4620987369948901</v>
      </c>
      <c r="L61" s="77">
        <f t="shared" si="31"/>
        <v>2.3840597253972211</v>
      </c>
      <c r="M61" s="77">
        <f t="shared" si="32"/>
        <v>4.3293103516286568E-2</v>
      </c>
      <c r="N61" s="77">
        <f t="shared" si="33"/>
        <v>8.8894515659083986</v>
      </c>
      <c r="O61" s="78">
        <f t="shared" si="34"/>
        <v>-0.45936910766104688</v>
      </c>
      <c r="P61" s="61"/>
      <c r="T61" s="79">
        <f t="shared" si="14"/>
        <v>0.47</v>
      </c>
      <c r="U61" s="80">
        <f t="shared" si="15"/>
        <v>0.75</v>
      </c>
      <c r="V61" s="80">
        <f t="shared" si="16"/>
        <v>0.47</v>
      </c>
      <c r="W61" s="80">
        <f t="shared" si="17"/>
        <v>0.51</v>
      </c>
      <c r="X61" s="80">
        <f t="shared" si="18"/>
        <v>0.51</v>
      </c>
      <c r="Z61" s="81">
        <f t="shared" si="35"/>
        <v>0.51</v>
      </c>
      <c r="AA61" s="82">
        <f>INDEX('Table_Previous FAR'!$B$5:$K$83,MATCH(Calculation!D61,'Table_Previous FAR'!$B$5:$B$83,0),MATCH(Calculation!$AA$7,'Table_Previous FAR'!$B$5:$K$5,))</f>
        <v>0.51</v>
      </c>
      <c r="AB61" s="73">
        <f>INDEX(Parameter!$C$19:$L$97, MATCH(Calculation!$D61,Parameter!$C$19:$C$97,0),MATCH(Calculation!AB$7,Parameter!$C$19:$L$19,0))</f>
        <v>122991041</v>
      </c>
      <c r="AC61" s="73">
        <f>INDEX(Parameter!$C$19:$L$97, MATCH(Calculation!$D61,Parameter!$C$19:$C$97,0),MATCH(Calculation!AC$7,Parameter!$C$19:$L$19,0))</f>
        <v>66230114</v>
      </c>
      <c r="AD61" s="73">
        <f>INDEX(Parameter!$C$19:$L$97, MATCH(Calculation!$D61,Parameter!$C$19:$C$97,0),MATCH(Calculation!AD$7,Parameter!$C$19:$L$19,0))</f>
        <v>56760927</v>
      </c>
      <c r="AE61" s="73">
        <f t="shared" si="36"/>
        <v>62725430.910000004</v>
      </c>
      <c r="AF61" s="32">
        <f t="shared" si="37"/>
        <v>60265610.089999996</v>
      </c>
      <c r="AG61" s="185">
        <f t="shared" si="38"/>
        <v>-3504683.0899999961</v>
      </c>
      <c r="AH61" s="186">
        <f t="shared" si="39"/>
        <v>3504683.0899999961</v>
      </c>
      <c r="AI61" s="179">
        <f t="shared" si="20"/>
        <v>-5.2916760644561113E-2</v>
      </c>
      <c r="AJ61" s="83">
        <f t="shared" si="21"/>
        <v>6.1744641520741834E-2</v>
      </c>
      <c r="AK61" s="81">
        <f t="shared" si="22"/>
        <v>5.4623037020275801E-2</v>
      </c>
      <c r="AL61" s="82">
        <f t="shared" si="23"/>
        <v>5.4623037020275801E-2</v>
      </c>
      <c r="AM61" s="42" t="str">
        <f t="shared" si="40"/>
        <v>Hamilton City</v>
      </c>
      <c r="AN61" s="206">
        <f t="shared" si="24"/>
        <v>0.51</v>
      </c>
      <c r="AO61" s="202">
        <f t="shared" si="25"/>
        <v>0.51</v>
      </c>
      <c r="AQ61" s="84"/>
      <c r="AR61" s="84"/>
      <c r="AS61" s="84"/>
      <c r="AT61" s="84">
        <f>MIN(AD34,AF34)</f>
        <v>17200354</v>
      </c>
      <c r="AU61" s="84">
        <f>AF34-AT61</f>
        <v>430008.03000000119</v>
      </c>
      <c r="AV61" s="84">
        <f>AD34-AT61</f>
        <v>0</v>
      </c>
    </row>
    <row r="62" spans="2:48" x14ac:dyDescent="0.25">
      <c r="B62" s="85">
        <f t="shared" si="26"/>
        <v>55</v>
      </c>
      <c r="C62" s="86">
        <v>37</v>
      </c>
      <c r="D62" s="7" t="str">
        <f>INDEX(Parameter!$B$19:$C$97,MATCH(Calculation!$C62,Parameter!$B$19:$B$97,0),MATCH(Calculation!D$7,Parameter!$B$19:$C$19,0))</f>
        <v>Palmerston North City</v>
      </c>
      <c r="E62" s="73">
        <f>INDEX(Parameter!$B$19:$H$97,MATCH(Calculation!$C62,Parameter!$B$19:$B$97,0),MATCH(Calculation!E$7,Parameter!$B$19:$H$19,0))</f>
        <v>32847</v>
      </c>
      <c r="F62" s="74">
        <f>INDEX(Parameter!$B$19:$H$97,MATCH(Calculation!$C62,Parameter!$B$19:$B$97,0),MATCH(Calculation!F$7,Parameter!$B$19:$H$19,0))</f>
        <v>1007.694255319149</v>
      </c>
      <c r="G62" s="75">
        <f>INDEX(Parameter!$B$19:$H$97,MATCH(Calculation!$C62,Parameter!$B$19:$B$97,0),MATCH(Calculation!G$7,Parameter!$B$19:$H$19,0))</f>
        <v>2.7454941259545292E-8</v>
      </c>
      <c r="H62" s="76">
        <f t="shared" si="27"/>
        <v>-0.13581053351414649</v>
      </c>
      <c r="I62" s="77">
        <f t="shared" si="28"/>
        <v>-0.14432442772668144</v>
      </c>
      <c r="J62" s="78">
        <f t="shared" si="29"/>
        <v>-0.71079099015685088</v>
      </c>
      <c r="K62" s="76">
        <f t="shared" si="30"/>
        <v>6.8123248332421804</v>
      </c>
      <c r="L62" s="77">
        <f t="shared" si="31"/>
        <v>1.9230602905355971</v>
      </c>
      <c r="M62" s="77">
        <f t="shared" si="32"/>
        <v>0.1327326177256487</v>
      </c>
      <c r="N62" s="77">
        <f t="shared" si="33"/>
        <v>8.8681177415034274</v>
      </c>
      <c r="O62" s="78">
        <f t="shared" si="34"/>
        <v>-0.48070293206601811</v>
      </c>
      <c r="P62" s="61"/>
      <c r="T62" s="79">
        <f t="shared" si="14"/>
        <v>0.47</v>
      </c>
      <c r="U62" s="80">
        <f t="shared" si="15"/>
        <v>0.75</v>
      </c>
      <c r="V62" s="80">
        <f t="shared" si="16"/>
        <v>0.47</v>
      </c>
      <c r="W62" s="80">
        <f t="shared" si="17"/>
        <v>0.51</v>
      </c>
      <c r="X62" s="80">
        <f t="shared" si="18"/>
        <v>0.51</v>
      </c>
      <c r="Z62" s="81">
        <f t="shared" si="35"/>
        <v>0.51</v>
      </c>
      <c r="AA62" s="82">
        <f>INDEX('Table_Previous FAR'!$B$5:$K$83,MATCH(Calculation!D62,'Table_Previous FAR'!$B$5:$B$83,0),MATCH(Calculation!$AA$7,'Table_Previous FAR'!$B$5:$K$5,))</f>
        <v>0.51</v>
      </c>
      <c r="AB62" s="73">
        <f>INDEX(Parameter!$C$19:$L$97, MATCH(Calculation!$D62,Parameter!$C$19:$C$97,0),MATCH(Calculation!AB$7,Parameter!$C$19:$L$19,0))</f>
        <v>60399071</v>
      </c>
      <c r="AC62" s="73">
        <f>INDEX(Parameter!$C$19:$L$97, MATCH(Calculation!$D62,Parameter!$C$19:$C$97,0),MATCH(Calculation!AC$7,Parameter!$C$19:$L$19,0))</f>
        <v>32855496</v>
      </c>
      <c r="AD62" s="73">
        <f>INDEX(Parameter!$C$19:$L$97, MATCH(Calculation!$D62,Parameter!$C$19:$C$97,0),MATCH(Calculation!AD$7,Parameter!$C$19:$L$19,0))</f>
        <v>27543575</v>
      </c>
      <c r="AE62" s="73">
        <f t="shared" si="36"/>
        <v>30803526.210000001</v>
      </c>
      <c r="AF62" s="32">
        <f t="shared" si="37"/>
        <v>29595544.789999999</v>
      </c>
      <c r="AG62" s="185">
        <f t="shared" si="38"/>
        <v>-2051969.7899999991</v>
      </c>
      <c r="AH62" s="186">
        <f t="shared" si="39"/>
        <v>2051969.7899999991</v>
      </c>
      <c r="AI62" s="179">
        <f t="shared" si="20"/>
        <v>-6.2454384800643373E-2</v>
      </c>
      <c r="AJ62" s="83">
        <f t="shared" si="21"/>
        <v>7.4499036163606175E-2</v>
      </c>
      <c r="AK62" s="81">
        <f t="shared" si="22"/>
        <v>3.1981442808187724E-2</v>
      </c>
      <c r="AL62" s="82">
        <f t="shared" si="23"/>
        <v>3.1981442808187724E-2</v>
      </c>
      <c r="AM62" s="42" t="str">
        <f t="shared" si="40"/>
        <v>Palmerston North City</v>
      </c>
      <c r="AN62" s="206">
        <f t="shared" si="24"/>
        <v>0.51</v>
      </c>
      <c r="AO62" s="202">
        <f t="shared" si="25"/>
        <v>0.51</v>
      </c>
      <c r="AQ62" s="84">
        <f>MIN(AC35,AE35)</f>
        <v>24715766.579999998</v>
      </c>
      <c r="AR62" s="84">
        <f>AE35-AQ62</f>
        <v>0</v>
      </c>
      <c r="AS62" s="84">
        <f>AC35-AQ62</f>
        <v>94606.420000001788</v>
      </c>
      <c r="AT62" s="84"/>
      <c r="AU62" s="84"/>
      <c r="AV62" s="84"/>
    </row>
    <row r="63" spans="2:48" x14ac:dyDescent="0.25">
      <c r="B63" s="85">
        <f t="shared" si="26"/>
        <v>56</v>
      </c>
      <c r="C63" s="86">
        <v>32</v>
      </c>
      <c r="D63" s="7" t="str">
        <f>INDEX(Parameter!$B$19:$C$97,MATCH(Calculation!$C63,Parameter!$B$19:$B$97,0),MATCH(Calculation!D$7,Parameter!$B$19:$C$19,0))</f>
        <v>New Plymouth District</v>
      </c>
      <c r="E63" s="73">
        <f>INDEX(Parameter!$B$19:$H$97,MATCH(Calculation!$C63,Parameter!$B$19:$B$97,0),MATCH(Calculation!E$7,Parameter!$B$19:$H$19,0))</f>
        <v>35855</v>
      </c>
      <c r="F63" s="74">
        <f>INDEX(Parameter!$B$19:$H$97,MATCH(Calculation!$C63,Parameter!$B$19:$B$97,0),MATCH(Calculation!F$7,Parameter!$B$19:$H$19,0))</f>
        <v>997.78893351182512</v>
      </c>
      <c r="G63" s="75">
        <f>INDEX(Parameter!$B$19:$H$97,MATCH(Calculation!$C63,Parameter!$B$19:$B$97,0),MATCH(Calculation!G$7,Parameter!$B$19:$H$19,0))</f>
        <v>5.5569652281807738E-8</v>
      </c>
      <c r="H63" s="76">
        <f t="shared" si="27"/>
        <v>-9.7273748295876428E-2</v>
      </c>
      <c r="I63" s="77">
        <f t="shared" si="28"/>
        <v>-0.3370167986958188</v>
      </c>
      <c r="J63" s="78">
        <f t="shared" si="29"/>
        <v>-0.51003283992061199</v>
      </c>
      <c r="K63" s="76">
        <f t="shared" si="30"/>
        <v>6.7737880480239099</v>
      </c>
      <c r="L63" s="77">
        <f t="shared" si="31"/>
        <v>1.7303679195664599</v>
      </c>
      <c r="M63" s="77">
        <f t="shared" si="32"/>
        <v>0.33349076796188759</v>
      </c>
      <c r="N63" s="77">
        <f t="shared" si="33"/>
        <v>8.8376467355522568</v>
      </c>
      <c r="O63" s="78">
        <f t="shared" si="34"/>
        <v>-0.51117393801718869</v>
      </c>
      <c r="P63" s="61"/>
      <c r="T63" s="79">
        <f t="shared" si="14"/>
        <v>0.47</v>
      </c>
      <c r="U63" s="80">
        <f t="shared" si="15"/>
        <v>0.75</v>
      </c>
      <c r="V63" s="80">
        <f t="shared" si="16"/>
        <v>0.47</v>
      </c>
      <c r="W63" s="80">
        <f t="shared" si="17"/>
        <v>0.51</v>
      </c>
      <c r="X63" s="80">
        <f t="shared" si="18"/>
        <v>0.51</v>
      </c>
      <c r="Z63" s="81">
        <f t="shared" si="35"/>
        <v>0.51</v>
      </c>
      <c r="AA63" s="82">
        <f>INDEX('Table_Previous FAR'!$B$5:$K$83,MATCH(Calculation!D63,'Table_Previous FAR'!$B$5:$B$83,0),MATCH(Calculation!$AA$7,'Table_Previous FAR'!$B$5:$K$5,))</f>
        <v>0.51</v>
      </c>
      <c r="AB63" s="73">
        <f>INDEX(Parameter!$C$19:$L$97, MATCH(Calculation!$D63,Parameter!$C$19:$C$97,0),MATCH(Calculation!AB$7,Parameter!$C$19:$L$19,0))</f>
        <v>58523349</v>
      </c>
      <c r="AC63" s="73">
        <f>INDEX(Parameter!$C$19:$L$97, MATCH(Calculation!$D63,Parameter!$C$19:$C$97,0),MATCH(Calculation!AC$7,Parameter!$C$19:$L$19,0))</f>
        <v>31516904</v>
      </c>
      <c r="AD63" s="73">
        <f>INDEX(Parameter!$C$19:$L$97, MATCH(Calculation!$D63,Parameter!$C$19:$C$97,0),MATCH(Calculation!AD$7,Parameter!$C$19:$L$19,0))</f>
        <v>27006445</v>
      </c>
      <c r="AE63" s="73">
        <f t="shared" si="36"/>
        <v>29846907.990000002</v>
      </c>
      <c r="AF63" s="32">
        <f t="shared" si="37"/>
        <v>28676441.009999998</v>
      </c>
      <c r="AG63" s="185">
        <f t="shared" si="38"/>
        <v>-1669996.0099999979</v>
      </c>
      <c r="AH63" s="186">
        <f t="shared" si="39"/>
        <v>1669996.0099999979</v>
      </c>
      <c r="AI63" s="179">
        <f t="shared" si="20"/>
        <v>-5.2987311507500801E-2</v>
      </c>
      <c r="AJ63" s="83">
        <f t="shared" si="21"/>
        <v>6.1836943366666661E-2</v>
      </c>
      <c r="AK63" s="81">
        <f t="shared" si="22"/>
        <v>2.6028103407758581E-2</v>
      </c>
      <c r="AL63" s="82">
        <f t="shared" si="23"/>
        <v>2.6028103407758581E-2</v>
      </c>
      <c r="AM63" s="42" t="str">
        <f t="shared" si="40"/>
        <v>New Plymouth District</v>
      </c>
      <c r="AN63" s="206">
        <f t="shared" si="24"/>
        <v>0.51</v>
      </c>
      <c r="AO63" s="202">
        <f t="shared" si="25"/>
        <v>0.51</v>
      </c>
      <c r="AQ63" s="84"/>
      <c r="AR63" s="84"/>
      <c r="AS63" s="84"/>
      <c r="AT63" s="84">
        <f>MIN(AD35,AF35)</f>
        <v>18550621</v>
      </c>
      <c r="AU63" s="84">
        <f>AF35-AT63</f>
        <v>94606.420000001788</v>
      </c>
      <c r="AV63" s="84">
        <f>AD35-AT63</f>
        <v>0</v>
      </c>
    </row>
    <row r="64" spans="2:48" x14ac:dyDescent="0.25">
      <c r="B64" s="85">
        <f t="shared" si="26"/>
        <v>57</v>
      </c>
      <c r="C64" s="86">
        <v>44</v>
      </c>
      <c r="D64" s="7" t="str">
        <f>INDEX(Parameter!$B$19:$C$97,MATCH(Calculation!$C64,Parameter!$B$19:$B$97,0),MATCH(Calculation!D$7,Parameter!$B$19:$C$19,0))</f>
        <v>Lower Hutt City</v>
      </c>
      <c r="E64" s="73">
        <f>INDEX(Parameter!$B$19:$H$97,MATCH(Calculation!$C64,Parameter!$B$19:$B$97,0),MATCH(Calculation!E$7,Parameter!$B$19:$H$19,0))</f>
        <v>39670</v>
      </c>
      <c r="F64" s="74">
        <f>INDEX(Parameter!$B$19:$H$97,MATCH(Calculation!$C64,Parameter!$B$19:$B$97,0),MATCH(Calculation!F$7,Parameter!$B$19:$H$19,0))</f>
        <v>1005.4127845230919</v>
      </c>
      <c r="G64" s="75">
        <f>INDEX(Parameter!$B$19:$H$97,MATCH(Calculation!$C64,Parameter!$B$19:$B$97,0),MATCH(Calculation!G$7,Parameter!$B$19:$H$19,0))</f>
        <v>2.3387076160340558E-8</v>
      </c>
      <c r="H64" s="76">
        <f t="shared" si="27"/>
        <v>-4.839813805395482E-2</v>
      </c>
      <c r="I64" s="77">
        <f t="shared" si="28"/>
        <v>-0.18870683402710409</v>
      </c>
      <c r="J64" s="78">
        <f t="shared" si="29"/>
        <v>-0.73983831246723242</v>
      </c>
      <c r="K64" s="76">
        <f t="shared" si="30"/>
        <v>6.7249124377819882</v>
      </c>
      <c r="L64" s="77">
        <f t="shared" si="31"/>
        <v>1.8786778842351746</v>
      </c>
      <c r="M64" s="77">
        <f t="shared" si="32"/>
        <v>0.10368529541526716</v>
      </c>
      <c r="N64" s="77">
        <f t="shared" si="33"/>
        <v>8.7072756174324297</v>
      </c>
      <c r="O64" s="78">
        <f t="shared" si="34"/>
        <v>-0.64154505613701573</v>
      </c>
      <c r="P64" s="61"/>
      <c r="T64" s="79">
        <f t="shared" si="14"/>
        <v>0.46</v>
      </c>
      <c r="U64" s="80">
        <f t="shared" si="15"/>
        <v>0.75</v>
      </c>
      <c r="V64" s="80">
        <f t="shared" si="16"/>
        <v>0.46</v>
      </c>
      <c r="W64" s="80">
        <f t="shared" si="17"/>
        <v>0.51</v>
      </c>
      <c r="X64" s="80">
        <f t="shared" si="18"/>
        <v>0.51</v>
      </c>
      <c r="Z64" s="81">
        <f t="shared" si="35"/>
        <v>0.51</v>
      </c>
      <c r="AA64" s="82">
        <f>INDEX('Table_Previous FAR'!$B$5:$K$83,MATCH(Calculation!D64,'Table_Previous FAR'!$B$5:$B$83,0),MATCH(Calculation!$AA$7,'Table_Previous FAR'!$B$5:$K$5,))</f>
        <v>0.51</v>
      </c>
      <c r="AB64" s="73">
        <f>INDEX(Parameter!$C$19:$L$97, MATCH(Calculation!$D64,Parameter!$C$19:$C$97,0),MATCH(Calculation!AB$7,Parameter!$C$19:$L$19,0))</f>
        <v>71692584</v>
      </c>
      <c r="AC64" s="73">
        <f>INDEX(Parameter!$C$19:$L$97, MATCH(Calculation!$D64,Parameter!$C$19:$C$97,0),MATCH(Calculation!AC$7,Parameter!$C$19:$L$19,0))</f>
        <v>36617658</v>
      </c>
      <c r="AD64" s="73">
        <f>INDEX(Parameter!$C$19:$L$97, MATCH(Calculation!$D64,Parameter!$C$19:$C$97,0),MATCH(Calculation!AD$7,Parameter!$C$19:$L$19,0))</f>
        <v>35074926</v>
      </c>
      <c r="AE64" s="73">
        <f t="shared" si="36"/>
        <v>36563217.840000004</v>
      </c>
      <c r="AF64" s="32">
        <f t="shared" si="37"/>
        <v>35129366.159999996</v>
      </c>
      <c r="AG64" s="185">
        <f t="shared" si="38"/>
        <v>-54440.159999996424</v>
      </c>
      <c r="AH64" s="186">
        <f t="shared" si="39"/>
        <v>54440.159999996424</v>
      </c>
      <c r="AI64" s="179">
        <f t="shared" si="20"/>
        <v>-1.486718784691157E-3</v>
      </c>
      <c r="AJ64" s="83">
        <f t="shared" si="21"/>
        <v>1.5521104734475112E-3</v>
      </c>
      <c r="AK64" s="81">
        <f t="shared" si="22"/>
        <v>8.4848952065150803E-4</v>
      </c>
      <c r="AL64" s="82">
        <f t="shared" si="23"/>
        <v>8.4848952065150803E-4</v>
      </c>
      <c r="AM64" s="42" t="str">
        <f t="shared" si="40"/>
        <v>Lower Hutt City</v>
      </c>
      <c r="AN64" s="206">
        <f t="shared" si="24"/>
        <v>0.51</v>
      </c>
      <c r="AO64" s="202">
        <f t="shared" si="25"/>
        <v>0.51</v>
      </c>
      <c r="AQ64" s="84">
        <f>MIN(AC36,AE36)</f>
        <v>17065144.32</v>
      </c>
      <c r="AR64" s="84">
        <f>AE36-AQ64</f>
        <v>0</v>
      </c>
      <c r="AS64" s="84">
        <f>AC36-AQ64</f>
        <v>535829.6799999997</v>
      </c>
      <c r="AT64" s="84"/>
      <c r="AU64" s="84"/>
      <c r="AV64" s="84"/>
    </row>
    <row r="65" spans="2:48" x14ac:dyDescent="0.25">
      <c r="B65" s="85">
        <f t="shared" si="26"/>
        <v>58</v>
      </c>
      <c r="C65" s="86">
        <v>66</v>
      </c>
      <c r="D65" s="7" t="str">
        <f>INDEX(Parameter!$B$19:$C$97,MATCH(Calculation!$C65,Parameter!$B$19:$B$97,0),MATCH(Calculation!D$7,Parameter!$B$19:$C$19,0))</f>
        <v>Central Otago District</v>
      </c>
      <c r="E65" s="73">
        <f>INDEX(Parameter!$B$19:$H$97,MATCH(Calculation!$C65,Parameter!$B$19:$B$97,0),MATCH(Calculation!E$7,Parameter!$B$19:$H$19,0))</f>
        <v>13825</v>
      </c>
      <c r="F65" s="74">
        <f>INDEX(Parameter!$B$19:$H$97,MATCH(Calculation!$C65,Parameter!$B$19:$B$97,0),MATCH(Calculation!F$7,Parameter!$B$19:$H$19,0))</f>
        <v>936.80957683741644</v>
      </c>
      <c r="G65" s="75">
        <f>INDEX(Parameter!$B$19:$H$97,MATCH(Calculation!$C65,Parameter!$B$19:$B$97,0),MATCH(Calculation!G$7,Parameter!$B$19:$H$19,0))</f>
        <v>1.5858559004173422E-7</v>
      </c>
      <c r="H65" s="76">
        <f t="shared" si="27"/>
        <v>-0.37950957886718262</v>
      </c>
      <c r="I65" s="77">
        <f t="shared" si="28"/>
        <v>-1.523273746862464</v>
      </c>
      <c r="J65" s="78">
        <f t="shared" si="29"/>
        <v>0.22557099015816803</v>
      </c>
      <c r="K65" s="76">
        <f t="shared" si="30"/>
        <v>7.0560238785952158</v>
      </c>
      <c r="L65" s="77">
        <f t="shared" si="31"/>
        <v>0.54411097139981468</v>
      </c>
      <c r="M65" s="77">
        <f t="shared" si="32"/>
        <v>1.0690945980406676</v>
      </c>
      <c r="N65" s="77">
        <f t="shared" si="33"/>
        <v>8.6692294480356988</v>
      </c>
      <c r="O65" s="78">
        <f t="shared" si="34"/>
        <v>-0.67959122553374662</v>
      </c>
      <c r="P65" s="61"/>
      <c r="T65" s="79">
        <f t="shared" si="14"/>
        <v>0.46</v>
      </c>
      <c r="U65" s="80">
        <f t="shared" si="15"/>
        <v>0.75</v>
      </c>
      <c r="V65" s="80">
        <f t="shared" si="16"/>
        <v>0.46</v>
      </c>
      <c r="W65" s="80">
        <f t="shared" si="17"/>
        <v>0.51</v>
      </c>
      <c r="X65" s="80">
        <f t="shared" si="18"/>
        <v>0.51</v>
      </c>
      <c r="Z65" s="81">
        <f t="shared" si="35"/>
        <v>0.51</v>
      </c>
      <c r="AA65" s="82">
        <f>INDEX('Table_Previous FAR'!$B$5:$K$83,MATCH(Calculation!D65,'Table_Previous FAR'!$B$5:$B$83,0),MATCH(Calculation!$AA$7,'Table_Previous FAR'!$B$5:$K$5,))</f>
        <v>0.51</v>
      </c>
      <c r="AB65" s="73">
        <f>INDEX(Parameter!$C$19:$L$97, MATCH(Calculation!$D65,Parameter!$C$19:$C$97,0),MATCH(Calculation!AB$7,Parameter!$C$19:$L$19,0))</f>
        <v>31036988</v>
      </c>
      <c r="AC65" s="73">
        <f>INDEX(Parameter!$C$19:$L$97, MATCH(Calculation!$D65,Parameter!$C$19:$C$97,0),MATCH(Calculation!AC$7,Parameter!$C$19:$L$19,0))</f>
        <v>16199025</v>
      </c>
      <c r="AD65" s="73">
        <f>INDEX(Parameter!$C$19:$L$97, MATCH(Calculation!$D65,Parameter!$C$19:$C$97,0),MATCH(Calculation!AD$7,Parameter!$C$19:$L$19,0))</f>
        <v>14837963</v>
      </c>
      <c r="AE65" s="73">
        <f t="shared" si="36"/>
        <v>15828863.880000001</v>
      </c>
      <c r="AF65" s="32">
        <f t="shared" si="37"/>
        <v>15208124.119999999</v>
      </c>
      <c r="AG65" s="185">
        <f t="shared" si="38"/>
        <v>-370161.11999999918</v>
      </c>
      <c r="AH65" s="186">
        <f t="shared" si="39"/>
        <v>370161.11999999918</v>
      </c>
      <c r="AI65" s="179">
        <f t="shared" si="20"/>
        <v>-2.2850827133114444E-2</v>
      </c>
      <c r="AJ65" s="83">
        <f t="shared" si="21"/>
        <v>2.4946896012612997E-2</v>
      </c>
      <c r="AK65" s="81">
        <f t="shared" si="22"/>
        <v>5.7692304958810786E-3</v>
      </c>
      <c r="AL65" s="82">
        <f t="shared" si="23"/>
        <v>5.7692304958810786E-3</v>
      </c>
      <c r="AM65" s="42" t="str">
        <f t="shared" si="40"/>
        <v>Central Otago District</v>
      </c>
      <c r="AN65" s="206">
        <f t="shared" si="24"/>
        <v>0.51</v>
      </c>
      <c r="AO65" s="202">
        <f t="shared" si="25"/>
        <v>0.51</v>
      </c>
      <c r="AQ65" s="84"/>
      <c r="AR65" s="84"/>
      <c r="AS65" s="84"/>
      <c r="AT65" s="84">
        <f>MIN(AD36,AF36)</f>
        <v>12872498</v>
      </c>
      <c r="AU65" s="84">
        <f>AF36-AT65</f>
        <v>535829.6799999997</v>
      </c>
      <c r="AV65" s="84">
        <f>AD36-AT65</f>
        <v>0</v>
      </c>
    </row>
    <row r="66" spans="2:48" x14ac:dyDescent="0.25">
      <c r="B66" s="85">
        <f t="shared" si="26"/>
        <v>59</v>
      </c>
      <c r="C66" s="86">
        <v>53</v>
      </c>
      <c r="D66" s="7" t="str">
        <f>INDEX(Parameter!$B$19:$C$97,MATCH(Calculation!$C66,Parameter!$B$19:$B$97,0),MATCH(Calculation!D$7,Parameter!$B$19:$C$19,0))</f>
        <v>Tasman District</v>
      </c>
      <c r="E66" s="73">
        <f>INDEX(Parameter!$B$19:$H$97,MATCH(Calculation!$C66,Parameter!$B$19:$B$97,0),MATCH(Calculation!E$7,Parameter!$B$19:$H$19,0))</f>
        <v>24102</v>
      </c>
      <c r="F66" s="74">
        <f>INDEX(Parameter!$B$19:$H$97,MATCH(Calculation!$C66,Parameter!$B$19:$B$97,0),MATCH(Calculation!F$7,Parameter!$B$19:$H$19,0))</f>
        <v>968.71469509399356</v>
      </c>
      <c r="G66" s="75">
        <f>INDEX(Parameter!$B$19:$H$97,MATCH(Calculation!$C66,Parameter!$B$19:$B$97,0),MATCH(Calculation!G$7,Parameter!$B$19:$H$19,0))</f>
        <v>8.8279934341141162E-8</v>
      </c>
      <c r="H66" s="76">
        <f t="shared" si="27"/>
        <v>-0.24784649984851201</v>
      </c>
      <c r="I66" s="77">
        <f t="shared" si="28"/>
        <v>-0.90261012759823056</v>
      </c>
      <c r="J66" s="78">
        <f t="shared" si="29"/>
        <v>-0.27645918822141846</v>
      </c>
      <c r="K66" s="76">
        <f t="shared" si="30"/>
        <v>6.9243607995765455</v>
      </c>
      <c r="L66" s="77">
        <f t="shared" si="31"/>
        <v>1.1647745906640481</v>
      </c>
      <c r="M66" s="77">
        <f t="shared" si="32"/>
        <v>0.56706441966108112</v>
      </c>
      <c r="N66" s="77">
        <f t="shared" si="33"/>
        <v>8.6561998099016755</v>
      </c>
      <c r="O66" s="78">
        <f t="shared" si="34"/>
        <v>-0.69262086366776998</v>
      </c>
      <c r="P66" s="61"/>
      <c r="T66" s="79">
        <f t="shared" si="14"/>
        <v>0.46</v>
      </c>
      <c r="U66" s="80">
        <f t="shared" si="15"/>
        <v>0.75</v>
      </c>
      <c r="V66" s="80">
        <f t="shared" si="16"/>
        <v>0.46</v>
      </c>
      <c r="W66" s="80">
        <f t="shared" si="17"/>
        <v>0.51</v>
      </c>
      <c r="X66" s="80">
        <f t="shared" si="18"/>
        <v>0.51</v>
      </c>
      <c r="Z66" s="81">
        <f t="shared" si="35"/>
        <v>0.51</v>
      </c>
      <c r="AA66" s="82">
        <f>INDEX('Table_Previous FAR'!$B$5:$K$83,MATCH(Calculation!D66,'Table_Previous FAR'!$B$5:$B$83,0),MATCH(Calculation!$AA$7,'Table_Previous FAR'!$B$5:$K$5,))</f>
        <v>0.51</v>
      </c>
      <c r="AB66" s="73">
        <f>INDEX(Parameter!$C$19:$L$97, MATCH(Calculation!$D66,Parameter!$C$19:$C$97,0),MATCH(Calculation!AB$7,Parameter!$C$19:$L$19,0))</f>
        <v>50488309</v>
      </c>
      <c r="AC66" s="73">
        <f>INDEX(Parameter!$C$19:$L$97, MATCH(Calculation!$D66,Parameter!$C$19:$C$97,0),MATCH(Calculation!AC$7,Parameter!$C$19:$L$19,0))</f>
        <v>26494448</v>
      </c>
      <c r="AD66" s="73">
        <f>INDEX(Parameter!$C$19:$L$97, MATCH(Calculation!$D66,Parameter!$C$19:$C$97,0),MATCH(Calculation!AD$7,Parameter!$C$19:$L$19,0))</f>
        <v>23993861</v>
      </c>
      <c r="AE66" s="73">
        <f t="shared" si="36"/>
        <v>25749037.59</v>
      </c>
      <c r="AF66" s="32">
        <f t="shared" si="37"/>
        <v>24739271.41</v>
      </c>
      <c r="AG66" s="185">
        <f t="shared" si="38"/>
        <v>-745410.41000000015</v>
      </c>
      <c r="AH66" s="186">
        <f t="shared" si="39"/>
        <v>745410.41000000015</v>
      </c>
      <c r="AI66" s="179">
        <f t="shared" si="20"/>
        <v>-2.8134589178834758E-2</v>
      </c>
      <c r="AJ66" s="83">
        <f t="shared" si="21"/>
        <v>3.106671368980591E-2</v>
      </c>
      <c r="AK66" s="81">
        <f t="shared" si="22"/>
        <v>1.1617763824896652E-2</v>
      </c>
      <c r="AL66" s="82">
        <f t="shared" si="23"/>
        <v>1.1617763824896652E-2</v>
      </c>
      <c r="AM66" s="42" t="str">
        <f t="shared" si="40"/>
        <v>Tasman District</v>
      </c>
      <c r="AN66" s="206">
        <f t="shared" si="24"/>
        <v>0.51</v>
      </c>
      <c r="AO66" s="202">
        <f t="shared" si="25"/>
        <v>0.51</v>
      </c>
      <c r="AQ66" s="84">
        <f>MIN(AC37,AE37)</f>
        <v>25074218</v>
      </c>
      <c r="AR66" s="84">
        <f>AE37-AQ66</f>
        <v>1450194.320000004</v>
      </c>
      <c r="AS66" s="84">
        <f>AC37-AQ66</f>
        <v>0</v>
      </c>
      <c r="AT66" s="84"/>
      <c r="AU66" s="84"/>
      <c r="AV66" s="84"/>
    </row>
    <row r="67" spans="2:48" x14ac:dyDescent="0.25">
      <c r="B67" s="85">
        <f t="shared" si="26"/>
        <v>60</v>
      </c>
      <c r="C67" s="86">
        <v>51</v>
      </c>
      <c r="D67" s="7" t="str">
        <f>INDEX(Parameter!$B$19:$C$97,MATCH(Calculation!$C67,Parameter!$B$19:$B$97,0),MATCH(Calculation!D$7,Parameter!$B$19:$C$19,0))</f>
        <v>Marlborough District</v>
      </c>
      <c r="E67" s="73">
        <f>INDEX(Parameter!$B$19:$H$97,MATCH(Calculation!$C67,Parameter!$B$19:$B$97,0),MATCH(Calculation!E$7,Parameter!$B$19:$H$19,0))</f>
        <v>26478</v>
      </c>
      <c r="F67" s="74">
        <f>INDEX(Parameter!$B$19:$H$97,MATCH(Calculation!$C67,Parameter!$B$19:$B$97,0),MATCH(Calculation!F$7,Parameter!$B$19:$H$19,0))</f>
        <v>972.93587631478897</v>
      </c>
      <c r="G67" s="75">
        <f>INDEX(Parameter!$B$19:$H$97,MATCH(Calculation!$C67,Parameter!$B$19:$B$97,0),MATCH(Calculation!G$7,Parameter!$B$19:$H$19,0))</f>
        <v>7.3559095215861745E-8</v>
      </c>
      <c r="H67" s="76">
        <f t="shared" si="27"/>
        <v>-0.21740653918408062</v>
      </c>
      <c r="I67" s="77">
        <f t="shared" si="28"/>
        <v>-0.82049372254372144</v>
      </c>
      <c r="J67" s="78">
        <f t="shared" si="29"/>
        <v>-0.38157598740801479</v>
      </c>
      <c r="K67" s="76">
        <f t="shared" si="30"/>
        <v>6.8939208389121145</v>
      </c>
      <c r="L67" s="77">
        <f t="shared" si="31"/>
        <v>1.2468909957185572</v>
      </c>
      <c r="M67" s="77">
        <f t="shared" si="32"/>
        <v>0.46194762047448479</v>
      </c>
      <c r="N67" s="77">
        <f t="shared" si="33"/>
        <v>8.6027594551051561</v>
      </c>
      <c r="O67" s="78">
        <f t="shared" si="34"/>
        <v>-0.74606121846428941</v>
      </c>
      <c r="P67" s="61"/>
      <c r="T67" s="79">
        <f t="shared" si="14"/>
        <v>0.45</v>
      </c>
      <c r="U67" s="80">
        <f t="shared" si="15"/>
        <v>0.75</v>
      </c>
      <c r="V67" s="80">
        <f t="shared" si="16"/>
        <v>0.45</v>
      </c>
      <c r="W67" s="80">
        <f t="shared" si="17"/>
        <v>0.51</v>
      </c>
      <c r="X67" s="80">
        <f t="shared" si="18"/>
        <v>0.51</v>
      </c>
      <c r="Z67" s="81">
        <f t="shared" si="35"/>
        <v>0.51</v>
      </c>
      <c r="AA67" s="82">
        <f>INDEX('Table_Previous FAR'!$B$5:$K$83,MATCH(Calculation!D67,'Table_Previous FAR'!$B$5:$B$83,0),MATCH(Calculation!$AA$7,'Table_Previous FAR'!$B$5:$K$5,))</f>
        <v>0.51</v>
      </c>
      <c r="AB67" s="73">
        <f>INDEX(Parameter!$C$19:$L$97, MATCH(Calculation!$D67,Parameter!$C$19:$C$97,0),MATCH(Calculation!AB$7,Parameter!$C$19:$L$19,0))</f>
        <v>56972673</v>
      </c>
      <c r="AC67" s="73">
        <f>INDEX(Parameter!$C$19:$L$97, MATCH(Calculation!$D67,Parameter!$C$19:$C$97,0),MATCH(Calculation!AC$7,Parameter!$C$19:$L$19,0))</f>
        <v>30009717</v>
      </c>
      <c r="AD67" s="73">
        <f>INDEX(Parameter!$C$19:$L$97, MATCH(Calculation!$D67,Parameter!$C$19:$C$97,0),MATCH(Calculation!AD$7,Parameter!$C$19:$L$19,0))</f>
        <v>26962956</v>
      </c>
      <c r="AE67" s="73">
        <f t="shared" si="36"/>
        <v>29056063.23</v>
      </c>
      <c r="AF67" s="32">
        <f t="shared" si="37"/>
        <v>27916609.77</v>
      </c>
      <c r="AG67" s="185">
        <f t="shared" si="38"/>
        <v>-953653.76999999955</v>
      </c>
      <c r="AH67" s="186">
        <f t="shared" si="39"/>
        <v>953653.76999999955</v>
      </c>
      <c r="AI67" s="179">
        <f t="shared" si="20"/>
        <v>-3.1778166052015736E-2</v>
      </c>
      <c r="AJ67" s="83">
        <f t="shared" si="21"/>
        <v>3.5369036317828041E-2</v>
      </c>
      <c r="AK67" s="81">
        <f t="shared" si="22"/>
        <v>1.4863388171064454E-2</v>
      </c>
      <c r="AL67" s="82">
        <f t="shared" si="23"/>
        <v>1.4863388171064454E-2</v>
      </c>
      <c r="AM67" s="42" t="str">
        <f t="shared" si="40"/>
        <v>Marlborough District</v>
      </c>
      <c r="AN67" s="206">
        <f t="shared" si="24"/>
        <v>0.51</v>
      </c>
      <c r="AO67" s="202">
        <f t="shared" si="25"/>
        <v>0.51</v>
      </c>
      <c r="AQ67" s="84"/>
      <c r="AR67" s="84"/>
      <c r="AS67" s="84"/>
      <c r="AT67" s="84">
        <f>MIN(AD37,AF37)</f>
        <v>20840609.679999996</v>
      </c>
      <c r="AU67" s="84">
        <f>AF37-AT67</f>
        <v>0</v>
      </c>
      <c r="AV67" s="84">
        <f>AD37-AT67</f>
        <v>1450194.320000004</v>
      </c>
    </row>
    <row r="68" spans="2:48" x14ac:dyDescent="0.25">
      <c r="B68" s="85">
        <f t="shared" si="26"/>
        <v>61</v>
      </c>
      <c r="C68" s="86">
        <v>25</v>
      </c>
      <c r="D68" s="7" t="str">
        <f>INDEX(Parameter!$B$19:$C$97,MATCH(Calculation!$C68,Parameter!$B$19:$B$97,0),MATCH(Calculation!D$7,Parameter!$B$19:$C$19,0))</f>
        <v>Western Bay of Plenty District</v>
      </c>
      <c r="E68" s="73">
        <f>INDEX(Parameter!$B$19:$H$97,MATCH(Calculation!$C68,Parameter!$B$19:$B$97,0),MATCH(Calculation!E$7,Parameter!$B$19:$H$19,0))</f>
        <v>24610</v>
      </c>
      <c r="F68" s="74">
        <f>INDEX(Parameter!$B$19:$H$97,MATCH(Calculation!$C68,Parameter!$B$19:$B$97,0),MATCH(Calculation!F$7,Parameter!$B$19:$H$19,0))</f>
        <v>982.2684053564119</v>
      </c>
      <c r="G68" s="75">
        <f>INDEX(Parameter!$B$19:$H$97,MATCH(Calculation!$C68,Parameter!$B$19:$B$97,0),MATCH(Calculation!G$7,Parameter!$B$19:$H$19,0))</f>
        <v>3.9468119835054751E-8</v>
      </c>
      <c r="H68" s="76">
        <f t="shared" si="27"/>
        <v>-0.24133829277042651</v>
      </c>
      <c r="I68" s="77">
        <f t="shared" si="28"/>
        <v>-0.63894412898695141</v>
      </c>
      <c r="J68" s="78">
        <f t="shared" si="29"/>
        <v>-0.62500872807465591</v>
      </c>
      <c r="K68" s="76">
        <f t="shared" si="30"/>
        <v>6.91785259249846</v>
      </c>
      <c r="L68" s="77">
        <f t="shared" si="31"/>
        <v>1.4284405892753274</v>
      </c>
      <c r="M68" s="77">
        <f t="shared" si="32"/>
        <v>0.21851487980784368</v>
      </c>
      <c r="N68" s="77">
        <f t="shared" si="33"/>
        <v>8.5648080615816315</v>
      </c>
      <c r="O68" s="78">
        <f t="shared" si="34"/>
        <v>-0.78401261198781391</v>
      </c>
      <c r="P68" s="61"/>
      <c r="T68" s="79">
        <f t="shared" si="14"/>
        <v>0.45</v>
      </c>
      <c r="U68" s="80">
        <f t="shared" si="15"/>
        <v>0.75</v>
      </c>
      <c r="V68" s="80">
        <f t="shared" si="16"/>
        <v>0.45</v>
      </c>
      <c r="W68" s="80">
        <f t="shared" si="17"/>
        <v>0.51</v>
      </c>
      <c r="X68" s="80">
        <f t="shared" si="18"/>
        <v>0.51</v>
      </c>
      <c r="Z68" s="81">
        <f t="shared" si="35"/>
        <v>0.51</v>
      </c>
      <c r="AA68" s="82">
        <f>INDEX('Table_Previous FAR'!$B$5:$K$83,MATCH(Calculation!D68,'Table_Previous FAR'!$B$5:$B$83,0),MATCH(Calculation!$AA$7,'Table_Previous FAR'!$B$5:$K$5,))</f>
        <v>0.51</v>
      </c>
      <c r="AB68" s="73">
        <f>INDEX(Parameter!$C$19:$L$97, MATCH(Calculation!$D68,Parameter!$C$19:$C$97,0),MATCH(Calculation!AB$7,Parameter!$C$19:$L$19,0))</f>
        <v>78673797</v>
      </c>
      <c r="AC68" s="73">
        <f>INDEX(Parameter!$C$19:$L$97, MATCH(Calculation!$D68,Parameter!$C$19:$C$97,0),MATCH(Calculation!AC$7,Parameter!$C$19:$L$19,0))</f>
        <v>39686307</v>
      </c>
      <c r="AD68" s="73">
        <f>INDEX(Parameter!$C$19:$L$97, MATCH(Calculation!$D68,Parameter!$C$19:$C$97,0),MATCH(Calculation!AD$7,Parameter!$C$19:$L$19,0))</f>
        <v>38987490</v>
      </c>
      <c r="AE68" s="73">
        <f t="shared" si="36"/>
        <v>40123636.469999999</v>
      </c>
      <c r="AF68" s="32">
        <f t="shared" si="37"/>
        <v>38550160.530000001</v>
      </c>
      <c r="AG68" s="185">
        <f t="shared" si="38"/>
        <v>437329.46999999881</v>
      </c>
      <c r="AH68" s="186">
        <f t="shared" si="39"/>
        <v>-437329.46999999881</v>
      </c>
      <c r="AI68" s="179">
        <f t="shared" si="20"/>
        <v>1.1019656477484761E-2</v>
      </c>
      <c r="AJ68" s="83">
        <f t="shared" si="21"/>
        <v>-1.1217174278210749E-2</v>
      </c>
      <c r="AK68" s="81">
        <f t="shared" si="22"/>
        <v>-6.8160981225459556E-3</v>
      </c>
      <c r="AL68" s="82">
        <f t="shared" si="23"/>
        <v>-6.8160981225459556E-3</v>
      </c>
      <c r="AM68" s="42" t="str">
        <f t="shared" si="40"/>
        <v>Western Bay of Plenty District</v>
      </c>
      <c r="AN68" s="206">
        <f t="shared" si="24"/>
        <v>0.51</v>
      </c>
      <c r="AO68" s="202">
        <f t="shared" si="25"/>
        <v>0.51</v>
      </c>
      <c r="AQ68" s="84">
        <f>MIN(AC38,AE38)</f>
        <v>5008300</v>
      </c>
      <c r="AR68" s="84">
        <f>AE38-AQ68</f>
        <v>2932.9400000004098</v>
      </c>
      <c r="AS68" s="84">
        <f>AC38-AQ68</f>
        <v>0</v>
      </c>
      <c r="AT68" s="84"/>
      <c r="AU68" s="84"/>
      <c r="AV68" s="84"/>
    </row>
    <row r="69" spans="2:48" x14ac:dyDescent="0.25">
      <c r="B69" s="85">
        <f t="shared" si="26"/>
        <v>62</v>
      </c>
      <c r="C69" s="86">
        <v>52</v>
      </c>
      <c r="D69" s="7" t="str">
        <f>INDEX(Parameter!$B$19:$C$97,MATCH(Calculation!$C69,Parameter!$B$19:$B$97,0),MATCH(Calculation!D$7,Parameter!$B$19:$C$19,0))</f>
        <v>Nelson City</v>
      </c>
      <c r="E69" s="73">
        <f>INDEX(Parameter!$B$19:$H$97,MATCH(Calculation!$C69,Parameter!$B$19:$B$97,0),MATCH(Calculation!E$7,Parameter!$B$19:$H$19,0))</f>
        <v>21960</v>
      </c>
      <c r="F69" s="74">
        <f>INDEX(Parameter!$B$19:$H$97,MATCH(Calculation!$C69,Parameter!$B$19:$B$97,0),MATCH(Calculation!F$7,Parameter!$B$19:$H$19,0))</f>
        <v>987.51412062967984</v>
      </c>
      <c r="G69" s="75">
        <f>INDEX(Parameter!$B$19:$H$97,MATCH(Calculation!$C69,Parameter!$B$19:$B$97,0),MATCH(Calculation!G$7,Parameter!$B$19:$H$19,0))</f>
        <v>1.6972648956822681E-8</v>
      </c>
      <c r="H69" s="76">
        <f t="shared" si="27"/>
        <v>-0.27528858559902214</v>
      </c>
      <c r="I69" s="77">
        <f t="shared" si="28"/>
        <v>-0.53689703419315715</v>
      </c>
      <c r="J69" s="78">
        <f t="shared" si="29"/>
        <v>-0.7856416834918738</v>
      </c>
      <c r="K69" s="76">
        <f t="shared" si="30"/>
        <v>6.9518028853270559</v>
      </c>
      <c r="L69" s="77">
        <f t="shared" si="31"/>
        <v>1.5304876840691215</v>
      </c>
      <c r="M69" s="77">
        <f t="shared" si="32"/>
        <v>5.7881924390625783E-2</v>
      </c>
      <c r="N69" s="77">
        <f t="shared" si="33"/>
        <v>8.5401724937868035</v>
      </c>
      <c r="O69" s="78">
        <f t="shared" si="34"/>
        <v>-0.80864817978264192</v>
      </c>
      <c r="P69" s="61"/>
      <c r="T69" s="79">
        <f t="shared" si="14"/>
        <v>0.45</v>
      </c>
      <c r="U69" s="80">
        <f t="shared" si="15"/>
        <v>0.75</v>
      </c>
      <c r="V69" s="80">
        <f t="shared" si="16"/>
        <v>0.45</v>
      </c>
      <c r="W69" s="80">
        <f t="shared" si="17"/>
        <v>0.51</v>
      </c>
      <c r="X69" s="80">
        <f t="shared" si="18"/>
        <v>0.51</v>
      </c>
      <c r="Z69" s="81">
        <f t="shared" si="35"/>
        <v>0.51</v>
      </c>
      <c r="AA69" s="82">
        <f>INDEX('Table_Previous FAR'!$B$5:$K$83,MATCH(Calculation!D69,'Table_Previous FAR'!$B$5:$B$83,0),MATCH(Calculation!$AA$7,'Table_Previous FAR'!$B$5:$K$5,))</f>
        <v>0.51</v>
      </c>
      <c r="AB69" s="73">
        <f>INDEX(Parameter!$C$19:$L$97, MATCH(Calculation!$D69,Parameter!$C$19:$C$97,0),MATCH(Calculation!AB$7,Parameter!$C$19:$L$19,0))</f>
        <v>36082691</v>
      </c>
      <c r="AC69" s="73">
        <f>INDEX(Parameter!$C$19:$L$97, MATCH(Calculation!$D69,Parameter!$C$19:$C$97,0),MATCH(Calculation!AC$7,Parameter!$C$19:$L$19,0))</f>
        <v>18656819</v>
      </c>
      <c r="AD69" s="73">
        <f>INDEX(Parameter!$C$19:$L$97, MATCH(Calculation!$D69,Parameter!$C$19:$C$97,0),MATCH(Calculation!AD$7,Parameter!$C$19:$L$19,0))</f>
        <v>17425872</v>
      </c>
      <c r="AE69" s="73">
        <f t="shared" si="36"/>
        <v>18402172.41</v>
      </c>
      <c r="AF69" s="32">
        <f t="shared" si="37"/>
        <v>17680518.59</v>
      </c>
      <c r="AG69" s="185">
        <f t="shared" si="38"/>
        <v>-254646.58999999985</v>
      </c>
      <c r="AH69" s="186">
        <f t="shared" si="39"/>
        <v>254646.58999999985</v>
      </c>
      <c r="AI69" s="179">
        <f t="shared" si="20"/>
        <v>-1.3648982176436394E-2</v>
      </c>
      <c r="AJ69" s="83">
        <f t="shared" si="21"/>
        <v>1.4613133276773745E-2</v>
      </c>
      <c r="AK69" s="81">
        <f t="shared" si="22"/>
        <v>3.9688524626793004E-3</v>
      </c>
      <c r="AL69" s="82">
        <f t="shared" si="23"/>
        <v>3.9688524626793004E-3</v>
      </c>
      <c r="AM69" s="42" t="str">
        <f t="shared" si="40"/>
        <v>Nelson City</v>
      </c>
      <c r="AN69" s="206">
        <f t="shared" si="24"/>
        <v>0.51</v>
      </c>
      <c r="AO69" s="202">
        <f t="shared" si="25"/>
        <v>0.51</v>
      </c>
      <c r="AQ69" s="84"/>
      <c r="AR69" s="84"/>
      <c r="AS69" s="84"/>
      <c r="AT69" s="84">
        <f>MIN(AD38,AF38)</f>
        <v>4268828.0599999996</v>
      </c>
      <c r="AU69" s="84">
        <f>AF38-AT69</f>
        <v>0</v>
      </c>
      <c r="AV69" s="84">
        <f>AD38-AT69</f>
        <v>2932.9400000004098</v>
      </c>
    </row>
    <row r="70" spans="2:48" x14ac:dyDescent="0.25">
      <c r="B70" s="85">
        <f t="shared" si="26"/>
        <v>63</v>
      </c>
      <c r="C70" s="86">
        <v>68</v>
      </c>
      <c r="D70" s="7" t="str">
        <f>INDEX(Parameter!$B$19:$C$97,MATCH(Calculation!$C70,Parameter!$B$19:$B$97,0),MATCH(Calculation!D$7,Parameter!$B$19:$C$19,0))</f>
        <v>Dunedin City</v>
      </c>
      <c r="E70" s="73">
        <f>INDEX(Parameter!$B$19:$H$97,MATCH(Calculation!$C70,Parameter!$B$19:$B$97,0),MATCH(Calculation!E$7,Parameter!$B$19:$H$19,0))</f>
        <v>54477</v>
      </c>
      <c r="F70" s="74">
        <f>INDEX(Parameter!$B$19:$H$97,MATCH(Calculation!$C70,Parameter!$B$19:$B$97,0),MATCH(Calculation!F$7,Parameter!$B$19:$H$19,0))</f>
        <v>991.08318281205436</v>
      </c>
      <c r="G70" s="75">
        <f>INDEX(Parameter!$B$19:$H$97,MATCH(Calculation!$C70,Parameter!$B$19:$B$97,0),MATCH(Calculation!G$7,Parameter!$B$19:$H$19,0))</f>
        <v>5.74091361008856E-8</v>
      </c>
      <c r="H70" s="76">
        <f t="shared" si="27"/>
        <v>0.14130072455473019</v>
      </c>
      <c r="I70" s="77">
        <f t="shared" si="28"/>
        <v>-0.46746657373607914</v>
      </c>
      <c r="J70" s="78">
        <f t="shared" si="29"/>
        <v>-0.49689767489561348</v>
      </c>
      <c r="K70" s="76">
        <f t="shared" si="30"/>
        <v>6.5352135751733034</v>
      </c>
      <c r="L70" s="77">
        <f t="shared" si="31"/>
        <v>1.5999181445261996</v>
      </c>
      <c r="M70" s="77">
        <f t="shared" si="32"/>
        <v>0.3466259329868861</v>
      </c>
      <c r="N70" s="77">
        <f t="shared" si="33"/>
        <v>8.4817576526863885</v>
      </c>
      <c r="O70" s="78">
        <f t="shared" si="34"/>
        <v>-0.86706302088305698</v>
      </c>
      <c r="P70" s="61"/>
      <c r="T70" s="79">
        <f t="shared" si="14"/>
        <v>0.44</v>
      </c>
      <c r="U70" s="80">
        <f t="shared" si="15"/>
        <v>0.75</v>
      </c>
      <c r="V70" s="80">
        <f t="shared" si="16"/>
        <v>0.44</v>
      </c>
      <c r="W70" s="80">
        <f t="shared" si="17"/>
        <v>0.51</v>
      </c>
      <c r="X70" s="80">
        <f t="shared" si="18"/>
        <v>0.51</v>
      </c>
      <c r="Z70" s="81">
        <f t="shared" si="35"/>
        <v>0.51</v>
      </c>
      <c r="AA70" s="82">
        <f>INDEX('Table_Previous FAR'!$B$5:$K$83,MATCH(Calculation!D70,'Table_Previous FAR'!$B$5:$B$83,0),MATCH(Calculation!$AA$7,'Table_Previous FAR'!$B$5:$K$5,))</f>
        <v>0.51</v>
      </c>
      <c r="AB70" s="73">
        <f>INDEX(Parameter!$C$19:$L$97, MATCH(Calculation!$D70,Parameter!$C$19:$C$97,0),MATCH(Calculation!AB$7,Parameter!$C$19:$L$19,0))</f>
        <v>139147860</v>
      </c>
      <c r="AC70" s="73">
        <f>INDEX(Parameter!$C$19:$L$97, MATCH(Calculation!$D70,Parameter!$C$19:$C$97,0),MATCH(Calculation!AC$7,Parameter!$C$19:$L$19,0))</f>
        <v>79870269</v>
      </c>
      <c r="AD70" s="73">
        <f>INDEX(Parameter!$C$19:$L$97, MATCH(Calculation!$D70,Parameter!$C$19:$C$97,0),MATCH(Calculation!AD$7,Parameter!$C$19:$L$19,0))</f>
        <v>59277591</v>
      </c>
      <c r="AE70" s="73">
        <f t="shared" si="36"/>
        <v>70965408.599999994</v>
      </c>
      <c r="AF70" s="32">
        <f t="shared" si="37"/>
        <v>68182451.400000006</v>
      </c>
      <c r="AG70" s="185">
        <f t="shared" si="38"/>
        <v>-8904860.400000006</v>
      </c>
      <c r="AH70" s="186">
        <f t="shared" si="39"/>
        <v>8904860.400000006</v>
      </c>
      <c r="AI70" s="179">
        <f t="shared" si="20"/>
        <v>-0.1114915538847128</v>
      </c>
      <c r="AJ70" s="83">
        <f t="shared" si="21"/>
        <v>0.1502230480317597</v>
      </c>
      <c r="AK70" s="81">
        <f t="shared" si="22"/>
        <v>0.1387887311915523</v>
      </c>
      <c r="AL70" s="82">
        <f t="shared" si="23"/>
        <v>0.1387887311915523</v>
      </c>
      <c r="AM70" s="42" t="str">
        <f t="shared" si="40"/>
        <v>Dunedin City</v>
      </c>
      <c r="AN70" s="206">
        <f t="shared" si="24"/>
        <v>0.51</v>
      </c>
      <c r="AO70" s="202">
        <f t="shared" si="25"/>
        <v>0.51</v>
      </c>
      <c r="AQ70" s="84">
        <f>MIN(AC39,AE39)</f>
        <v>73698564.350000009</v>
      </c>
      <c r="AR70" s="84">
        <f>AE39-AQ70</f>
        <v>0</v>
      </c>
      <c r="AS70" s="84">
        <f>AC39-AQ70</f>
        <v>2506541.6499999911</v>
      </c>
      <c r="AT70" s="84"/>
      <c r="AU70" s="84"/>
      <c r="AV70" s="84"/>
    </row>
    <row r="71" spans="2:48" x14ac:dyDescent="0.25">
      <c r="B71" s="85">
        <f t="shared" si="26"/>
        <v>64</v>
      </c>
      <c r="C71" s="86">
        <v>48</v>
      </c>
      <c r="D71" s="7" t="str">
        <f>INDEX(Parameter!$B$19:$C$97,MATCH(Calculation!$C71,Parameter!$B$19:$B$97,0),MATCH(Calculation!D$7,Parameter!$B$19:$C$19,0))</f>
        <v>Upper Hutt City</v>
      </c>
      <c r="E71" s="73">
        <f>INDEX(Parameter!$B$19:$H$97,MATCH(Calculation!$C71,Parameter!$B$19:$B$97,0),MATCH(Calculation!E$7,Parameter!$B$19:$H$19,0))</f>
        <v>17131</v>
      </c>
      <c r="F71" s="74">
        <f>INDEX(Parameter!$B$19:$H$97,MATCH(Calculation!$C71,Parameter!$B$19:$B$97,0),MATCH(Calculation!F$7,Parameter!$B$19:$H$19,0))</f>
        <v>976.68117029257314</v>
      </c>
      <c r="G71" s="75">
        <f>INDEX(Parameter!$B$19:$H$97,MATCH(Calculation!$C71,Parameter!$B$19:$B$97,0),MATCH(Calculation!G$7,Parameter!$B$19:$H$19,0))</f>
        <v>2.1787142755651589E-8</v>
      </c>
      <c r="H71" s="76">
        <f t="shared" si="27"/>
        <v>-0.33715498713460257</v>
      </c>
      <c r="I71" s="77">
        <f t="shared" si="28"/>
        <v>-0.74763495120909829</v>
      </c>
      <c r="J71" s="78">
        <f t="shared" si="29"/>
        <v>-0.75126292467726685</v>
      </c>
      <c r="K71" s="76">
        <f t="shared" si="30"/>
        <v>7.013669286862636</v>
      </c>
      <c r="L71" s="77">
        <f t="shared" si="31"/>
        <v>1.3197497670531804</v>
      </c>
      <c r="M71" s="77">
        <f t="shared" si="32"/>
        <v>9.226068320523273E-2</v>
      </c>
      <c r="N71" s="77">
        <f t="shared" si="33"/>
        <v>8.4256797371210492</v>
      </c>
      <c r="O71" s="78">
        <f t="shared" si="34"/>
        <v>-0.92314093644839623</v>
      </c>
      <c r="P71" s="61"/>
      <c r="T71" s="79">
        <f t="shared" si="14"/>
        <v>0.44</v>
      </c>
      <c r="U71" s="80">
        <f t="shared" si="15"/>
        <v>0.75</v>
      </c>
      <c r="V71" s="80">
        <f t="shared" si="16"/>
        <v>0.44</v>
      </c>
      <c r="W71" s="80">
        <f t="shared" si="17"/>
        <v>0.51</v>
      </c>
      <c r="X71" s="80">
        <f t="shared" si="18"/>
        <v>0.51</v>
      </c>
      <c r="Z71" s="81">
        <f t="shared" si="35"/>
        <v>0.51</v>
      </c>
      <c r="AA71" s="82">
        <f>INDEX('Table_Previous FAR'!$B$5:$K$83,MATCH(Calculation!D71,'Table_Previous FAR'!$B$5:$B$83,0),MATCH(Calculation!$AA$7,'Table_Previous FAR'!$B$5:$K$5,))</f>
        <v>0.51</v>
      </c>
      <c r="AB71" s="73">
        <f>INDEX(Parameter!$C$19:$L$97, MATCH(Calculation!$D71,Parameter!$C$19:$C$97,0),MATCH(Calculation!AB$7,Parameter!$C$19:$L$19,0))</f>
        <v>23018613</v>
      </c>
      <c r="AC71" s="73">
        <f>INDEX(Parameter!$C$19:$L$97, MATCH(Calculation!$D71,Parameter!$C$19:$C$97,0),MATCH(Calculation!AC$7,Parameter!$C$19:$L$19,0))</f>
        <v>12458461</v>
      </c>
      <c r="AD71" s="73">
        <f>INDEX(Parameter!$C$19:$L$97, MATCH(Calculation!$D71,Parameter!$C$19:$C$97,0),MATCH(Calculation!AD$7,Parameter!$C$19:$L$19,0))</f>
        <v>10560152</v>
      </c>
      <c r="AE71" s="73">
        <f t="shared" si="36"/>
        <v>11739492.630000001</v>
      </c>
      <c r="AF71" s="32">
        <f t="shared" si="37"/>
        <v>11279120.369999999</v>
      </c>
      <c r="AG71" s="185">
        <f t="shared" si="38"/>
        <v>-718968.36999999918</v>
      </c>
      <c r="AH71" s="186">
        <f t="shared" si="39"/>
        <v>718968.36999999918</v>
      </c>
      <c r="AI71" s="179">
        <f t="shared" si="20"/>
        <v>-5.7709244344064582E-2</v>
      </c>
      <c r="AJ71" s="83">
        <f t="shared" si="21"/>
        <v>6.8083145962292896E-2</v>
      </c>
      <c r="AK71" s="81">
        <f t="shared" si="22"/>
        <v>1.1205645384307015E-2</v>
      </c>
      <c r="AL71" s="82">
        <f t="shared" si="23"/>
        <v>1.1205645384307015E-2</v>
      </c>
      <c r="AM71" s="42" t="str">
        <f t="shared" si="40"/>
        <v>Upper Hutt City</v>
      </c>
      <c r="AN71" s="206">
        <f t="shared" si="24"/>
        <v>0.51</v>
      </c>
      <c r="AO71" s="202">
        <f t="shared" si="25"/>
        <v>0.51</v>
      </c>
      <c r="AQ71" s="84"/>
      <c r="AR71" s="84"/>
      <c r="AS71" s="84"/>
      <c r="AT71" s="84">
        <f>MIN(AD39,AF39)</f>
        <v>62848789</v>
      </c>
      <c r="AU71" s="84">
        <f>AF39-AT71</f>
        <v>2506541.6499999911</v>
      </c>
      <c r="AV71" s="84">
        <f>AD39-AT71</f>
        <v>0</v>
      </c>
    </row>
    <row r="72" spans="2:48" x14ac:dyDescent="0.25">
      <c r="B72" s="85">
        <f t="shared" ref="B72:B85" si="41">RANK(O72,O$8:O$85,0)</f>
        <v>65</v>
      </c>
      <c r="C72" s="86">
        <v>19</v>
      </c>
      <c r="D72" s="7" t="str">
        <f>INDEX(Parameter!$B$19:$C$97,MATCH(Calculation!$C72,Parameter!$B$19:$B$97,0),MATCH(Calculation!D$7,Parameter!$B$19:$C$19,0))</f>
        <v>Waipa District</v>
      </c>
      <c r="E72" s="73">
        <f>INDEX(Parameter!$B$19:$H$97,MATCH(Calculation!$C72,Parameter!$B$19:$B$97,0),MATCH(Calculation!E$7,Parameter!$B$19:$H$19,0))</f>
        <v>22224</v>
      </c>
      <c r="F72" s="74">
        <f>INDEX(Parameter!$B$19:$H$97,MATCH(Calculation!$C72,Parameter!$B$19:$B$97,0),MATCH(Calculation!F$7,Parameter!$B$19:$H$19,0))</f>
        <v>966.18685530691619</v>
      </c>
      <c r="G72" s="75">
        <f>INDEX(Parameter!$B$19:$H$97,MATCH(Calculation!$C72,Parameter!$B$19:$B$97,0),MATCH(Calculation!G$7,Parameter!$B$19:$H$19,0))</f>
        <v>5.117087913046687E-8</v>
      </c>
      <c r="H72" s="76">
        <f t="shared" ref="H72:H85" si="42">STANDARDIZE(E72,E$92,E$93)</f>
        <v>-0.27190636774741861</v>
      </c>
      <c r="I72" s="77">
        <f t="shared" ref="I72:I85" si="43">STANDARDIZE(F72,F$92,F$93)</f>
        <v>-0.95178525299818539</v>
      </c>
      <c r="J72" s="78">
        <f t="shared" ref="J72:J85" si="44">STANDARDIZE(G72,G$92,G$93)</f>
        <v>-0.54144307068815412</v>
      </c>
      <c r="K72" s="76">
        <f t="shared" ref="K72:K85" si="45">IF(E$96=0,0,E$97*IF(E$96&lt;0,H72-H$87,H$88-H72))</f>
        <v>6.9484206674754523</v>
      </c>
      <c r="L72" s="77">
        <f t="shared" ref="L72:L85" si="46">IF(F$96=0,0,F$97*IF(F$96&lt;0,I72-I$87,I$88-I72))</f>
        <v>1.1155994652640933</v>
      </c>
      <c r="M72" s="77">
        <f t="shared" ref="M72:M85" si="47">IF(G$96=0,0,G$97*IF(G$96&lt;0,J72-J$87,J$88-J72))</f>
        <v>0.30208053719434547</v>
      </c>
      <c r="N72" s="77">
        <f t="shared" ref="N72:N85" si="48">SUM(K72:M72)</f>
        <v>8.3661006699338909</v>
      </c>
      <c r="O72" s="78">
        <f t="shared" ref="O72:O85" si="49">N72-N$90</f>
        <v>-0.98272000363555456</v>
      </c>
      <c r="P72" s="61"/>
      <c r="T72" s="79">
        <f t="shared" si="14"/>
        <v>0.43</v>
      </c>
      <c r="U72" s="80">
        <f t="shared" si="15"/>
        <v>0.75</v>
      </c>
      <c r="V72" s="80">
        <f t="shared" si="16"/>
        <v>0.43</v>
      </c>
      <c r="W72" s="80">
        <f t="shared" si="17"/>
        <v>0.51</v>
      </c>
      <c r="X72" s="80">
        <f t="shared" si="18"/>
        <v>0.51</v>
      </c>
      <c r="Z72" s="81">
        <f t="shared" ref="Z72:Z85" si="50">MAX(IF(C72=74,$R$16,$R$17),MIN($R$15,ROUND($R$17+$R$20*O72,2)))</f>
        <v>0.51</v>
      </c>
      <c r="AA72" s="82">
        <f>INDEX('Table_Previous FAR'!$B$5:$K$83,MATCH(Calculation!D72,'Table_Previous FAR'!$B$5:$B$83,0),MATCH(Calculation!$AA$7,'Table_Previous FAR'!$B$5:$K$5,))</f>
        <v>0.51</v>
      </c>
      <c r="AB72" s="73">
        <f>INDEX(Parameter!$C$19:$L$97, MATCH(Calculation!$D72,Parameter!$C$19:$C$97,0),MATCH(Calculation!AB$7,Parameter!$C$19:$L$19,0))</f>
        <v>52741168</v>
      </c>
      <c r="AC72" s="73">
        <f>INDEX(Parameter!$C$19:$L$97, MATCH(Calculation!$D72,Parameter!$C$19:$C$97,0),MATCH(Calculation!AC$7,Parameter!$C$19:$L$19,0))</f>
        <v>28018503</v>
      </c>
      <c r="AD72" s="73">
        <f>INDEX(Parameter!$C$19:$L$97, MATCH(Calculation!$D72,Parameter!$C$19:$C$97,0),MATCH(Calculation!AD$7,Parameter!$C$19:$L$19,0))</f>
        <v>24722665</v>
      </c>
      <c r="AE72" s="73">
        <f t="shared" ref="AE72:AE85" si="51">AB72*Z72</f>
        <v>26897995.68</v>
      </c>
      <c r="AF72" s="32">
        <f t="shared" ref="AF72:AF85" si="52">AB72-AE72</f>
        <v>25843172.32</v>
      </c>
      <c r="AG72" s="185">
        <f t="shared" ref="AG72:AG85" si="53">AE72-AC72</f>
        <v>-1120507.3200000003</v>
      </c>
      <c r="AH72" s="186">
        <f t="shared" ref="AH72:AH85" si="54">AF72-AD72</f>
        <v>1120507.3200000003</v>
      </c>
      <c r="AI72" s="179">
        <f t="shared" si="20"/>
        <v>-3.999169120491556E-2</v>
      </c>
      <c r="AJ72" s="83">
        <f t="shared" si="21"/>
        <v>4.5323079854052963E-2</v>
      </c>
      <c r="AK72" s="81">
        <f t="shared" si="22"/>
        <v>1.7463922200694645E-2</v>
      </c>
      <c r="AL72" s="82">
        <f t="shared" si="23"/>
        <v>1.7463922200694645E-2</v>
      </c>
      <c r="AM72" s="42" t="str">
        <f t="shared" ref="AM72:AM86" si="55">D72</f>
        <v>Waipa District</v>
      </c>
      <c r="AN72" s="206">
        <f t="shared" si="24"/>
        <v>0.51</v>
      </c>
      <c r="AO72" s="202">
        <f t="shared" si="25"/>
        <v>0.51</v>
      </c>
      <c r="AQ72" s="84">
        <f>MIN(AC40,AE40)</f>
        <v>59080315.290000007</v>
      </c>
      <c r="AR72" s="84">
        <f>AE40-AQ72</f>
        <v>0</v>
      </c>
      <c r="AS72" s="84">
        <f>AC40-AQ72</f>
        <v>3770939.7099999934</v>
      </c>
      <c r="AT72" s="84"/>
      <c r="AU72" s="84"/>
      <c r="AV72" s="84"/>
    </row>
    <row r="73" spans="2:48" x14ac:dyDescent="0.25">
      <c r="B73" s="85">
        <f t="shared" si="41"/>
        <v>66</v>
      </c>
      <c r="C73" s="86">
        <v>43</v>
      </c>
      <c r="D73" s="7" t="str">
        <f>INDEX(Parameter!$B$19:$C$97,MATCH(Calculation!$C73,Parameter!$B$19:$B$97,0),MATCH(Calculation!D$7,Parameter!$B$19:$C$19,0))</f>
        <v>Kapiti Coast District</v>
      </c>
      <c r="E73" s="73">
        <f>INDEX(Parameter!$B$19:$H$97,MATCH(Calculation!$C73,Parameter!$B$19:$B$97,0),MATCH(Calculation!E$7,Parameter!$B$19:$H$19,0))</f>
        <v>25098</v>
      </c>
      <c r="F73" s="74">
        <f>INDEX(Parameter!$B$19:$H$97,MATCH(Calculation!$C73,Parameter!$B$19:$B$97,0),MATCH(Calculation!F$7,Parameter!$B$19:$H$19,0))</f>
        <v>974.26715850659514</v>
      </c>
      <c r="G73" s="75">
        <f>INDEX(Parameter!$B$19:$H$97,MATCH(Calculation!$C73,Parameter!$B$19:$B$97,0),MATCH(Calculation!G$7,Parameter!$B$19:$H$19,0))</f>
        <v>2.4060947720194176E-8</v>
      </c>
      <c r="H73" s="76">
        <f t="shared" si="42"/>
        <v>-0.23508631431746249</v>
      </c>
      <c r="I73" s="77">
        <f t="shared" si="43"/>
        <v>-0.79459573286120078</v>
      </c>
      <c r="J73" s="78">
        <f t="shared" si="44"/>
        <v>-0.73502641140426606</v>
      </c>
      <c r="K73" s="76">
        <f t="shared" si="45"/>
        <v>6.9116006140454962</v>
      </c>
      <c r="L73" s="77">
        <f t="shared" si="46"/>
        <v>1.2727889854010779</v>
      </c>
      <c r="M73" s="77">
        <f t="shared" si="47"/>
        <v>0.10849719647823353</v>
      </c>
      <c r="N73" s="77">
        <f t="shared" si="48"/>
        <v>8.292886795924808</v>
      </c>
      <c r="O73" s="78">
        <f t="shared" si="49"/>
        <v>-1.0559338776446374</v>
      </c>
      <c r="P73" s="61"/>
      <c r="T73" s="79">
        <f t="shared" ref="T73:T85" si="56">ROUND($R$17+$R$20*O73,2)</f>
        <v>0.43</v>
      </c>
      <c r="U73" s="80">
        <f t="shared" ref="U73:U85" si="57">$R$15</f>
        <v>0.75</v>
      </c>
      <c r="V73" s="80">
        <f t="shared" ref="V73:V85" si="58">MIN(T73,U73)</f>
        <v>0.43</v>
      </c>
      <c r="W73" s="80">
        <f t="shared" ref="W73:W85" si="59">$R$17</f>
        <v>0.51</v>
      </c>
      <c r="X73" s="80">
        <f t="shared" ref="X73:X85" si="60">MAX(V73,W73)</f>
        <v>0.51</v>
      </c>
      <c r="Z73" s="81">
        <f t="shared" si="50"/>
        <v>0.51</v>
      </c>
      <c r="AA73" s="82">
        <f>INDEX('Table_Previous FAR'!$B$5:$K$83,MATCH(Calculation!D73,'Table_Previous FAR'!$B$5:$B$83,0),MATCH(Calculation!$AA$7,'Table_Previous FAR'!$B$5:$K$5,))</f>
        <v>0.51</v>
      </c>
      <c r="AB73" s="73">
        <f>INDEX(Parameter!$C$19:$L$97, MATCH(Calculation!$D73,Parameter!$C$19:$C$97,0),MATCH(Calculation!AB$7,Parameter!$C$19:$L$19,0))</f>
        <v>30909400</v>
      </c>
      <c r="AC73" s="73">
        <f>INDEX(Parameter!$C$19:$L$97, MATCH(Calculation!$D73,Parameter!$C$19:$C$97,0),MATCH(Calculation!AC$7,Parameter!$C$19:$L$19,0))</f>
        <v>16068829</v>
      </c>
      <c r="AD73" s="73">
        <f>INDEX(Parameter!$C$19:$L$97, MATCH(Calculation!$D73,Parameter!$C$19:$C$97,0),MATCH(Calculation!AD$7,Parameter!$C$19:$L$19,0))</f>
        <v>14840571</v>
      </c>
      <c r="AE73" s="73">
        <f t="shared" si="51"/>
        <v>15763794</v>
      </c>
      <c r="AF73" s="32">
        <f t="shared" si="52"/>
        <v>15145606</v>
      </c>
      <c r="AG73" s="185">
        <f t="shared" si="53"/>
        <v>-305035</v>
      </c>
      <c r="AH73" s="186">
        <f t="shared" si="54"/>
        <v>305035</v>
      </c>
      <c r="AI73" s="179">
        <f t="shared" ref="AI73:AI86" si="61">AG73/AC73</f>
        <v>-1.8983026081116426E-2</v>
      </c>
      <c r="AJ73" s="83">
        <f t="shared" ref="AJ73:AJ86" si="62">AH73/AD73</f>
        <v>2.0554128274444427E-2</v>
      </c>
      <c r="AK73" s="81">
        <f t="shared" ref="AK73:AK86" si="63">AG73/AG$86</f>
        <v>4.7541925103076433E-3</v>
      </c>
      <c r="AL73" s="82">
        <f t="shared" ref="AL73:AL86" si="64">AH73/AH$86</f>
        <v>4.7541925103076433E-3</v>
      </c>
      <c r="AM73" s="42" t="str">
        <f t="shared" si="55"/>
        <v>Kapiti Coast District</v>
      </c>
      <c r="AN73" s="206">
        <f t="shared" ref="AN73:AN86" si="65">ROUND(AA73,2)</f>
        <v>0.51</v>
      </c>
      <c r="AO73" s="202">
        <f t="shared" ref="AO73:AO86" si="66">ROUND(Z73,2)</f>
        <v>0.51</v>
      </c>
      <c r="AQ73" s="84"/>
      <c r="AR73" s="84"/>
      <c r="AS73" s="84"/>
      <c r="AT73" s="84">
        <f>MIN(AD40,AF40)</f>
        <v>48621038</v>
      </c>
      <c r="AU73" s="84">
        <f>AF40-AT73</f>
        <v>3770939.7099999934</v>
      </c>
      <c r="AV73" s="84">
        <f>AD40-AT73</f>
        <v>0</v>
      </c>
    </row>
    <row r="74" spans="2:48" x14ac:dyDescent="0.25">
      <c r="B74" s="85">
        <f t="shared" si="41"/>
        <v>67</v>
      </c>
      <c r="C74" s="86">
        <v>61</v>
      </c>
      <c r="D74" s="7" t="str">
        <f>INDEX(Parameter!$B$19:$C$97,MATCH(Calculation!$C74,Parameter!$B$19:$B$97,0),MATCH(Calculation!D$7,Parameter!$B$19:$C$19,0))</f>
        <v>Waimakariri District</v>
      </c>
      <c r="E74" s="73">
        <f>INDEX(Parameter!$B$19:$H$97,MATCH(Calculation!$C74,Parameter!$B$19:$B$97,0),MATCH(Calculation!E$7,Parameter!$B$19:$H$19,0))</f>
        <v>26014</v>
      </c>
      <c r="F74" s="74">
        <f>INDEX(Parameter!$B$19:$H$97,MATCH(Calculation!$C74,Parameter!$B$19:$B$97,0),MATCH(Calculation!F$7,Parameter!$B$19:$H$19,0))</f>
        <v>946.01356462104786</v>
      </c>
      <c r="G74" s="75">
        <f>INDEX(Parameter!$B$19:$H$97,MATCH(Calculation!$C74,Parameter!$B$19:$B$97,0),MATCH(Calculation!G$7,Parameter!$B$19:$H$19,0))</f>
        <v>9.7007583242312185E-8</v>
      </c>
      <c r="H74" s="76">
        <f t="shared" si="42"/>
        <v>-0.22335104328689886</v>
      </c>
      <c r="I74" s="77">
        <f t="shared" si="43"/>
        <v>-1.3442247201980715</v>
      </c>
      <c r="J74" s="78">
        <f t="shared" si="44"/>
        <v>-0.21413784165225005</v>
      </c>
      <c r="K74" s="76">
        <f t="shared" si="45"/>
        <v>6.8998653430149322</v>
      </c>
      <c r="L74" s="77">
        <f t="shared" si="46"/>
        <v>0.72315999806420717</v>
      </c>
      <c r="M74" s="77">
        <f t="shared" si="47"/>
        <v>0.62938576623024955</v>
      </c>
      <c r="N74" s="77">
        <f t="shared" si="48"/>
        <v>8.2524111073093884</v>
      </c>
      <c r="O74" s="78">
        <f t="shared" si="49"/>
        <v>-1.096409566260057</v>
      </c>
      <c r="P74" s="61"/>
      <c r="T74" s="79">
        <f t="shared" si="56"/>
        <v>0.42</v>
      </c>
      <c r="U74" s="80">
        <f t="shared" si="57"/>
        <v>0.75</v>
      </c>
      <c r="V74" s="80">
        <f t="shared" si="58"/>
        <v>0.42</v>
      </c>
      <c r="W74" s="80">
        <f t="shared" si="59"/>
        <v>0.51</v>
      </c>
      <c r="X74" s="80">
        <f t="shared" si="60"/>
        <v>0.51</v>
      </c>
      <c r="Z74" s="81">
        <f t="shared" si="50"/>
        <v>0.51</v>
      </c>
      <c r="AA74" s="82">
        <f>INDEX('Table_Previous FAR'!$B$5:$K$83,MATCH(Calculation!D74,'Table_Previous FAR'!$B$5:$B$83,0),MATCH(Calculation!$AA$7,'Table_Previous FAR'!$B$5:$K$5,))</f>
        <v>0.51</v>
      </c>
      <c r="AB74" s="73">
        <f>INDEX(Parameter!$C$19:$L$97, MATCH(Calculation!$D74,Parameter!$C$19:$C$97,0),MATCH(Calculation!AB$7,Parameter!$C$19:$L$19,0))</f>
        <v>48970322</v>
      </c>
      <c r="AC74" s="73">
        <f>INDEX(Parameter!$C$19:$L$97, MATCH(Calculation!$D74,Parameter!$C$19:$C$97,0),MATCH(Calculation!AC$7,Parameter!$C$19:$L$19,0))</f>
        <v>25245439</v>
      </c>
      <c r="AD74" s="73">
        <f>INDEX(Parameter!$C$19:$L$97, MATCH(Calculation!$D74,Parameter!$C$19:$C$97,0),MATCH(Calculation!AD$7,Parameter!$C$19:$L$19,0))</f>
        <v>23724883</v>
      </c>
      <c r="AE74" s="73">
        <f t="shared" si="51"/>
        <v>24974864.219999999</v>
      </c>
      <c r="AF74" s="32">
        <f t="shared" si="52"/>
        <v>23995457.780000001</v>
      </c>
      <c r="AG74" s="185">
        <f t="shared" si="53"/>
        <v>-270574.78000000119</v>
      </c>
      <c r="AH74" s="186">
        <f t="shared" si="54"/>
        <v>270574.78000000119</v>
      </c>
      <c r="AI74" s="179">
        <f t="shared" si="61"/>
        <v>-1.0717768861139678E-2</v>
      </c>
      <c r="AJ74" s="83">
        <f t="shared" si="62"/>
        <v>1.1404683428786611E-2</v>
      </c>
      <c r="AK74" s="81">
        <f t="shared" si="63"/>
        <v>4.2171048979761138E-3</v>
      </c>
      <c r="AL74" s="82">
        <f t="shared" si="64"/>
        <v>4.2171048979761138E-3</v>
      </c>
      <c r="AM74" s="42" t="str">
        <f t="shared" si="55"/>
        <v>Waimakariri District</v>
      </c>
      <c r="AN74" s="206">
        <f t="shared" si="65"/>
        <v>0.51</v>
      </c>
      <c r="AO74" s="202">
        <f t="shared" si="66"/>
        <v>0.51</v>
      </c>
      <c r="AQ74" s="84">
        <f>MIN(AC41,AE41)</f>
        <v>15837195</v>
      </c>
      <c r="AR74" s="84">
        <f>AE41-AQ74</f>
        <v>150711.48000000045</v>
      </c>
      <c r="AS74" s="84">
        <f>AC41-AQ74</f>
        <v>0</v>
      </c>
      <c r="AT74" s="84"/>
      <c r="AU74" s="84"/>
      <c r="AV74" s="84"/>
    </row>
    <row r="75" spans="2:48" x14ac:dyDescent="0.25">
      <c r="B75" s="85">
        <f t="shared" si="41"/>
        <v>68</v>
      </c>
      <c r="C75" s="86">
        <v>24</v>
      </c>
      <c r="D75" s="7" t="str">
        <f>INDEX(Parameter!$B$19:$C$97,MATCH(Calculation!$C75,Parameter!$B$19:$B$97,0),MATCH(Calculation!D$7,Parameter!$B$19:$C$19,0))</f>
        <v>Tauranga City</v>
      </c>
      <c r="E75" s="73">
        <f>INDEX(Parameter!$B$19:$H$97,MATCH(Calculation!$C75,Parameter!$B$19:$B$97,0),MATCH(Calculation!E$7,Parameter!$B$19:$H$19,0))</f>
        <v>58710</v>
      </c>
      <c r="F75" s="74">
        <f>INDEX(Parameter!$B$19:$H$97,MATCH(Calculation!$C75,Parameter!$B$19:$B$97,0),MATCH(Calculation!F$7,Parameter!$B$19:$H$19,0))</f>
        <v>984.06684081130913</v>
      </c>
      <c r="G75" s="75">
        <f>INDEX(Parameter!$B$19:$H$97,MATCH(Calculation!$C75,Parameter!$B$19:$B$97,0),MATCH(Calculation!G$7,Parameter!$B$19:$H$19,0))</f>
        <v>1.0647319467372008E-8</v>
      </c>
      <c r="H75" s="76">
        <f t="shared" si="42"/>
        <v>0.19553151306169067</v>
      </c>
      <c r="I75" s="77">
        <f t="shared" si="43"/>
        <v>-0.60395841135152073</v>
      </c>
      <c r="J75" s="78">
        <f t="shared" si="44"/>
        <v>-0.8308088362657835</v>
      </c>
      <c r="K75" s="76">
        <f t="shared" si="45"/>
        <v>6.4809827866663428</v>
      </c>
      <c r="L75" s="77">
        <f t="shared" si="46"/>
        <v>1.4634263069107578</v>
      </c>
      <c r="M75" s="77">
        <f t="shared" si="47"/>
        <v>1.2714771616716081E-2</v>
      </c>
      <c r="N75" s="77">
        <f t="shared" si="48"/>
        <v>7.9571238651938163</v>
      </c>
      <c r="O75" s="78">
        <f t="shared" si="49"/>
        <v>-1.3916968083756291</v>
      </c>
      <c r="P75" s="61"/>
      <c r="T75" s="79">
        <f t="shared" si="56"/>
        <v>0.4</v>
      </c>
      <c r="U75" s="80">
        <f t="shared" si="57"/>
        <v>0.75</v>
      </c>
      <c r="V75" s="80">
        <f t="shared" si="58"/>
        <v>0.4</v>
      </c>
      <c r="W75" s="80">
        <f t="shared" si="59"/>
        <v>0.51</v>
      </c>
      <c r="X75" s="80">
        <f t="shared" si="60"/>
        <v>0.51</v>
      </c>
      <c r="Z75" s="81">
        <f t="shared" si="50"/>
        <v>0.51</v>
      </c>
      <c r="AA75" s="82">
        <f>INDEX('Table_Previous FAR'!$B$5:$K$83,MATCH(Calculation!D75,'Table_Previous FAR'!$B$5:$B$83,0),MATCH(Calculation!$AA$7,'Table_Previous FAR'!$B$5:$K$5,))</f>
        <v>0.51</v>
      </c>
      <c r="AB75" s="73">
        <f>INDEX(Parameter!$C$19:$L$97, MATCH(Calculation!$D75,Parameter!$C$19:$C$97,0),MATCH(Calculation!AB$7,Parameter!$C$19:$L$19,0))</f>
        <v>129039148</v>
      </c>
      <c r="AC75" s="73">
        <f>INDEX(Parameter!$C$19:$L$97, MATCH(Calculation!$D75,Parameter!$C$19:$C$97,0),MATCH(Calculation!AC$7,Parameter!$C$19:$L$19,0))</f>
        <v>65498019</v>
      </c>
      <c r="AD75" s="73">
        <f>INDEX(Parameter!$C$19:$L$97, MATCH(Calculation!$D75,Parameter!$C$19:$C$97,0),MATCH(Calculation!AD$7,Parameter!$C$19:$L$19,0))</f>
        <v>63541129</v>
      </c>
      <c r="AE75" s="73">
        <f t="shared" si="51"/>
        <v>65809965.480000004</v>
      </c>
      <c r="AF75" s="32">
        <f t="shared" si="52"/>
        <v>63229182.519999996</v>
      </c>
      <c r="AG75" s="185">
        <f t="shared" si="53"/>
        <v>311946.48000000417</v>
      </c>
      <c r="AH75" s="186">
        <f t="shared" si="54"/>
        <v>-311946.48000000417</v>
      </c>
      <c r="AI75" s="179">
        <f t="shared" si="61"/>
        <v>4.7626857233652236E-3</v>
      </c>
      <c r="AJ75" s="83">
        <f t="shared" si="62"/>
        <v>-4.909363193719837E-3</v>
      </c>
      <c r="AK75" s="81">
        <f t="shared" si="63"/>
        <v>-4.8619129569815031E-3</v>
      </c>
      <c r="AL75" s="82">
        <f t="shared" si="64"/>
        <v>-4.8619129569815031E-3</v>
      </c>
      <c r="AM75" s="42" t="str">
        <f t="shared" si="55"/>
        <v>Tauranga City</v>
      </c>
      <c r="AN75" s="206">
        <f t="shared" si="65"/>
        <v>0.51</v>
      </c>
      <c r="AO75" s="202">
        <f t="shared" si="66"/>
        <v>0.51</v>
      </c>
      <c r="AQ75" s="84"/>
      <c r="AR75" s="84"/>
      <c r="AS75" s="84"/>
      <c r="AT75" s="84">
        <f>MIN(AD41,AF41)</f>
        <v>14758067.52</v>
      </c>
      <c r="AU75" s="84">
        <f>AF41-AT75</f>
        <v>0</v>
      </c>
      <c r="AV75" s="84">
        <f>AD41-AT75</f>
        <v>150711.48000000045</v>
      </c>
    </row>
    <row r="76" spans="2:48" x14ac:dyDescent="0.25">
      <c r="B76" s="85">
        <f t="shared" si="41"/>
        <v>69</v>
      </c>
      <c r="C76" s="86">
        <v>84</v>
      </c>
      <c r="D76" s="7" t="str">
        <f>INDEX(Parameter!$B$19:$C$97,MATCH(Calculation!$C76,Parameter!$B$19:$B$97,0),MATCH(Calculation!D$7,Parameter!$B$19:$C$19,0))</f>
        <v>Bay of Plenty Regional</v>
      </c>
      <c r="E76" s="73">
        <f>INDEX(Parameter!$B$19:$H$97,MATCH(Calculation!$C76,Parameter!$B$19:$B$97,0),MATCH(Calculation!E$7,Parameter!$B$19:$H$19,0))</f>
        <v>136926</v>
      </c>
      <c r="F76" s="74">
        <f>INDEX(Parameter!$B$19:$H$97,MATCH(Calculation!$C76,Parameter!$B$19:$B$97,0),MATCH(Calculation!F$7,Parameter!$B$19:$H$19,0))</f>
        <v>1021.0700185575139</v>
      </c>
      <c r="G76" s="75">
        <f>INDEX(Parameter!$B$19:$H$97,MATCH(Calculation!$C76,Parameter!$B$19:$B$97,0),MATCH(Calculation!G$7,Parameter!$B$19:$H$19,0))</f>
        <v>3.3805031346966232E-8</v>
      </c>
      <c r="H76" s="76">
        <f t="shared" si="42"/>
        <v>1.1975904201867604</v>
      </c>
      <c r="I76" s="77">
        <f t="shared" si="43"/>
        <v>0.11587989294633987</v>
      </c>
      <c r="J76" s="78">
        <f t="shared" si="44"/>
        <v>-0.66544702988016036</v>
      </c>
      <c r="K76" s="76">
        <f t="shared" si="45"/>
        <v>5.4789238795412736</v>
      </c>
      <c r="L76" s="77">
        <f t="shared" si="46"/>
        <v>2.1832646112086187</v>
      </c>
      <c r="M76" s="77">
        <f t="shared" si="47"/>
        <v>0.17807657800233923</v>
      </c>
      <c r="N76" s="77">
        <f t="shared" si="48"/>
        <v>7.8402650687522319</v>
      </c>
      <c r="O76" s="78">
        <f t="shared" si="49"/>
        <v>-1.5085556048172135</v>
      </c>
      <c r="P76" s="61"/>
      <c r="T76" s="79">
        <f t="shared" si="56"/>
        <v>0.39</v>
      </c>
      <c r="U76" s="80">
        <f t="shared" si="57"/>
        <v>0.75</v>
      </c>
      <c r="V76" s="80">
        <f t="shared" si="58"/>
        <v>0.39</v>
      </c>
      <c r="W76" s="80">
        <f t="shared" si="59"/>
        <v>0.51</v>
      </c>
      <c r="X76" s="80">
        <f t="shared" si="60"/>
        <v>0.51</v>
      </c>
      <c r="Z76" s="81">
        <f t="shared" si="50"/>
        <v>0.51</v>
      </c>
      <c r="AA76" s="82">
        <f>INDEX('Table_Previous FAR'!$B$5:$K$83,MATCH(Calculation!D76,'Table_Previous FAR'!$B$5:$B$83,0),MATCH(Calculation!$AA$7,'Table_Previous FAR'!$B$5:$K$5,))</f>
        <v>0.51</v>
      </c>
      <c r="AB76" s="73">
        <f>INDEX(Parameter!$C$19:$L$97, MATCH(Calculation!$D76,Parameter!$C$19:$C$97,0),MATCH(Calculation!AB$7,Parameter!$C$19:$L$19,0))</f>
        <v>58827245</v>
      </c>
      <c r="AC76" s="73">
        <f>INDEX(Parameter!$C$19:$L$97, MATCH(Calculation!$D76,Parameter!$C$19:$C$97,0),MATCH(Calculation!AC$7,Parameter!$C$19:$L$19,0))</f>
        <v>30485708</v>
      </c>
      <c r="AD76" s="73">
        <f>INDEX(Parameter!$C$19:$L$97, MATCH(Calculation!$D76,Parameter!$C$19:$C$97,0),MATCH(Calculation!AD$7,Parameter!$C$19:$L$19,0))</f>
        <v>28341537</v>
      </c>
      <c r="AE76" s="73">
        <f t="shared" si="51"/>
        <v>30001894.949999999</v>
      </c>
      <c r="AF76" s="32">
        <f t="shared" si="52"/>
        <v>28825350.050000001</v>
      </c>
      <c r="AG76" s="185">
        <f t="shared" si="53"/>
        <v>-483813.05000000075</v>
      </c>
      <c r="AH76" s="186">
        <f t="shared" si="54"/>
        <v>483813.05000000075</v>
      </c>
      <c r="AI76" s="179">
        <f t="shared" si="61"/>
        <v>-1.5870159551485592E-2</v>
      </c>
      <c r="AJ76" s="83">
        <f t="shared" si="62"/>
        <v>1.7070812002891754E-2</v>
      </c>
      <c r="AK76" s="81">
        <f t="shared" si="63"/>
        <v>7.5405785522943301E-3</v>
      </c>
      <c r="AL76" s="82">
        <f t="shared" si="64"/>
        <v>7.5405785522943301E-3</v>
      </c>
      <c r="AM76" s="42" t="str">
        <f t="shared" si="55"/>
        <v>Bay of Plenty Regional</v>
      </c>
      <c r="AN76" s="206">
        <f t="shared" si="65"/>
        <v>0.51</v>
      </c>
      <c r="AO76" s="202">
        <f t="shared" si="66"/>
        <v>0.51</v>
      </c>
      <c r="AQ76" s="84">
        <f>MIN(AC42,AE42)</f>
        <v>55110240.640000001</v>
      </c>
      <c r="AR76" s="84">
        <f>AE42-AQ76</f>
        <v>0</v>
      </c>
      <c r="AS76" s="84">
        <f>AC42-AQ76</f>
        <v>781544.3599999994</v>
      </c>
      <c r="AT76" s="84"/>
      <c r="AU76" s="84"/>
      <c r="AV76" s="84"/>
    </row>
    <row r="77" spans="2:48" x14ac:dyDescent="0.25">
      <c r="B77" s="85">
        <f t="shared" si="41"/>
        <v>70</v>
      </c>
      <c r="C77" s="86">
        <v>59</v>
      </c>
      <c r="D77" s="7" t="str">
        <f>INDEX(Parameter!$B$19:$C$97,MATCH(Calculation!$C77,Parameter!$B$19:$B$97,0),MATCH(Calculation!D$7,Parameter!$B$19:$C$19,0))</f>
        <v>Selwyn District</v>
      </c>
      <c r="E77" s="73">
        <f>INDEX(Parameter!$B$19:$H$97,MATCH(Calculation!$C77,Parameter!$B$19:$B$97,0),MATCH(Calculation!E$7,Parameter!$B$19:$H$19,0))</f>
        <v>26797</v>
      </c>
      <c r="F77" s="74">
        <f>INDEX(Parameter!$B$19:$H$97,MATCH(Calculation!$C77,Parameter!$B$19:$B$97,0),MATCH(Calculation!F$7,Parameter!$B$19:$H$19,0))</f>
        <v>908.83963571569984</v>
      </c>
      <c r="G77" s="75">
        <f>INDEX(Parameter!$B$19:$H$97,MATCH(Calculation!$C77,Parameter!$B$19:$B$97,0),MATCH(Calculation!G$7,Parameter!$B$19:$H$19,0))</f>
        <v>1.10627784872455E-7</v>
      </c>
      <c r="H77" s="76">
        <f t="shared" si="42"/>
        <v>-0.21331969261339306</v>
      </c>
      <c r="I77" s="77">
        <f t="shared" si="43"/>
        <v>-2.0673847182622787</v>
      </c>
      <c r="J77" s="78">
        <f t="shared" si="44"/>
        <v>-0.11688034243958212</v>
      </c>
      <c r="K77" s="76">
        <f t="shared" si="45"/>
        <v>6.8898339923414262</v>
      </c>
      <c r="L77" s="77">
        <f t="shared" si="46"/>
        <v>0</v>
      </c>
      <c r="M77" s="77">
        <f t="shared" si="47"/>
        <v>0.72664326544291746</v>
      </c>
      <c r="N77" s="77">
        <f t="shared" si="48"/>
        <v>7.6164772577843438</v>
      </c>
      <c r="O77" s="78">
        <f t="shared" si="49"/>
        <v>-1.7323434157851016</v>
      </c>
      <c r="P77" s="61"/>
      <c r="T77" s="79">
        <f t="shared" si="56"/>
        <v>0.37</v>
      </c>
      <c r="U77" s="80">
        <f t="shared" si="57"/>
        <v>0.75</v>
      </c>
      <c r="V77" s="80">
        <f t="shared" si="58"/>
        <v>0.37</v>
      </c>
      <c r="W77" s="80">
        <f t="shared" si="59"/>
        <v>0.51</v>
      </c>
      <c r="X77" s="80">
        <f t="shared" si="60"/>
        <v>0.51</v>
      </c>
      <c r="Z77" s="81">
        <f t="shared" si="50"/>
        <v>0.51</v>
      </c>
      <c r="AA77" s="82">
        <f>INDEX('Table_Previous FAR'!$B$5:$K$83,MATCH(Calculation!D77,'Table_Previous FAR'!$B$5:$B$83,0),MATCH(Calculation!$AA$7,'Table_Previous FAR'!$B$5:$K$5,))</f>
        <v>0.51</v>
      </c>
      <c r="AB77" s="73">
        <f>INDEX(Parameter!$C$19:$L$97, MATCH(Calculation!$D77,Parameter!$C$19:$C$97,0),MATCH(Calculation!AB$7,Parameter!$C$19:$L$19,0))</f>
        <v>52683009</v>
      </c>
      <c r="AC77" s="73">
        <f>INDEX(Parameter!$C$19:$L$97, MATCH(Calculation!$D77,Parameter!$C$19:$C$97,0),MATCH(Calculation!AC$7,Parameter!$C$19:$L$19,0))</f>
        <v>27378999</v>
      </c>
      <c r="AD77" s="73">
        <f>INDEX(Parameter!$C$19:$L$97, MATCH(Calculation!$D77,Parameter!$C$19:$C$97,0),MATCH(Calculation!AD$7,Parameter!$C$19:$L$19,0))</f>
        <v>25304010</v>
      </c>
      <c r="AE77" s="73">
        <f t="shared" si="51"/>
        <v>26868334.59</v>
      </c>
      <c r="AF77" s="32">
        <f t="shared" si="52"/>
        <v>25814674.41</v>
      </c>
      <c r="AG77" s="185">
        <f t="shared" si="53"/>
        <v>-510664.41000000015</v>
      </c>
      <c r="AH77" s="186">
        <f t="shared" si="54"/>
        <v>510664.41000000015</v>
      </c>
      <c r="AI77" s="179">
        <f t="shared" si="61"/>
        <v>-1.8651682992500935E-2</v>
      </c>
      <c r="AJ77" s="83">
        <f t="shared" si="62"/>
        <v>2.0181165356795233E-2</v>
      </c>
      <c r="AK77" s="81">
        <f t="shared" si="63"/>
        <v>7.9590765430284146E-3</v>
      </c>
      <c r="AL77" s="82">
        <f t="shared" si="64"/>
        <v>7.9590765430284146E-3</v>
      </c>
      <c r="AM77" s="42" t="str">
        <f t="shared" si="55"/>
        <v>Selwyn District</v>
      </c>
      <c r="AN77" s="206">
        <f t="shared" si="65"/>
        <v>0.51</v>
      </c>
      <c r="AO77" s="202">
        <f t="shared" si="66"/>
        <v>0.51</v>
      </c>
      <c r="AQ77" s="84"/>
      <c r="AR77" s="84"/>
      <c r="AS77" s="84"/>
      <c r="AT77" s="84">
        <f>MIN(AD42,AF42)</f>
        <v>50089447</v>
      </c>
      <c r="AU77" s="84">
        <f>AF42-AT77</f>
        <v>781544.3599999994</v>
      </c>
      <c r="AV77" s="84">
        <f>AD42-AT77</f>
        <v>0</v>
      </c>
    </row>
    <row r="78" spans="2:48" x14ac:dyDescent="0.25">
      <c r="B78" s="85">
        <f t="shared" si="41"/>
        <v>71</v>
      </c>
      <c r="C78" s="86">
        <v>93</v>
      </c>
      <c r="D78" s="7" t="str">
        <f>INDEX(Parameter!$B$19:$C$97,MATCH(Calculation!$C78,Parameter!$B$19:$B$97,0),MATCH(Calculation!D$7,Parameter!$B$19:$C$19,0))</f>
        <v>Otago Regional</v>
      </c>
      <c r="E78" s="73">
        <f>INDEX(Parameter!$B$19:$H$97,MATCH(Calculation!$C78,Parameter!$B$19:$B$97,0),MATCH(Calculation!E$7,Parameter!$B$19:$H$19,0))</f>
        <v>119451</v>
      </c>
      <c r="F78" s="74">
        <f>INDEX(Parameter!$B$19:$H$97,MATCH(Calculation!$C78,Parameter!$B$19:$B$97,0),MATCH(Calculation!F$7,Parameter!$B$19:$H$19,0))</f>
        <v>973.19230260722406</v>
      </c>
      <c r="G78" s="75">
        <f>INDEX(Parameter!$B$19:$H$97,MATCH(Calculation!$C78,Parameter!$B$19:$B$97,0),MATCH(Calculation!G$7,Parameter!$B$19:$H$19,0))</f>
        <v>9.3451020983770376E-8</v>
      </c>
      <c r="H78" s="76">
        <f t="shared" si="42"/>
        <v>0.97371065898687037</v>
      </c>
      <c r="I78" s="77">
        <f t="shared" si="43"/>
        <v>-0.81550535455030504</v>
      </c>
      <c r="J78" s="78">
        <f t="shared" si="44"/>
        <v>-0.23953411407559064</v>
      </c>
      <c r="K78" s="76">
        <f t="shared" si="45"/>
        <v>5.7028036407411635</v>
      </c>
      <c r="L78" s="77">
        <f t="shared" si="46"/>
        <v>1.2518793637119736</v>
      </c>
      <c r="M78" s="77">
        <f t="shared" si="47"/>
        <v>0.60398949380690892</v>
      </c>
      <c r="N78" s="77">
        <f t="shared" si="48"/>
        <v>7.5586724982600462</v>
      </c>
      <c r="O78" s="78">
        <f t="shared" si="49"/>
        <v>-1.7901481753093993</v>
      </c>
      <c r="P78" s="61"/>
      <c r="T78" s="79">
        <f t="shared" si="56"/>
        <v>0.37</v>
      </c>
      <c r="U78" s="80">
        <f t="shared" si="57"/>
        <v>0.75</v>
      </c>
      <c r="V78" s="80">
        <f t="shared" si="58"/>
        <v>0.37</v>
      </c>
      <c r="W78" s="80">
        <f t="shared" si="59"/>
        <v>0.51</v>
      </c>
      <c r="X78" s="80">
        <f t="shared" si="60"/>
        <v>0.51</v>
      </c>
      <c r="Z78" s="81">
        <f t="shared" si="50"/>
        <v>0.51</v>
      </c>
      <c r="AA78" s="82">
        <f>INDEX('Table_Previous FAR'!$B$5:$K$83,MATCH(Calculation!D78,'Table_Previous FAR'!$B$5:$B$83,0),MATCH(Calculation!$AA$7,'Table_Previous FAR'!$B$5:$K$5,))</f>
        <v>0.51</v>
      </c>
      <c r="AB78" s="73">
        <f>INDEX(Parameter!$C$19:$L$97, MATCH(Calculation!$D78,Parameter!$C$19:$C$97,0),MATCH(Calculation!AB$7,Parameter!$C$19:$L$19,0))</f>
        <v>58952890</v>
      </c>
      <c r="AC78" s="73">
        <f>INDEX(Parameter!$C$19:$L$97, MATCH(Calculation!$D78,Parameter!$C$19:$C$97,0),MATCH(Calculation!AC$7,Parameter!$C$19:$L$19,0))</f>
        <v>30967901</v>
      </c>
      <c r="AD78" s="73">
        <f>INDEX(Parameter!$C$19:$L$97, MATCH(Calculation!$D78,Parameter!$C$19:$C$97,0),MATCH(Calculation!AD$7,Parameter!$C$19:$L$19,0))</f>
        <v>27984989</v>
      </c>
      <c r="AE78" s="73">
        <f t="shared" si="51"/>
        <v>30065973.900000002</v>
      </c>
      <c r="AF78" s="32">
        <f t="shared" si="52"/>
        <v>28886916.099999998</v>
      </c>
      <c r="AG78" s="185">
        <f t="shared" si="53"/>
        <v>-901927.09999999776</v>
      </c>
      <c r="AH78" s="186">
        <f t="shared" si="54"/>
        <v>901927.09999999776</v>
      </c>
      <c r="AI78" s="179">
        <f t="shared" si="61"/>
        <v>-2.9124579673643292E-2</v>
      </c>
      <c r="AJ78" s="83">
        <f t="shared" si="62"/>
        <v>3.2228960318690769E-2</v>
      </c>
      <c r="AK78" s="81">
        <f t="shared" si="63"/>
        <v>1.4057190367215179E-2</v>
      </c>
      <c r="AL78" s="82">
        <f t="shared" si="64"/>
        <v>1.4057190367215179E-2</v>
      </c>
      <c r="AM78" s="42" t="str">
        <f t="shared" si="55"/>
        <v>Otago Regional</v>
      </c>
      <c r="AN78" s="206">
        <f t="shared" si="65"/>
        <v>0.51</v>
      </c>
      <c r="AO78" s="202">
        <f t="shared" si="66"/>
        <v>0.51</v>
      </c>
      <c r="AQ78" s="84">
        <f>MIN(AC43,AE43)</f>
        <v>30612070.32</v>
      </c>
      <c r="AR78" s="84">
        <f>AE43-AQ78</f>
        <v>0</v>
      </c>
      <c r="AS78" s="84">
        <f>AC43-AQ78</f>
        <v>1515562.6799999997</v>
      </c>
      <c r="AT78" s="84"/>
      <c r="AU78" s="84"/>
      <c r="AV78" s="84"/>
    </row>
    <row r="79" spans="2:48" x14ac:dyDescent="0.25">
      <c r="B79" s="85">
        <f t="shared" si="41"/>
        <v>72</v>
      </c>
      <c r="C79" s="86">
        <v>69</v>
      </c>
      <c r="D79" s="7" t="str">
        <f>INDEX(Parameter!$B$19:$C$97,MATCH(Calculation!$C79,Parameter!$B$19:$B$97,0),MATCH(Calculation!D$7,Parameter!$B$19:$C$19,0))</f>
        <v>Queenstown-Lakes District</v>
      </c>
      <c r="E79" s="73">
        <f>INDEX(Parameter!$B$19:$H$97,MATCH(Calculation!$C79,Parameter!$B$19:$B$97,0),MATCH(Calculation!E$7,Parameter!$B$19:$H$19,0))</f>
        <v>26191</v>
      </c>
      <c r="F79" s="74">
        <f>INDEX(Parameter!$B$19:$H$97,MATCH(Calculation!$C79,Parameter!$B$19:$B$97,0),MATCH(Calculation!F$7,Parameter!$B$19:$H$19,0))</f>
        <v>914.22624885075084</v>
      </c>
      <c r="G79" s="75">
        <f>INDEX(Parameter!$B$19:$H$97,MATCH(Calculation!$C79,Parameter!$B$19:$B$97,0),MATCH(Calculation!G$7,Parameter!$B$19:$H$19,0))</f>
        <v>2.2496406143394144E-8</v>
      </c>
      <c r="H79" s="76">
        <f t="shared" si="42"/>
        <v>-0.22108341995457381</v>
      </c>
      <c r="I79" s="77">
        <f t="shared" si="43"/>
        <v>-1.9625966783907196</v>
      </c>
      <c r="J79" s="78">
        <f t="shared" si="44"/>
        <v>-0.74619830190235259</v>
      </c>
      <c r="K79" s="76">
        <f t="shared" si="45"/>
        <v>6.897597719682607</v>
      </c>
      <c r="L79" s="77">
        <f t="shared" si="46"/>
        <v>0.10478803987155905</v>
      </c>
      <c r="M79" s="77">
        <f t="shared" si="47"/>
        <v>9.7325305980146992E-2</v>
      </c>
      <c r="N79" s="77">
        <f t="shared" si="48"/>
        <v>7.0997110655343123</v>
      </c>
      <c r="O79" s="78">
        <f t="shared" si="49"/>
        <v>-2.2491096080351332</v>
      </c>
      <c r="P79" s="61"/>
      <c r="T79" s="79">
        <f t="shared" si="56"/>
        <v>0.33</v>
      </c>
      <c r="U79" s="80">
        <f t="shared" si="57"/>
        <v>0.75</v>
      </c>
      <c r="V79" s="80">
        <f t="shared" si="58"/>
        <v>0.33</v>
      </c>
      <c r="W79" s="80">
        <f t="shared" si="59"/>
        <v>0.51</v>
      </c>
      <c r="X79" s="80">
        <f t="shared" si="60"/>
        <v>0.51</v>
      </c>
      <c r="Z79" s="81">
        <f t="shared" si="50"/>
        <v>0.51</v>
      </c>
      <c r="AA79" s="82">
        <f>INDEX('Table_Previous FAR'!$B$5:$K$83,MATCH(Calculation!D79,'Table_Previous FAR'!$B$5:$B$83,0),MATCH(Calculation!$AA$7,'Table_Previous FAR'!$B$5:$K$5,))</f>
        <v>0.51</v>
      </c>
      <c r="AB79" s="73">
        <f>INDEX(Parameter!$C$19:$L$97, MATCH(Calculation!$D79,Parameter!$C$19:$C$97,0),MATCH(Calculation!AB$7,Parameter!$C$19:$L$19,0))</f>
        <v>66750521</v>
      </c>
      <c r="AC79" s="73">
        <f>INDEX(Parameter!$C$19:$L$97, MATCH(Calculation!$D79,Parameter!$C$19:$C$97,0),MATCH(Calculation!AC$7,Parameter!$C$19:$L$19,0))</f>
        <v>36119281</v>
      </c>
      <c r="AD79" s="73">
        <f>INDEX(Parameter!$C$19:$L$97, MATCH(Calculation!$D79,Parameter!$C$19:$C$97,0),MATCH(Calculation!AD$7,Parameter!$C$19:$L$19,0))</f>
        <v>30631240</v>
      </c>
      <c r="AE79" s="73">
        <f t="shared" si="51"/>
        <v>34042765.710000001</v>
      </c>
      <c r="AF79" s="32">
        <f t="shared" si="52"/>
        <v>32707755.289999999</v>
      </c>
      <c r="AG79" s="185">
        <f t="shared" si="53"/>
        <v>-2076515.2899999991</v>
      </c>
      <c r="AH79" s="186">
        <f t="shared" si="54"/>
        <v>2076515.2899999991</v>
      </c>
      <c r="AI79" s="179">
        <f t="shared" si="61"/>
        <v>-5.7490493512315465E-2</v>
      </c>
      <c r="AJ79" s="83">
        <f t="shared" si="62"/>
        <v>6.7790768183070588E-2</v>
      </c>
      <c r="AK79" s="81">
        <f t="shared" si="63"/>
        <v>3.2364002292383821E-2</v>
      </c>
      <c r="AL79" s="82">
        <f t="shared" si="64"/>
        <v>3.2364002292383821E-2</v>
      </c>
      <c r="AM79" s="42" t="str">
        <f t="shared" si="55"/>
        <v>Queenstown-Lakes District</v>
      </c>
      <c r="AN79" s="206">
        <f t="shared" si="65"/>
        <v>0.51</v>
      </c>
      <c r="AO79" s="202">
        <f t="shared" si="66"/>
        <v>0.51</v>
      </c>
      <c r="AQ79" s="84"/>
      <c r="AR79" s="84"/>
      <c r="AS79" s="84"/>
      <c r="AT79" s="84">
        <f>MIN(AD43,AF43)</f>
        <v>26741733</v>
      </c>
      <c r="AU79" s="84">
        <f>AF43-AT79</f>
        <v>1515562.6799999997</v>
      </c>
      <c r="AV79" s="84">
        <f>AD43-AT79</f>
        <v>0</v>
      </c>
    </row>
    <row r="80" spans="2:48" x14ac:dyDescent="0.25">
      <c r="B80" s="85">
        <f t="shared" si="41"/>
        <v>73</v>
      </c>
      <c r="C80" s="86">
        <v>49</v>
      </c>
      <c r="D80" s="7" t="str">
        <f>INDEX(Parameter!$B$19:$C$97,MATCH(Calculation!$C80,Parameter!$B$19:$B$97,0),MATCH(Calculation!D$7,Parameter!$B$19:$C$19,0))</f>
        <v>Wellington City</v>
      </c>
      <c r="E80" s="73">
        <f>INDEX(Parameter!$B$19:$H$97,MATCH(Calculation!$C80,Parameter!$B$19:$B$97,0),MATCH(Calculation!E$7,Parameter!$B$19:$H$19,0))</f>
        <v>78731</v>
      </c>
      <c r="F80" s="74">
        <f>INDEX(Parameter!$B$19:$H$97,MATCH(Calculation!$C80,Parameter!$B$19:$B$97,0),MATCH(Calculation!F$7,Parameter!$B$19:$H$19,0))</f>
        <v>953.78374818717259</v>
      </c>
      <c r="G80" s="75">
        <f>INDEX(Parameter!$B$19:$H$97,MATCH(Calculation!$C80,Parameter!$B$19:$B$97,0),MATCH(Calculation!G$7,Parameter!$B$19:$H$19,0))</f>
        <v>8.866708671260421E-9</v>
      </c>
      <c r="H80" s="76">
        <f t="shared" si="42"/>
        <v>0.45202917823954458</v>
      </c>
      <c r="I80" s="77">
        <f t="shared" si="43"/>
        <v>-1.1930680870925268</v>
      </c>
      <c r="J80" s="78">
        <f t="shared" si="44"/>
        <v>-0.84352360788249958</v>
      </c>
      <c r="K80" s="76">
        <f t="shared" si="45"/>
        <v>6.2244851214884891</v>
      </c>
      <c r="L80" s="77">
        <f t="shared" si="46"/>
        <v>0.87431663116975189</v>
      </c>
      <c r="M80" s="77">
        <f t="shared" si="47"/>
        <v>0</v>
      </c>
      <c r="N80" s="77">
        <f t="shared" si="48"/>
        <v>7.0988017526582414</v>
      </c>
      <c r="O80" s="78">
        <f t="shared" si="49"/>
        <v>-2.250018920911204</v>
      </c>
      <c r="P80" s="61"/>
      <c r="T80" s="79">
        <f t="shared" si="56"/>
        <v>0.33</v>
      </c>
      <c r="U80" s="80">
        <f t="shared" si="57"/>
        <v>0.75</v>
      </c>
      <c r="V80" s="80">
        <f t="shared" si="58"/>
        <v>0.33</v>
      </c>
      <c r="W80" s="80">
        <f t="shared" si="59"/>
        <v>0.51</v>
      </c>
      <c r="X80" s="80">
        <f t="shared" si="60"/>
        <v>0.51</v>
      </c>
      <c r="Z80" s="81">
        <f t="shared" si="50"/>
        <v>0.51</v>
      </c>
      <c r="AA80" s="82">
        <f>INDEX('Table_Previous FAR'!$B$5:$K$83,MATCH(Calculation!D80,'Table_Previous FAR'!$B$5:$B$83,0),MATCH(Calculation!$AA$7,'Table_Previous FAR'!$B$5:$K$5,))</f>
        <v>0.51</v>
      </c>
      <c r="AB80" s="73">
        <f>INDEX(Parameter!$C$19:$L$97, MATCH(Calculation!$D80,Parameter!$C$19:$C$97,0),MATCH(Calculation!AB$7,Parameter!$C$19:$L$19,0))</f>
        <v>173072491</v>
      </c>
      <c r="AC80" s="73">
        <f>INDEX(Parameter!$C$19:$L$97, MATCH(Calculation!$D80,Parameter!$C$19:$C$97,0),MATCH(Calculation!AC$7,Parameter!$C$19:$L$19,0))</f>
        <v>92531251</v>
      </c>
      <c r="AD80" s="73">
        <f>INDEX(Parameter!$C$19:$L$97, MATCH(Calculation!$D80,Parameter!$C$19:$C$97,0),MATCH(Calculation!AD$7,Parameter!$C$19:$L$19,0))</f>
        <v>80541240</v>
      </c>
      <c r="AE80" s="73">
        <f t="shared" si="51"/>
        <v>88266970.409999996</v>
      </c>
      <c r="AF80" s="32">
        <f t="shared" si="52"/>
        <v>84805520.590000004</v>
      </c>
      <c r="AG80" s="185">
        <f t="shared" si="53"/>
        <v>-4264280.5900000036</v>
      </c>
      <c r="AH80" s="186">
        <f t="shared" si="54"/>
        <v>4264280.5900000036</v>
      </c>
      <c r="AI80" s="179">
        <f t="shared" si="61"/>
        <v>-4.6084761028465981E-2</v>
      </c>
      <c r="AJ80" s="83">
        <f t="shared" si="62"/>
        <v>5.2945305907880283E-2</v>
      </c>
      <c r="AK80" s="81">
        <f t="shared" si="63"/>
        <v>6.6461916969620782E-2</v>
      </c>
      <c r="AL80" s="82">
        <f t="shared" si="64"/>
        <v>6.6461916969620782E-2</v>
      </c>
      <c r="AM80" s="42" t="str">
        <f t="shared" si="55"/>
        <v>Wellington City</v>
      </c>
      <c r="AN80" s="206">
        <f t="shared" si="65"/>
        <v>0.51</v>
      </c>
      <c r="AO80" s="202">
        <f t="shared" si="66"/>
        <v>0.51</v>
      </c>
      <c r="AQ80" s="84">
        <f>MIN(AC44,AE44)</f>
        <v>468025.48000000004</v>
      </c>
      <c r="AR80" s="84">
        <f>AE44-AQ80</f>
        <v>0</v>
      </c>
      <c r="AS80" s="84">
        <f>AC44-AQ80</f>
        <v>89395.51999999996</v>
      </c>
      <c r="AT80" s="84"/>
      <c r="AU80" s="84"/>
      <c r="AV80" s="84"/>
    </row>
    <row r="81" spans="2:48" x14ac:dyDescent="0.25">
      <c r="B81" s="85">
        <f t="shared" si="41"/>
        <v>74</v>
      </c>
      <c r="C81" s="86">
        <v>83</v>
      </c>
      <c r="D81" s="7" t="str">
        <f>INDEX(Parameter!$B$19:$C$97,MATCH(Calculation!$C81,Parameter!$B$19:$B$97,0),MATCH(Calculation!D$7,Parameter!$B$19:$C$19,0))</f>
        <v>Waikato Regional</v>
      </c>
      <c r="E81" s="73">
        <f>INDEX(Parameter!$B$19:$H$97,MATCH(Calculation!$C81,Parameter!$B$19:$B$97,0),MATCH(Calculation!E$7,Parameter!$B$19:$H$19,0))</f>
        <v>212402</v>
      </c>
      <c r="F81" s="74">
        <f>INDEX(Parameter!$B$19:$H$97,MATCH(Calculation!$C81,Parameter!$B$19:$B$97,0),MATCH(Calculation!F$7,Parameter!$B$19:$H$19,0))</f>
        <v>1018.6032649936983</v>
      </c>
      <c r="G81" s="75">
        <f>INDEX(Parameter!$B$19:$H$97,MATCH(Calculation!$C81,Parameter!$B$19:$B$97,0),MATCH(Calculation!G$7,Parameter!$B$19:$H$19,0))</f>
        <v>5.410134393739367E-8</v>
      </c>
      <c r="H81" s="76">
        <f t="shared" si="42"/>
        <v>2.164546005670188</v>
      </c>
      <c r="I81" s="77">
        <f t="shared" si="43"/>
        <v>6.7893103415004596E-2</v>
      </c>
      <c r="J81" s="78">
        <f t="shared" si="44"/>
        <v>-0.5205175597161521</v>
      </c>
      <c r="K81" s="76">
        <f t="shared" si="45"/>
        <v>4.5119682940578461</v>
      </c>
      <c r="L81" s="77">
        <f t="shared" si="46"/>
        <v>2.1352778216772834</v>
      </c>
      <c r="M81" s="77">
        <f t="shared" si="47"/>
        <v>0.32300604816634748</v>
      </c>
      <c r="N81" s="77">
        <f t="shared" si="48"/>
        <v>6.9702521639014767</v>
      </c>
      <c r="O81" s="78">
        <f t="shared" si="49"/>
        <v>-2.3785685096679687</v>
      </c>
      <c r="P81" s="61"/>
      <c r="T81" s="79">
        <f t="shared" si="56"/>
        <v>0.32</v>
      </c>
      <c r="U81" s="80">
        <f t="shared" si="57"/>
        <v>0.75</v>
      </c>
      <c r="V81" s="80">
        <f t="shared" si="58"/>
        <v>0.32</v>
      </c>
      <c r="W81" s="80">
        <f t="shared" si="59"/>
        <v>0.51</v>
      </c>
      <c r="X81" s="80">
        <f t="shared" si="60"/>
        <v>0.51</v>
      </c>
      <c r="Z81" s="81">
        <f t="shared" si="50"/>
        <v>0.51</v>
      </c>
      <c r="AA81" s="82">
        <f>INDEX('Table_Previous FAR'!$B$5:$K$83,MATCH(Calculation!D81,'Table_Previous FAR'!$B$5:$B$83,0),MATCH(Calculation!$AA$7,'Table_Previous FAR'!$B$5:$K$5,))</f>
        <v>0.51</v>
      </c>
      <c r="AB81" s="73">
        <f>INDEX(Parameter!$C$19:$L$97, MATCH(Calculation!$D81,Parameter!$C$19:$C$97,0),MATCH(Calculation!AB$7,Parameter!$C$19:$L$19,0))</f>
        <v>78599184</v>
      </c>
      <c r="AC81" s="73">
        <f>INDEX(Parameter!$C$19:$L$97, MATCH(Calculation!$D81,Parameter!$C$19:$C$97,0),MATCH(Calculation!AC$7,Parameter!$C$19:$L$19,0))</f>
        <v>40801701</v>
      </c>
      <c r="AD81" s="73">
        <f>INDEX(Parameter!$C$19:$L$97, MATCH(Calculation!$D81,Parameter!$C$19:$C$97,0),MATCH(Calculation!AD$7,Parameter!$C$19:$L$19,0))</f>
        <v>37797483</v>
      </c>
      <c r="AE81" s="73">
        <f t="shared" si="51"/>
        <v>40085583.840000004</v>
      </c>
      <c r="AF81" s="32">
        <f t="shared" si="52"/>
        <v>38513600.159999996</v>
      </c>
      <c r="AG81" s="185">
        <f t="shared" si="53"/>
        <v>-716117.15999999642</v>
      </c>
      <c r="AH81" s="186">
        <f t="shared" si="54"/>
        <v>716117.15999999642</v>
      </c>
      <c r="AI81" s="179">
        <f t="shared" si="61"/>
        <v>-1.7551159447984691E-2</v>
      </c>
      <c r="AJ81" s="83">
        <f t="shared" si="62"/>
        <v>1.8946159986367252E-2</v>
      </c>
      <c r="AK81" s="81">
        <f t="shared" si="63"/>
        <v>1.1161207201058119E-2</v>
      </c>
      <c r="AL81" s="82">
        <f t="shared" si="64"/>
        <v>1.1161207201058119E-2</v>
      </c>
      <c r="AM81" s="42" t="str">
        <f t="shared" si="55"/>
        <v>Waikato Regional</v>
      </c>
      <c r="AN81" s="206">
        <f t="shared" si="65"/>
        <v>0.51</v>
      </c>
      <c r="AO81" s="202">
        <f t="shared" si="66"/>
        <v>0.51</v>
      </c>
      <c r="AQ81" s="84"/>
      <c r="AR81" s="84"/>
      <c r="AS81" s="84"/>
      <c r="AT81" s="84">
        <f>MIN(AD44,AF44)</f>
        <v>342628</v>
      </c>
      <c r="AU81" s="84">
        <f>AF44-AT81</f>
        <v>89395.51999999996</v>
      </c>
      <c r="AV81" s="84">
        <f>AD44-AT81</f>
        <v>0</v>
      </c>
    </row>
    <row r="82" spans="2:48" x14ac:dyDescent="0.25">
      <c r="B82" s="85">
        <f t="shared" si="41"/>
        <v>75</v>
      </c>
      <c r="C82" s="86">
        <v>56</v>
      </c>
      <c r="D82" s="7" t="str">
        <f>INDEX(Parameter!$B$19:$C$97,MATCH(Calculation!$C82,Parameter!$B$19:$B$97,0),MATCH(Calculation!D$7,Parameter!$B$19:$C$19,0))</f>
        <v>Christchurch City</v>
      </c>
      <c r="E82" s="73">
        <f>INDEX(Parameter!$B$19:$H$97,MATCH(Calculation!$C82,Parameter!$B$19:$B$97,0),MATCH(Calculation!E$7,Parameter!$B$19:$H$19,0))</f>
        <v>173406</v>
      </c>
      <c r="F82" s="74">
        <f>INDEX(Parameter!$B$19:$H$97,MATCH(Calculation!$C82,Parameter!$B$19:$B$97,0),MATCH(Calculation!F$7,Parameter!$B$19:$H$19,0))</f>
        <v>984.30938754938461</v>
      </c>
      <c r="G82" s="75">
        <f>INDEX(Parameter!$B$19:$H$97,MATCH(Calculation!$C82,Parameter!$B$19:$B$97,0),MATCH(Calculation!G$7,Parameter!$B$19:$H$19,0))</f>
        <v>2.1523482247566113E-8</v>
      </c>
      <c r="H82" s="76">
        <f t="shared" si="42"/>
        <v>1.6649514324083332</v>
      </c>
      <c r="I82" s="77">
        <f t="shared" si="43"/>
        <v>-0.59924004813831977</v>
      </c>
      <c r="J82" s="78">
        <f t="shared" si="44"/>
        <v>-0.75314563995225836</v>
      </c>
      <c r="K82" s="76">
        <f t="shared" si="45"/>
        <v>5.0115628673197001</v>
      </c>
      <c r="L82" s="77">
        <f t="shared" si="46"/>
        <v>1.4681446701239589</v>
      </c>
      <c r="M82" s="77">
        <f t="shared" si="47"/>
        <v>9.0377967930241221E-2</v>
      </c>
      <c r="N82" s="77">
        <f t="shared" si="48"/>
        <v>6.5700855053738998</v>
      </c>
      <c r="O82" s="78">
        <f t="shared" si="49"/>
        <v>-2.7787351681955457</v>
      </c>
      <c r="P82" s="61"/>
      <c r="T82" s="79">
        <f t="shared" si="56"/>
        <v>0.28999999999999998</v>
      </c>
      <c r="U82" s="80">
        <f t="shared" si="57"/>
        <v>0.75</v>
      </c>
      <c r="V82" s="80">
        <f t="shared" si="58"/>
        <v>0.28999999999999998</v>
      </c>
      <c r="W82" s="80">
        <f t="shared" si="59"/>
        <v>0.51</v>
      </c>
      <c r="X82" s="80">
        <f t="shared" si="60"/>
        <v>0.51</v>
      </c>
      <c r="Z82" s="81">
        <f t="shared" si="50"/>
        <v>0.51</v>
      </c>
      <c r="AA82" s="82">
        <f>INDEX('Table_Previous FAR'!$B$5:$K$83,MATCH(Calculation!D82,'Table_Previous FAR'!$B$5:$B$83,0),MATCH(Calculation!$AA$7,'Table_Previous FAR'!$B$5:$K$5,))</f>
        <v>0.51</v>
      </c>
      <c r="AB82" s="73">
        <f>INDEX(Parameter!$C$19:$L$97, MATCH(Calculation!$D82,Parameter!$C$19:$C$97,0),MATCH(Calculation!AB$7,Parameter!$C$19:$L$19,0))</f>
        <v>316944892</v>
      </c>
      <c r="AC82" s="73">
        <f>INDEX(Parameter!$C$19:$L$97, MATCH(Calculation!$D82,Parameter!$C$19:$C$97,0),MATCH(Calculation!AC$7,Parameter!$C$19:$L$19,0))</f>
        <v>160091512</v>
      </c>
      <c r="AD82" s="73">
        <f>INDEX(Parameter!$C$19:$L$97, MATCH(Calculation!$D82,Parameter!$C$19:$C$97,0),MATCH(Calculation!AD$7,Parameter!$C$19:$L$19,0))</f>
        <v>156853380</v>
      </c>
      <c r="AE82" s="73">
        <f t="shared" si="51"/>
        <v>161641894.92000002</v>
      </c>
      <c r="AF82" s="32">
        <f t="shared" si="52"/>
        <v>155302997.07999998</v>
      </c>
      <c r="AG82" s="185">
        <f t="shared" si="53"/>
        <v>1550382.9200000167</v>
      </c>
      <c r="AH82" s="186">
        <f t="shared" si="54"/>
        <v>-1550382.9200000167</v>
      </c>
      <c r="AI82" s="179">
        <f t="shared" si="61"/>
        <v>9.6843542835676182E-3</v>
      </c>
      <c r="AJ82" s="83">
        <f t="shared" si="62"/>
        <v>-9.8842812313003174E-3</v>
      </c>
      <c r="AK82" s="81">
        <f t="shared" si="63"/>
        <v>-2.4163846333610808E-2</v>
      </c>
      <c r="AL82" s="82">
        <f t="shared" si="64"/>
        <v>-2.4163846333610808E-2</v>
      </c>
      <c r="AM82" s="42" t="str">
        <f t="shared" si="55"/>
        <v>Christchurch City</v>
      </c>
      <c r="AN82" s="206">
        <f t="shared" si="65"/>
        <v>0.51</v>
      </c>
      <c r="AO82" s="202">
        <f t="shared" si="66"/>
        <v>0.51</v>
      </c>
      <c r="AQ82" s="84">
        <f>MIN(AC45,AE45)</f>
        <v>23169220.949999999</v>
      </c>
      <c r="AR82" s="84">
        <f>AE45-AQ82</f>
        <v>0</v>
      </c>
      <c r="AS82" s="84">
        <f>AC45-AQ82</f>
        <v>1193939.0500000007</v>
      </c>
      <c r="AT82" s="84"/>
      <c r="AU82" s="84"/>
      <c r="AV82" s="84"/>
    </row>
    <row r="83" spans="2:48" x14ac:dyDescent="0.25">
      <c r="B83" s="85">
        <f t="shared" si="41"/>
        <v>76</v>
      </c>
      <c r="C83" s="86">
        <v>89</v>
      </c>
      <c r="D83" s="7" t="str">
        <f>INDEX(Parameter!$B$19:$C$97,MATCH(Calculation!$C83,Parameter!$B$19:$B$97,0),MATCH(Calculation!D$7,Parameter!$B$19:$C$19,0))</f>
        <v>Wellington Regional</v>
      </c>
      <c r="E83" s="73">
        <f>INDEX(Parameter!$B$19:$H$97,MATCH(Calculation!$C83,Parameter!$B$19:$B$97,0),MATCH(Calculation!E$7,Parameter!$B$19:$H$19,0))</f>
        <v>203850</v>
      </c>
      <c r="F83" s="74">
        <f>INDEX(Parameter!$B$19:$H$97,MATCH(Calculation!$C83,Parameter!$B$19:$B$97,0),MATCH(Calculation!F$7,Parameter!$B$19:$H$19,0))</f>
        <v>981.41046026343054</v>
      </c>
      <c r="G83" s="75">
        <f>INDEX(Parameter!$B$19:$H$97,MATCH(Calculation!$C83,Parameter!$B$19:$B$97,0),MATCH(Calculation!G$7,Parameter!$B$19:$H$19,0))</f>
        <v>2.5734010833353161E-8</v>
      </c>
      <c r="H83" s="76">
        <f t="shared" si="42"/>
        <v>2.0549826455682445</v>
      </c>
      <c r="I83" s="77">
        <f t="shared" si="43"/>
        <v>-0.6556340939718025</v>
      </c>
      <c r="J83" s="78">
        <f t="shared" si="44"/>
        <v>-0.72307960335917121</v>
      </c>
      <c r="K83" s="76">
        <f t="shared" si="45"/>
        <v>4.6215316541597886</v>
      </c>
      <c r="L83" s="77">
        <f t="shared" si="46"/>
        <v>1.4117506242904763</v>
      </c>
      <c r="M83" s="77">
        <f t="shared" si="47"/>
        <v>0.12044400452332837</v>
      </c>
      <c r="N83" s="77">
        <f t="shared" si="48"/>
        <v>6.1537262829735937</v>
      </c>
      <c r="O83" s="78">
        <f t="shared" si="49"/>
        <v>-3.1950943905958518</v>
      </c>
      <c r="P83" s="61"/>
      <c r="T83" s="79">
        <f t="shared" si="56"/>
        <v>0.26</v>
      </c>
      <c r="U83" s="80">
        <f t="shared" si="57"/>
        <v>0.75</v>
      </c>
      <c r="V83" s="80">
        <f t="shared" si="58"/>
        <v>0.26</v>
      </c>
      <c r="W83" s="80">
        <f t="shared" si="59"/>
        <v>0.51</v>
      </c>
      <c r="X83" s="80">
        <f t="shared" si="60"/>
        <v>0.51</v>
      </c>
      <c r="Z83" s="81">
        <f t="shared" si="50"/>
        <v>0.51</v>
      </c>
      <c r="AA83" s="82">
        <f>INDEX('Table_Previous FAR'!$B$5:$K$83,MATCH(Calculation!D83,'Table_Previous FAR'!$B$5:$B$83,0),MATCH(Calculation!$AA$7,'Table_Previous FAR'!$B$5:$K$5,))</f>
        <v>0.51</v>
      </c>
      <c r="AB83" s="73">
        <f>INDEX(Parameter!$C$19:$L$97, MATCH(Calculation!$D83,Parameter!$C$19:$C$97,0),MATCH(Calculation!AB$7,Parameter!$C$19:$L$19,0))</f>
        <v>564994040</v>
      </c>
      <c r="AC83" s="73">
        <f>INDEX(Parameter!$C$19:$L$97, MATCH(Calculation!$D83,Parameter!$C$19:$C$97,0),MATCH(Calculation!AC$7,Parameter!$C$19:$L$19,0))</f>
        <v>298186051</v>
      </c>
      <c r="AD83" s="73">
        <f>INDEX(Parameter!$C$19:$L$97, MATCH(Calculation!$D83,Parameter!$C$19:$C$97,0),MATCH(Calculation!AD$7,Parameter!$C$19:$L$19,0))</f>
        <v>266807989</v>
      </c>
      <c r="AE83" s="73">
        <f t="shared" si="51"/>
        <v>288146960.39999998</v>
      </c>
      <c r="AF83" s="32">
        <f t="shared" si="52"/>
        <v>276847079.60000002</v>
      </c>
      <c r="AG83" s="185">
        <f t="shared" si="53"/>
        <v>-10039090.600000024</v>
      </c>
      <c r="AH83" s="186">
        <f t="shared" si="54"/>
        <v>10039090.600000024</v>
      </c>
      <c r="AI83" s="179">
        <f t="shared" si="61"/>
        <v>-3.3667203969913483E-2</v>
      </c>
      <c r="AJ83" s="83">
        <f t="shared" si="62"/>
        <v>3.7626649178035008E-2</v>
      </c>
      <c r="AK83" s="81">
        <f t="shared" si="63"/>
        <v>0.15646653446594647</v>
      </c>
      <c r="AL83" s="82">
        <f t="shared" si="64"/>
        <v>0.15646653446594647</v>
      </c>
      <c r="AM83" s="42" t="str">
        <f t="shared" si="55"/>
        <v>Wellington Regional</v>
      </c>
      <c r="AN83" s="206">
        <f t="shared" si="65"/>
        <v>0.51</v>
      </c>
      <c r="AO83" s="202">
        <f t="shared" si="66"/>
        <v>0.51</v>
      </c>
      <c r="AQ83" s="84"/>
      <c r="AR83" s="84"/>
      <c r="AS83" s="84"/>
      <c r="AT83" s="84">
        <f>MIN(AD45,AF45)</f>
        <v>21066685</v>
      </c>
      <c r="AU83" s="84">
        <f>AF45-AT83</f>
        <v>1193939.0500000007</v>
      </c>
      <c r="AV83" s="84">
        <f>AD45-AT83</f>
        <v>0</v>
      </c>
    </row>
    <row r="84" spans="2:48" x14ac:dyDescent="0.25">
      <c r="B84" s="85">
        <f t="shared" si="41"/>
        <v>77</v>
      </c>
      <c r="C84" s="86">
        <v>91</v>
      </c>
      <c r="D84" s="7" t="str">
        <f>INDEX(Parameter!$B$19:$C$97,MATCH(Calculation!$C84,Parameter!$B$19:$B$97,0),MATCH(Calculation!D$7,Parameter!$B$19:$C$19,0))</f>
        <v>Canterbury Regional</v>
      </c>
      <c r="E84" s="73">
        <f>INDEX(Parameter!$B$19:$H$97,MATCH(Calculation!$C84,Parameter!$B$19:$B$97,0),MATCH(Calculation!E$7,Parameter!$B$19:$H$19,0))</f>
        <v>283615</v>
      </c>
      <c r="F84" s="74">
        <f>INDEX(Parameter!$B$19:$H$97,MATCH(Calculation!$C84,Parameter!$B$19:$B$97,0),MATCH(Calculation!F$7,Parameter!$B$19:$H$19,0))</f>
        <v>971.57486204474765</v>
      </c>
      <c r="G84" s="75">
        <f>INDEX(Parameter!$B$19:$H$97,MATCH(Calculation!$C84,Parameter!$B$19:$B$97,0),MATCH(Calculation!G$7,Parameter!$B$19:$H$19,0))</f>
        <v>7.2092467724620415E-8</v>
      </c>
      <c r="H84" s="76">
        <f t="shared" si="42"/>
        <v>3.0768864597089727</v>
      </c>
      <c r="I84" s="77">
        <f t="shared" si="43"/>
        <v>-0.84697010278844842</v>
      </c>
      <c r="J84" s="78">
        <f t="shared" si="44"/>
        <v>-0.39204870476918835</v>
      </c>
      <c r="K84" s="76">
        <f t="shared" si="45"/>
        <v>3.5996278400190609</v>
      </c>
      <c r="L84" s="77">
        <f t="shared" si="46"/>
        <v>1.2204146154738302</v>
      </c>
      <c r="M84" s="77">
        <f t="shared" si="47"/>
        <v>0.45147490311331123</v>
      </c>
      <c r="N84" s="77">
        <f t="shared" si="48"/>
        <v>5.2715173586062027</v>
      </c>
      <c r="O84" s="78">
        <f t="shared" si="49"/>
        <v>-4.0773033149632427</v>
      </c>
      <c r="P84" s="61"/>
      <c r="T84" s="79">
        <f t="shared" si="56"/>
        <v>0.19</v>
      </c>
      <c r="U84" s="80">
        <f t="shared" si="57"/>
        <v>0.75</v>
      </c>
      <c r="V84" s="80">
        <f t="shared" si="58"/>
        <v>0.19</v>
      </c>
      <c r="W84" s="80">
        <f t="shared" si="59"/>
        <v>0.51</v>
      </c>
      <c r="X84" s="80">
        <f t="shared" si="60"/>
        <v>0.51</v>
      </c>
      <c r="Z84" s="81">
        <f t="shared" si="50"/>
        <v>0.51</v>
      </c>
      <c r="AA84" s="82">
        <f>INDEX('Table_Previous FAR'!$B$5:$K$83,MATCH(Calculation!D84,'Table_Previous FAR'!$B$5:$B$83,0),MATCH(Calculation!$AA$7,'Table_Previous FAR'!$B$5:$K$5,))</f>
        <v>0.51</v>
      </c>
      <c r="AB84" s="73">
        <f>INDEX(Parameter!$C$19:$L$97, MATCH(Calculation!$D84,Parameter!$C$19:$C$97,0),MATCH(Calculation!AB$7,Parameter!$C$19:$L$19,0))</f>
        <v>183534376</v>
      </c>
      <c r="AC84" s="73">
        <f>INDEX(Parameter!$C$19:$L$97, MATCH(Calculation!$D84,Parameter!$C$19:$C$97,0),MATCH(Calculation!AC$7,Parameter!$C$19:$L$19,0))</f>
        <v>95090981</v>
      </c>
      <c r="AD84" s="73">
        <f>INDEX(Parameter!$C$19:$L$97, MATCH(Calculation!$D84,Parameter!$C$19:$C$97,0),MATCH(Calculation!AD$7,Parameter!$C$19:$L$19,0))</f>
        <v>88443395</v>
      </c>
      <c r="AE84" s="73">
        <f t="shared" si="51"/>
        <v>93602531.760000005</v>
      </c>
      <c r="AF84" s="32">
        <f t="shared" si="52"/>
        <v>89931844.239999995</v>
      </c>
      <c r="AG84" s="185">
        <f t="shared" si="53"/>
        <v>-1488449.2399999946</v>
      </c>
      <c r="AH84" s="186">
        <f t="shared" si="54"/>
        <v>1488449.2399999946</v>
      </c>
      <c r="AI84" s="179">
        <f t="shared" si="61"/>
        <v>-1.5652896040687547E-2</v>
      </c>
      <c r="AJ84" s="83">
        <f t="shared" si="62"/>
        <v>1.6829399640300946E-2</v>
      </c>
      <c r="AK84" s="81">
        <f t="shared" si="63"/>
        <v>2.3198564849217559E-2</v>
      </c>
      <c r="AL84" s="82">
        <f t="shared" si="64"/>
        <v>2.3198564849217559E-2</v>
      </c>
      <c r="AM84" s="42" t="str">
        <f t="shared" si="55"/>
        <v>Canterbury Regional</v>
      </c>
      <c r="AN84" s="206">
        <f t="shared" si="65"/>
        <v>0.51</v>
      </c>
      <c r="AO84" s="202">
        <f t="shared" si="66"/>
        <v>0.51</v>
      </c>
      <c r="AQ84" s="84">
        <f>MIN(AC46,AE46)</f>
        <v>23314986.09</v>
      </c>
      <c r="AR84" s="84">
        <f>AE46-AQ84</f>
        <v>0</v>
      </c>
      <c r="AS84" s="84">
        <f>AC46-AQ84</f>
        <v>489899.91000000015</v>
      </c>
      <c r="AT84" s="84"/>
      <c r="AU84" s="84"/>
      <c r="AV84" s="84"/>
    </row>
    <row r="85" spans="2:48" x14ac:dyDescent="0.25">
      <c r="B85" s="85">
        <f t="shared" si="41"/>
        <v>78</v>
      </c>
      <c r="C85" s="86">
        <v>4</v>
      </c>
      <c r="D85" s="7" t="str">
        <f>INDEX(Parameter!$B$19:$C$97,MATCH(Calculation!$C85,Parameter!$B$19:$B$97,0),MATCH(Calculation!D$7,Parameter!$B$19:$C$19,0))</f>
        <v>Auckland</v>
      </c>
      <c r="E85" s="73">
        <f>INDEX(Parameter!$B$19:$H$97,MATCH(Calculation!$C85,Parameter!$B$19:$B$97,0),MATCH(Calculation!E$7,Parameter!$B$19:$H$19,0))</f>
        <v>564585</v>
      </c>
      <c r="F85" s="74">
        <f>INDEX(Parameter!$B$19:$H$97,MATCH(Calculation!$C85,Parameter!$B$19:$B$97,0),MATCH(Calculation!F$7,Parameter!$B$19:$H$19,0))</f>
        <v>1003.8163487728018</v>
      </c>
      <c r="G85" s="75">
        <f>INDEX(Parameter!$B$19:$H$97,MATCH(Calculation!$C85,Parameter!$B$19:$B$97,0),MATCH(Calculation!G$7,Parameter!$B$19:$H$19,0))</f>
        <v>9.9156904631876601E-9</v>
      </c>
      <c r="H85" s="76">
        <f t="shared" si="42"/>
        <v>6.6765142997280336</v>
      </c>
      <c r="I85" s="77">
        <f t="shared" si="43"/>
        <v>-0.21976296686226748</v>
      </c>
      <c r="J85" s="78">
        <f t="shared" si="44"/>
        <v>-0.83603316474715839</v>
      </c>
      <c r="K85" s="76">
        <f t="shared" si="45"/>
        <v>0</v>
      </c>
      <c r="L85" s="77">
        <f t="shared" si="46"/>
        <v>1.8476217514000113</v>
      </c>
      <c r="M85" s="77">
        <f t="shared" si="47"/>
        <v>7.490443135341196E-3</v>
      </c>
      <c r="N85" s="77">
        <f t="shared" si="48"/>
        <v>1.8551121945353524</v>
      </c>
      <c r="O85" s="78">
        <f t="shared" si="49"/>
        <v>-7.4937084790340931</v>
      </c>
      <c r="P85" s="61"/>
      <c r="T85" s="79">
        <f t="shared" si="56"/>
        <v>-7.0000000000000007E-2</v>
      </c>
      <c r="U85" s="80">
        <f t="shared" si="57"/>
        <v>0.75</v>
      </c>
      <c r="V85" s="80">
        <f t="shared" si="58"/>
        <v>-7.0000000000000007E-2</v>
      </c>
      <c r="W85" s="80">
        <f t="shared" si="59"/>
        <v>0.51</v>
      </c>
      <c r="X85" s="80">
        <f t="shared" si="60"/>
        <v>0.51</v>
      </c>
      <c r="Z85" s="81">
        <f t="shared" si="50"/>
        <v>0.51</v>
      </c>
      <c r="AA85" s="82">
        <f>INDEX('Table_Previous FAR'!$B$5:$K$83,MATCH(Calculation!D85,'Table_Previous FAR'!$B$5:$B$83,0),MATCH(Calculation!$AA$7,'Table_Previous FAR'!$B$5:$K$5,))</f>
        <v>0.51</v>
      </c>
      <c r="AB85" s="73">
        <f>INDEX(Parameter!$C$19:$L$97, MATCH(Calculation!$D85,Parameter!$C$19:$C$97,0),MATCH(Calculation!AB$7,Parameter!$C$19:$L$19,0))</f>
        <v>3255485263</v>
      </c>
      <c r="AC85" s="73">
        <f>INDEX(Parameter!$C$19:$L$97, MATCH(Calculation!$D85,Parameter!$C$19:$C$97,0),MATCH(Calculation!AC$7,Parameter!$C$19:$L$19,0))</f>
        <v>1700938363</v>
      </c>
      <c r="AD85" s="73">
        <f>INDEX(Parameter!$C$19:$L$97, MATCH(Calculation!$D85,Parameter!$C$19:$C$97,0),MATCH(Calculation!AD$7,Parameter!$C$19:$L$19,0))</f>
        <v>1554546900</v>
      </c>
      <c r="AE85" s="73">
        <f t="shared" si="51"/>
        <v>1660297484.1300001</v>
      </c>
      <c r="AF85" s="32">
        <f t="shared" si="52"/>
        <v>1595187778.8699999</v>
      </c>
      <c r="AG85" s="185">
        <f t="shared" si="53"/>
        <v>-40640878.869999886</v>
      </c>
      <c r="AH85" s="186">
        <f t="shared" si="54"/>
        <v>40640878.869999886</v>
      </c>
      <c r="AI85" s="179">
        <f t="shared" si="61"/>
        <v>-2.3893210802959523E-2</v>
      </c>
      <c r="AJ85" s="83">
        <f t="shared" si="62"/>
        <v>2.6143231104831823E-2</v>
      </c>
      <c r="AK85" s="81">
        <f t="shared" si="63"/>
        <v>0.63341767972879703</v>
      </c>
      <c r="AL85" s="82">
        <f t="shared" si="64"/>
        <v>0.63341767972879703</v>
      </c>
      <c r="AM85" s="43" t="str">
        <f t="shared" si="55"/>
        <v>Auckland</v>
      </c>
      <c r="AN85" s="207">
        <f t="shared" si="65"/>
        <v>0.51</v>
      </c>
      <c r="AO85" s="202">
        <f t="shared" si="66"/>
        <v>0.51</v>
      </c>
      <c r="AQ85" s="84"/>
      <c r="AR85" s="84"/>
      <c r="AS85" s="84"/>
      <c r="AT85" s="84">
        <f>MIN(AD46,AF46)</f>
        <v>21910773</v>
      </c>
      <c r="AU85" s="84">
        <f>AF46-AT85</f>
        <v>489899.91000000015</v>
      </c>
      <c r="AV85" s="84">
        <f>AD46-AT85</f>
        <v>0</v>
      </c>
    </row>
    <row r="86" spans="2:48" x14ac:dyDescent="0.25">
      <c r="B86" s="85"/>
      <c r="C86" s="86">
        <v>99</v>
      </c>
      <c r="D86" s="7" t="s">
        <v>115</v>
      </c>
      <c r="E86" s="42"/>
      <c r="F86" s="61"/>
      <c r="G86" s="75"/>
      <c r="H86" s="76"/>
      <c r="I86" s="77"/>
      <c r="J86" s="78"/>
      <c r="K86" s="76"/>
      <c r="L86" s="77"/>
      <c r="M86" s="77"/>
      <c r="N86" s="77"/>
      <c r="O86" s="78"/>
      <c r="P86" s="61"/>
      <c r="W86" s="80"/>
      <c r="Z86" s="102">
        <f>R23</f>
        <v>0.53004359155915581</v>
      </c>
      <c r="AA86" s="259">
        <f>Parameter!L98</f>
        <v>0.53811584703953852</v>
      </c>
      <c r="AB86" s="104">
        <f t="shared" ref="AB86:AD86" si="67">SUM(AB8:AB85)</f>
        <v>7948368829</v>
      </c>
      <c r="AC86" s="104">
        <f t="shared" si="67"/>
        <v>4277143225</v>
      </c>
      <c r="AD86" s="104">
        <f t="shared" si="67"/>
        <v>3671225604</v>
      </c>
      <c r="AE86" s="104">
        <f t="shared" ref="AE86" si="68">SUM(AE8:AE85)</f>
        <v>4212981961.1600013</v>
      </c>
      <c r="AF86" s="105">
        <f t="shared" ref="AF86" si="69">SUM(AF8:AF85)</f>
        <v>3735386867.8399992</v>
      </c>
      <c r="AG86" s="187">
        <f t="shared" ref="AG86" si="70">SUM(AG8:AG85)</f>
        <v>-64161263.839999869</v>
      </c>
      <c r="AH86" s="188">
        <f t="shared" ref="AH86" si="71">SUM(AH8:AH85)</f>
        <v>64161263.839999869</v>
      </c>
      <c r="AI86" s="180">
        <f t="shared" si="61"/>
        <v>-1.5000962199483013E-2</v>
      </c>
      <c r="AJ86" s="106">
        <f t="shared" si="62"/>
        <v>1.7476796786907535E-2</v>
      </c>
      <c r="AK86" s="107">
        <f t="shared" si="63"/>
        <v>1</v>
      </c>
      <c r="AL86" s="103">
        <f t="shared" si="64"/>
        <v>1</v>
      </c>
      <c r="AM86" s="43" t="str">
        <f t="shared" si="55"/>
        <v>National</v>
      </c>
      <c r="AN86" s="208">
        <f t="shared" si="65"/>
        <v>0.54</v>
      </c>
      <c r="AO86" s="203">
        <f t="shared" si="66"/>
        <v>0.53</v>
      </c>
      <c r="AQ86" s="84">
        <f>MIN(AC47,AE47)</f>
        <v>2098311</v>
      </c>
      <c r="AR86" s="84">
        <f>AE47-AQ86</f>
        <v>55232.339999999851</v>
      </c>
      <c r="AS86" s="84">
        <f>AC47-AQ86</f>
        <v>0</v>
      </c>
      <c r="AT86" s="84"/>
      <c r="AU86" s="84"/>
      <c r="AV86" s="84"/>
    </row>
    <row r="87" spans="2:48" x14ac:dyDescent="0.25">
      <c r="D87" s="7" t="s">
        <v>87</v>
      </c>
      <c r="E87" s="73">
        <f t="shared" ref="E87:O87" si="72">MIN(E8:E85)</f>
        <v>562</v>
      </c>
      <c r="F87" s="74">
        <f t="shared" si="72"/>
        <v>908.83963571569984</v>
      </c>
      <c r="G87" s="75">
        <f t="shared" si="72"/>
        <v>8.866708671260421E-9</v>
      </c>
      <c r="H87" s="76">
        <f t="shared" si="72"/>
        <v>-0.54942759161648969</v>
      </c>
      <c r="I87" s="77">
        <f t="shared" si="72"/>
        <v>-2.0673847182622787</v>
      </c>
      <c r="J87" s="78">
        <f t="shared" si="72"/>
        <v>-0.84352360788249958</v>
      </c>
      <c r="K87" s="76">
        <f t="shared" si="72"/>
        <v>0</v>
      </c>
      <c r="L87" s="77">
        <f t="shared" si="72"/>
        <v>0</v>
      </c>
      <c r="M87" s="77">
        <f t="shared" si="72"/>
        <v>0</v>
      </c>
      <c r="N87" s="77">
        <f t="shared" si="72"/>
        <v>1.8551121945353524</v>
      </c>
      <c r="O87" s="78">
        <f t="shared" si="72"/>
        <v>-7.4937084790340931</v>
      </c>
      <c r="P87" s="61"/>
      <c r="AA87" s="108"/>
      <c r="AE87" s="109"/>
      <c r="AF87" s="61"/>
      <c r="AG87" s="61"/>
      <c r="AH87" s="61"/>
      <c r="AI87" s="17"/>
      <c r="AJ87" s="17"/>
      <c r="AK87" s="17"/>
      <c r="AL87" s="17"/>
      <c r="AQ87" s="84"/>
      <c r="AR87" s="84"/>
      <c r="AS87" s="84"/>
      <c r="AT87" s="84">
        <f>MIN(AD47,AF47)</f>
        <v>2069090.6600000001</v>
      </c>
      <c r="AU87" s="84">
        <f>AF47-AT87</f>
        <v>0</v>
      </c>
      <c r="AV87" s="84">
        <f>AD47-AT87</f>
        <v>55232.339999999851</v>
      </c>
    </row>
    <row r="88" spans="2:48" x14ac:dyDescent="0.25">
      <c r="D88" s="7" t="s">
        <v>88</v>
      </c>
      <c r="E88" s="73">
        <f t="shared" ref="E88:O88" si="73">MAX(E8:E85)</f>
        <v>564585</v>
      </c>
      <c r="F88" s="74">
        <f t="shared" si="73"/>
        <v>1176.7542016806722</v>
      </c>
      <c r="G88" s="75">
        <f t="shared" si="73"/>
        <v>1.1038896951835077E-6</v>
      </c>
      <c r="H88" s="76">
        <f t="shared" si="73"/>
        <v>6.6765142997280336</v>
      </c>
      <c r="I88" s="77">
        <f t="shared" si="73"/>
        <v>3.1444694685231589</v>
      </c>
      <c r="J88" s="78">
        <f t="shared" si="73"/>
        <v>6.9756849574940381</v>
      </c>
      <c r="K88" s="76">
        <f t="shared" si="73"/>
        <v>7.2259418913445232</v>
      </c>
      <c r="L88" s="77">
        <f t="shared" si="73"/>
        <v>5.2118541867854375</v>
      </c>
      <c r="M88" s="77">
        <f t="shared" si="73"/>
        <v>7.8192085653765373</v>
      </c>
      <c r="N88" s="77">
        <f t="shared" si="73"/>
        <v>17.922424256080554</v>
      </c>
      <c r="O88" s="78">
        <f t="shared" si="73"/>
        <v>8.5736035825111081</v>
      </c>
      <c r="P88" s="61"/>
      <c r="AA88" s="108"/>
      <c r="AC88" s="110">
        <f>AC86/AB86</f>
        <v>0.53811584703953852</v>
      </c>
      <c r="AE88" s="110">
        <f>AE86/AB86</f>
        <v>0.53004359155915581</v>
      </c>
      <c r="AF88" s="61"/>
      <c r="AG88" s="61"/>
      <c r="AH88" s="61"/>
      <c r="AI88" s="17"/>
      <c r="AJ88" s="17"/>
      <c r="AK88" s="17"/>
      <c r="AL88" s="17"/>
      <c r="AQ88" s="84">
        <f>MIN(AC48,AE48)</f>
        <v>5761100.7599999998</v>
      </c>
      <c r="AR88" s="84">
        <f>AE48-AQ88</f>
        <v>0</v>
      </c>
      <c r="AS88" s="84">
        <f>AC48-AQ88</f>
        <v>324157.24000000022</v>
      </c>
      <c r="AT88" s="84"/>
      <c r="AU88" s="84"/>
      <c r="AV88" s="84"/>
    </row>
    <row r="89" spans="2:48" x14ac:dyDescent="0.25">
      <c r="D89" s="7" t="s">
        <v>89</v>
      </c>
      <c r="E89" s="73">
        <f>E88-E87</f>
        <v>564023</v>
      </c>
      <c r="F89" s="74">
        <f t="shared" ref="F89:G89" si="74">F88-F87</f>
        <v>267.91456596497233</v>
      </c>
      <c r="G89" s="75">
        <f t="shared" si="74"/>
        <v>1.0950229865122473E-6</v>
      </c>
      <c r="H89" s="76">
        <f t="shared" ref="H89:J89" si="75">H88-H87</f>
        <v>7.2259418913445232</v>
      </c>
      <c r="I89" s="77">
        <f t="shared" si="75"/>
        <v>5.2118541867854375</v>
      </c>
      <c r="J89" s="78">
        <f t="shared" si="75"/>
        <v>7.8192085653765373</v>
      </c>
      <c r="K89" s="76">
        <f t="shared" ref="K89" si="76">K88-K87</f>
        <v>7.2259418913445232</v>
      </c>
      <c r="L89" s="77">
        <f t="shared" ref="L89" si="77">L88-L87</f>
        <v>5.2118541867854375</v>
      </c>
      <c r="M89" s="77">
        <f t="shared" ref="M89:O89" si="78">M88-M87</f>
        <v>7.8192085653765373</v>
      </c>
      <c r="N89" s="77">
        <f t="shared" si="78"/>
        <v>16.067312061545202</v>
      </c>
      <c r="O89" s="78">
        <f t="shared" si="78"/>
        <v>16.067312061545202</v>
      </c>
      <c r="P89" s="61"/>
      <c r="AA89" s="108"/>
      <c r="AE89" s="61"/>
      <c r="AF89" s="61"/>
      <c r="AG89" s="61"/>
      <c r="AH89" s="61"/>
      <c r="AI89" s="17"/>
      <c r="AJ89" s="17"/>
      <c r="AK89" s="17"/>
      <c r="AL89" s="17"/>
      <c r="AQ89" s="84"/>
      <c r="AR89" s="84"/>
      <c r="AS89" s="84"/>
      <c r="AT89" s="84">
        <f>MIN(AD48,AF48)</f>
        <v>5211018</v>
      </c>
      <c r="AU89" s="84">
        <f>AF48-AT89</f>
        <v>324157.24000000022</v>
      </c>
      <c r="AV89" s="84">
        <f>AD48-AT89</f>
        <v>0</v>
      </c>
    </row>
    <row r="90" spans="2:48" x14ac:dyDescent="0.25">
      <c r="D90" s="7" t="s">
        <v>93</v>
      </c>
      <c r="E90" s="73">
        <f t="shared" ref="E90:O90" si="79">QUARTILE(E8:E85,2)</f>
        <v>21998.5</v>
      </c>
      <c r="F90" s="74">
        <f t="shared" si="79"/>
        <v>1007.8493083992814</v>
      </c>
      <c r="G90" s="75">
        <f t="shared" si="79"/>
        <v>9.34732404161943E-8</v>
      </c>
      <c r="H90" s="76">
        <f t="shared" si="79"/>
        <v>-0.27479534549566331</v>
      </c>
      <c r="I90" s="77">
        <f t="shared" si="79"/>
        <v>-0.14130811526173057</v>
      </c>
      <c r="J90" s="78">
        <f t="shared" si="79"/>
        <v>-0.23937545222239942</v>
      </c>
      <c r="K90" s="76">
        <f t="shared" si="79"/>
        <v>6.9513096452236969</v>
      </c>
      <c r="L90" s="77">
        <f t="shared" si="79"/>
        <v>1.9260766030005481</v>
      </c>
      <c r="M90" s="77">
        <f t="shared" si="79"/>
        <v>0.60414815566010005</v>
      </c>
      <c r="N90" s="77">
        <f t="shared" si="79"/>
        <v>9.3488206735694455</v>
      </c>
      <c r="O90" s="78">
        <f t="shared" si="79"/>
        <v>8.8817841970012523E-16</v>
      </c>
      <c r="P90" s="61"/>
      <c r="AA90" s="108"/>
      <c r="AE90" s="61"/>
      <c r="AF90" s="61"/>
      <c r="AG90" s="61"/>
      <c r="AH90" s="61"/>
      <c r="AI90" s="17"/>
      <c r="AJ90" s="17"/>
      <c r="AK90" s="17"/>
      <c r="AL90" s="17"/>
      <c r="AQ90" s="84">
        <f>MIN(AC49,AE49)</f>
        <v>24315863.129999999</v>
      </c>
      <c r="AR90" s="84">
        <f>AE49-AQ90</f>
        <v>0</v>
      </c>
      <c r="AS90" s="84">
        <f>AC49-AQ90</f>
        <v>4379077.870000001</v>
      </c>
      <c r="AT90" s="84"/>
      <c r="AU90" s="84"/>
      <c r="AV90" s="84"/>
    </row>
    <row r="91" spans="2:48" x14ac:dyDescent="0.25">
      <c r="D91" s="7" t="s">
        <v>119</v>
      </c>
      <c r="E91" s="73">
        <f t="shared" ref="E91:O91" si="80">QUARTILE(E8:E85,3)-QUARTILE(E8:E85,1)</f>
        <v>25952.75</v>
      </c>
      <c r="F91" s="74">
        <f t="shared" si="80"/>
        <v>58.067386666575317</v>
      </c>
      <c r="G91" s="75">
        <f t="shared" si="80"/>
        <v>1.1269330235465598E-7</v>
      </c>
      <c r="H91" s="76">
        <f t="shared" si="80"/>
        <v>0.33249187253106977</v>
      </c>
      <c r="I91" s="77">
        <f t="shared" si="80"/>
        <v>1.1296091768054424</v>
      </c>
      <c r="J91" s="78">
        <f t="shared" si="80"/>
        <v>0.80470679235575893</v>
      </c>
      <c r="K91" s="76">
        <f t="shared" si="80"/>
        <v>0.33249187253106971</v>
      </c>
      <c r="L91" s="77">
        <f t="shared" si="80"/>
        <v>1.1296091768054424</v>
      </c>
      <c r="M91" s="77">
        <f t="shared" si="80"/>
        <v>0.8047067923557587</v>
      </c>
      <c r="N91" s="77">
        <f t="shared" si="80"/>
        <v>2.0145940393816417</v>
      </c>
      <c r="O91" s="78">
        <f t="shared" si="80"/>
        <v>2.0145940393816417</v>
      </c>
      <c r="P91" s="61"/>
      <c r="AI91" s="17"/>
      <c r="AJ91" s="17"/>
      <c r="AK91" s="17"/>
      <c r="AL91" s="17"/>
      <c r="AQ91" s="84"/>
      <c r="AR91" s="84"/>
      <c r="AS91" s="84"/>
      <c r="AT91" s="84">
        <f>MIN(AD49,AF49)</f>
        <v>18983222</v>
      </c>
      <c r="AU91" s="84">
        <f>AF49-AT91</f>
        <v>4379077.870000001</v>
      </c>
      <c r="AV91" s="84">
        <f>AD49-AT91</f>
        <v>0</v>
      </c>
    </row>
    <row r="92" spans="2:48" x14ac:dyDescent="0.25">
      <c r="D92" s="7" t="s">
        <v>123</v>
      </c>
      <c r="E92" s="73">
        <f t="shared" ref="E92:O92" si="81">AVERAGE(E8:E85)</f>
        <v>43447.730769230766</v>
      </c>
      <c r="F92" s="74">
        <f t="shared" si="81"/>
        <v>1015.1132304145335</v>
      </c>
      <c r="G92" s="75">
        <f t="shared" si="81"/>
        <v>1.2699602221676762E-7</v>
      </c>
      <c r="H92" s="76">
        <f t="shared" si="81"/>
        <v>0</v>
      </c>
      <c r="I92" s="77">
        <f t="shared" si="81"/>
        <v>1.9656640987273604E-15</v>
      </c>
      <c r="J92" s="78">
        <f t="shared" si="81"/>
        <v>7.0883470033759999E-16</v>
      </c>
      <c r="K92" s="76">
        <f t="shared" si="81"/>
        <v>6.6765142997280353</v>
      </c>
      <c r="L92" s="77">
        <f t="shared" si="81"/>
        <v>2.06738471826228</v>
      </c>
      <c r="M92" s="77">
        <f t="shared" si="81"/>
        <v>0.84352360788250025</v>
      </c>
      <c r="N92" s="77">
        <f t="shared" si="81"/>
        <v>9.5874226258728132</v>
      </c>
      <c r="O92" s="78">
        <f t="shared" si="81"/>
        <v>0.23860195230336886</v>
      </c>
      <c r="P92" s="61"/>
      <c r="AI92" s="17"/>
      <c r="AJ92" s="17"/>
      <c r="AK92" s="17"/>
      <c r="AL92" s="17"/>
      <c r="AQ92" s="84">
        <f>MIN(AC50,AE50)</f>
        <v>24239780.82</v>
      </c>
      <c r="AR92" s="84">
        <f>AE50-AQ92</f>
        <v>0</v>
      </c>
      <c r="AS92" s="84">
        <f>AC50-AQ92</f>
        <v>319359.1799999997</v>
      </c>
      <c r="AT92" s="84"/>
      <c r="AU92" s="84"/>
      <c r="AV92" s="84"/>
    </row>
    <row r="93" spans="2:48" x14ac:dyDescent="0.25">
      <c r="D93" s="7" t="s">
        <v>122</v>
      </c>
      <c r="E93" s="73">
        <f t="shared" ref="E93:O93" si="82">_xlfn.STDEV.P(E8:E85)</f>
        <v>78055.291404378135</v>
      </c>
      <c r="F93" s="74">
        <f t="shared" si="82"/>
        <v>51.40484679027761</v>
      </c>
      <c r="G93" s="75">
        <f t="shared" si="82"/>
        <v>1.4004268812588144E-7</v>
      </c>
      <c r="H93" s="76">
        <f t="shared" si="82"/>
        <v>1</v>
      </c>
      <c r="I93" s="77">
        <f t="shared" si="82"/>
        <v>0.99999999999999978</v>
      </c>
      <c r="J93" s="78">
        <f t="shared" si="82"/>
        <v>1</v>
      </c>
      <c r="K93" s="76">
        <f t="shared" si="82"/>
        <v>0.9999999999999809</v>
      </c>
      <c r="L93" s="77">
        <f t="shared" si="82"/>
        <v>1.0000000000000004</v>
      </c>
      <c r="M93" s="77">
        <f t="shared" si="82"/>
        <v>0.99999999999999978</v>
      </c>
      <c r="N93" s="77">
        <f t="shared" si="82"/>
        <v>2.0331015918435917</v>
      </c>
      <c r="O93" s="78">
        <f t="shared" si="82"/>
        <v>2.0331015918435753</v>
      </c>
      <c r="P93" s="61"/>
      <c r="AI93" s="17"/>
      <c r="AJ93" s="17"/>
      <c r="AK93" s="17"/>
      <c r="AL93" s="17"/>
      <c r="AQ93" s="84"/>
      <c r="AR93" s="84"/>
      <c r="AS93" s="84"/>
      <c r="AT93" s="84">
        <f>MIN(AD50,AF50)</f>
        <v>22969842</v>
      </c>
      <c r="AU93" s="84">
        <f>AF50-AT93</f>
        <v>319359.1799999997</v>
      </c>
      <c r="AV93" s="84">
        <f>AD50-AT93</f>
        <v>0</v>
      </c>
    </row>
    <row r="94" spans="2:48" x14ac:dyDescent="0.25">
      <c r="E94" s="42"/>
      <c r="F94" s="61"/>
      <c r="G94" s="111"/>
      <c r="H94" s="42"/>
      <c r="I94" s="61"/>
      <c r="J94" s="111"/>
      <c r="K94" s="42"/>
      <c r="L94" s="61"/>
      <c r="M94" s="61"/>
      <c r="N94" s="61"/>
      <c r="O94" s="111"/>
      <c r="P94" s="61"/>
      <c r="AI94" s="17"/>
      <c r="AJ94" s="17"/>
      <c r="AK94" s="17"/>
      <c r="AL94" s="17"/>
      <c r="AQ94" s="84">
        <f>MIN(AC51,AE51)</f>
        <v>29617286.609999999</v>
      </c>
      <c r="AR94" s="84">
        <f>AE51-AQ94</f>
        <v>0</v>
      </c>
      <c r="AS94" s="84">
        <f>AC51-AQ94</f>
        <v>1867954.3900000006</v>
      </c>
      <c r="AT94" s="84"/>
      <c r="AU94" s="84"/>
      <c r="AV94" s="84"/>
    </row>
    <row r="95" spans="2:48" x14ac:dyDescent="0.25">
      <c r="E95" s="42"/>
      <c r="F95" s="61"/>
      <c r="G95" s="111"/>
      <c r="H95" s="42"/>
      <c r="I95" s="61"/>
      <c r="J95" s="111"/>
      <c r="K95" s="42"/>
      <c r="L95" s="61"/>
      <c r="M95" s="61"/>
      <c r="N95" s="61"/>
      <c r="O95" s="111"/>
      <c r="P95" s="61"/>
      <c r="AI95" s="17"/>
      <c r="AJ95" s="17"/>
      <c r="AK95" s="17"/>
      <c r="AL95" s="17"/>
      <c r="AQ95" s="84"/>
      <c r="AR95" s="84"/>
      <c r="AS95" s="84"/>
      <c r="AT95" s="84">
        <f>MIN(AD51,AF51)</f>
        <v>26587870</v>
      </c>
      <c r="AU95" s="84">
        <f>AF51-AT95</f>
        <v>1867954.3900000006</v>
      </c>
      <c r="AV95" s="84">
        <f>AD51-AT95</f>
        <v>0</v>
      </c>
    </row>
    <row r="96" spans="2:48" ht="14.4" x14ac:dyDescent="0.3">
      <c r="D96" s="7" t="s">
        <v>91</v>
      </c>
      <c r="E96" s="258">
        <v>1</v>
      </c>
      <c r="F96" s="258">
        <v>-1</v>
      </c>
      <c r="G96" s="258">
        <v>-1</v>
      </c>
      <c r="H96" s="42"/>
      <c r="I96" s="61"/>
      <c r="J96" s="111"/>
      <c r="K96" s="42"/>
      <c r="L96" s="61"/>
      <c r="M96" s="61"/>
      <c r="N96" s="61"/>
      <c r="O96" s="111"/>
      <c r="P96" s="61"/>
      <c r="AI96" s="17"/>
      <c r="AJ96" s="17"/>
      <c r="AK96" s="17"/>
      <c r="AL96" s="17"/>
      <c r="AQ96" s="84">
        <f>MIN(AC52,AE52)</f>
        <v>6379256.9699999997</v>
      </c>
      <c r="AR96" s="84">
        <f>AE52-AQ96</f>
        <v>0</v>
      </c>
      <c r="AS96" s="84">
        <f>AC52-AQ96</f>
        <v>241312.03000000026</v>
      </c>
      <c r="AT96" s="84"/>
      <c r="AU96" s="84"/>
      <c r="AV96" s="84"/>
    </row>
    <row r="97" spans="4:48" ht="14.4" x14ac:dyDescent="0.3">
      <c r="D97" s="7" t="s">
        <v>112</v>
      </c>
      <c r="E97" s="258">
        <v>1</v>
      </c>
      <c r="F97" s="258">
        <v>1</v>
      </c>
      <c r="G97" s="258">
        <v>1</v>
      </c>
      <c r="H97" s="43"/>
      <c r="I97" s="112"/>
      <c r="J97" s="113"/>
      <c r="K97" s="43"/>
      <c r="L97" s="112"/>
      <c r="M97" s="112"/>
      <c r="N97" s="112"/>
      <c r="O97" s="113"/>
      <c r="P97" s="61"/>
      <c r="AI97" s="17"/>
      <c r="AJ97" s="17"/>
      <c r="AK97" s="17"/>
      <c r="AL97" s="17"/>
      <c r="AQ97" s="84"/>
      <c r="AR97" s="84"/>
      <c r="AS97" s="84"/>
      <c r="AT97" s="84">
        <f>MIN(AD52,AF52)</f>
        <v>5887778</v>
      </c>
      <c r="AU97" s="84">
        <f>AF52-AT97</f>
        <v>241312.03000000026</v>
      </c>
      <c r="AV97" s="84">
        <f>AD52-AT97</f>
        <v>0</v>
      </c>
    </row>
    <row r="98" spans="4:48" x14ac:dyDescent="0.25">
      <c r="AQ98" s="84">
        <f>MIN(AC53,AE53)</f>
        <v>68017604.519999996</v>
      </c>
      <c r="AR98" s="84">
        <f>AE53-AQ98</f>
        <v>0</v>
      </c>
      <c r="AS98" s="84">
        <f>AC53-AQ98</f>
        <v>2769221.4800000042</v>
      </c>
      <c r="AT98" s="84"/>
      <c r="AU98" s="84"/>
      <c r="AV98" s="84"/>
    </row>
    <row r="99" spans="4:48" x14ac:dyDescent="0.25">
      <c r="AQ99" s="84"/>
      <c r="AR99" s="84"/>
      <c r="AS99" s="84"/>
      <c r="AT99" s="84">
        <f>MIN(AD53,AF53)</f>
        <v>62581026</v>
      </c>
      <c r="AU99" s="84">
        <f>AF53-AT99</f>
        <v>2769221.4800000042</v>
      </c>
      <c r="AV99" s="84">
        <f>AD53-AT99</f>
        <v>0</v>
      </c>
    </row>
    <row r="100" spans="4:48" x14ac:dyDescent="0.25">
      <c r="AQ100" s="84">
        <f>MIN(AC54,AE54)</f>
        <v>8288052.3300000001</v>
      </c>
      <c r="AR100" s="84">
        <f>AE54-AQ100</f>
        <v>0</v>
      </c>
      <c r="AS100" s="84">
        <f>AC54-AQ100</f>
        <v>877420.66999999993</v>
      </c>
      <c r="AT100" s="84"/>
      <c r="AU100" s="84"/>
      <c r="AV100" s="84"/>
    </row>
    <row r="101" spans="4:48" x14ac:dyDescent="0.25">
      <c r="AQ101" s="84"/>
      <c r="AR101" s="84"/>
      <c r="AS101" s="84"/>
      <c r="AT101" s="84">
        <f>MIN(AD54,AF54)</f>
        <v>7085610</v>
      </c>
      <c r="AU101" s="84">
        <f>AF54-AT101</f>
        <v>877420.66999999993</v>
      </c>
      <c r="AV101" s="84">
        <f>AD54-AT101</f>
        <v>0</v>
      </c>
    </row>
    <row r="102" spans="4:48" x14ac:dyDescent="0.25">
      <c r="AQ102" s="84">
        <f>MIN(AC55,AE55)</f>
        <v>6607214.2199999997</v>
      </c>
      <c r="AR102" s="84">
        <f>AE55-AQ102</f>
        <v>0</v>
      </c>
      <c r="AS102" s="84">
        <f>AC55-AQ102</f>
        <v>238327.78000000026</v>
      </c>
      <c r="AT102" s="84"/>
      <c r="AU102" s="84"/>
      <c r="AV102" s="84"/>
    </row>
    <row r="103" spans="4:48" x14ac:dyDescent="0.25">
      <c r="AQ103" s="84"/>
      <c r="AR103" s="84"/>
      <c r="AS103" s="84"/>
      <c r="AT103" s="84">
        <f>MIN(AD55,AF55)</f>
        <v>6109780</v>
      </c>
      <c r="AU103" s="84">
        <f>AF55-AT103</f>
        <v>238327.78000000026</v>
      </c>
      <c r="AV103" s="84">
        <f>AD55-AT103</f>
        <v>0</v>
      </c>
    </row>
    <row r="104" spans="4:48" x14ac:dyDescent="0.25">
      <c r="AQ104" s="84">
        <f>MIN(AC56,AE56)</f>
        <v>18704057.219999999</v>
      </c>
      <c r="AR104" s="84">
        <f>AE56-AQ104</f>
        <v>0</v>
      </c>
      <c r="AS104" s="84">
        <f>AC56-AQ104</f>
        <v>486236.78000000119</v>
      </c>
      <c r="AT104" s="84"/>
      <c r="AU104" s="84"/>
      <c r="AV104" s="84"/>
    </row>
    <row r="105" spans="4:48" x14ac:dyDescent="0.25">
      <c r="H105" s="62"/>
      <c r="AQ105" s="84"/>
      <c r="AR105" s="84"/>
      <c r="AS105" s="84"/>
      <c r="AT105" s="84">
        <f>MIN(AD56,AF56)</f>
        <v>17484328</v>
      </c>
      <c r="AU105" s="84">
        <f>AF56-AT105</f>
        <v>486236.78000000119</v>
      </c>
      <c r="AV105" s="84">
        <f>AD56-AT105</f>
        <v>0</v>
      </c>
    </row>
    <row r="106" spans="4:48" x14ac:dyDescent="0.25">
      <c r="H106" s="62"/>
      <c r="AQ106" s="84">
        <f>MIN(AC57,AE57)</f>
        <v>25236473</v>
      </c>
      <c r="AR106" s="84">
        <f>AE57-AQ106</f>
        <v>847921.71999999881</v>
      </c>
      <c r="AS106" s="84">
        <f>AC57-AQ106</f>
        <v>0</v>
      </c>
      <c r="AT106" s="84"/>
      <c r="AU106" s="84"/>
      <c r="AV106" s="84"/>
    </row>
    <row r="107" spans="4:48" x14ac:dyDescent="0.25">
      <c r="H107" s="62"/>
      <c r="AQ107" s="84"/>
      <c r="AR107" s="84"/>
      <c r="AS107" s="84"/>
      <c r="AT107" s="84">
        <f>MIN(AD57,AF57)</f>
        <v>25061477.280000001</v>
      </c>
      <c r="AU107" s="84">
        <f>AF57-AT107</f>
        <v>0</v>
      </c>
      <c r="AV107" s="84">
        <f>AD57-AT107</f>
        <v>847921.71999999881</v>
      </c>
    </row>
    <row r="108" spans="4:48" x14ac:dyDescent="0.25">
      <c r="AQ108" s="84">
        <f>MIN(AC58,AE58)</f>
        <v>11903562.18</v>
      </c>
      <c r="AR108" s="84">
        <f>AE58-AQ108</f>
        <v>0</v>
      </c>
      <c r="AS108" s="84">
        <f>AC58-AQ108</f>
        <v>481046.8200000003</v>
      </c>
      <c r="AT108" s="84"/>
      <c r="AU108" s="84"/>
      <c r="AV108" s="84"/>
    </row>
    <row r="109" spans="4:48" x14ac:dyDescent="0.25">
      <c r="AQ109" s="84"/>
      <c r="AR109" s="84"/>
      <c r="AS109" s="84"/>
      <c r="AT109" s="84">
        <f>MIN(AD58,AF58)</f>
        <v>10955709</v>
      </c>
      <c r="AU109" s="84">
        <f>AF58-AT109</f>
        <v>481046.8200000003</v>
      </c>
      <c r="AV109" s="84">
        <f>AD58-AT109</f>
        <v>0</v>
      </c>
    </row>
    <row r="110" spans="4:48" x14ac:dyDescent="0.25">
      <c r="AQ110" s="84">
        <f>MIN(AC59,AE59)</f>
        <v>14031354.6</v>
      </c>
      <c r="AR110" s="84">
        <f>AE59-AQ110</f>
        <v>0</v>
      </c>
      <c r="AS110" s="84">
        <f>AC59-AQ110</f>
        <v>997773.40000000037</v>
      </c>
      <c r="AT110" s="84"/>
      <c r="AU110" s="84"/>
      <c r="AV110" s="84"/>
    </row>
    <row r="111" spans="4:48" x14ac:dyDescent="0.25">
      <c r="AQ111" s="84"/>
      <c r="AR111" s="84"/>
      <c r="AS111" s="84"/>
      <c r="AT111" s="84">
        <f>MIN(AD59,AF59)</f>
        <v>12483332</v>
      </c>
      <c r="AU111" s="84">
        <f>AF59-AT111</f>
        <v>997773.40000000037</v>
      </c>
      <c r="AV111" s="84">
        <f>AD59-AT111</f>
        <v>0</v>
      </c>
    </row>
    <row r="112" spans="4:48" x14ac:dyDescent="0.25">
      <c r="AQ112" s="84">
        <f>MIN(AC60,AE60)</f>
        <v>6681693.0899999999</v>
      </c>
      <c r="AR112" s="84">
        <f>AE60-AQ112</f>
        <v>0</v>
      </c>
      <c r="AS112" s="84">
        <f>AC60-AQ112</f>
        <v>196398.91000000015</v>
      </c>
      <c r="AT112" s="84"/>
      <c r="AU112" s="84"/>
      <c r="AV112" s="84"/>
    </row>
    <row r="113" spans="43:48" x14ac:dyDescent="0.25">
      <c r="AQ113" s="84"/>
      <c r="AR113" s="84"/>
      <c r="AS113" s="84"/>
      <c r="AT113" s="84">
        <f>MIN(AD60,AF60)</f>
        <v>6223267</v>
      </c>
      <c r="AU113" s="84">
        <f>AF60-AT113</f>
        <v>196398.91000000015</v>
      </c>
      <c r="AV113" s="84">
        <f>AD60-AT113</f>
        <v>0</v>
      </c>
    </row>
    <row r="114" spans="43:48" x14ac:dyDescent="0.25">
      <c r="AQ114" s="84">
        <f>MIN(AC61,AE61)</f>
        <v>62725430.910000004</v>
      </c>
      <c r="AR114" s="84">
        <f>AE61-AQ114</f>
        <v>0</v>
      </c>
      <c r="AS114" s="84">
        <f>AC61-AQ114</f>
        <v>3504683.0899999961</v>
      </c>
      <c r="AT114" s="84"/>
      <c r="AU114" s="84"/>
      <c r="AV114" s="84"/>
    </row>
    <row r="115" spans="43:48" x14ac:dyDescent="0.25">
      <c r="AQ115" s="84"/>
      <c r="AR115" s="84"/>
      <c r="AS115" s="84"/>
      <c r="AT115" s="84">
        <f>MIN(AD61,AF61)</f>
        <v>56760927</v>
      </c>
      <c r="AU115" s="84">
        <f>AF61-AT115</f>
        <v>3504683.0899999961</v>
      </c>
      <c r="AV115" s="84">
        <f>AD61-AT115</f>
        <v>0</v>
      </c>
    </row>
    <row r="116" spans="43:48" x14ac:dyDescent="0.25">
      <c r="AQ116" s="84">
        <f>MIN(AC62,AE62)</f>
        <v>30803526.210000001</v>
      </c>
      <c r="AR116" s="84">
        <f>AE62-AQ116</f>
        <v>0</v>
      </c>
      <c r="AS116" s="84">
        <f>AC62-AQ116</f>
        <v>2051969.7899999991</v>
      </c>
      <c r="AT116" s="84"/>
      <c r="AU116" s="84"/>
      <c r="AV116" s="84"/>
    </row>
    <row r="117" spans="43:48" x14ac:dyDescent="0.25">
      <c r="AQ117" s="84"/>
      <c r="AR117" s="84"/>
      <c r="AS117" s="84"/>
      <c r="AT117" s="84">
        <f>MIN(AD62,AF62)</f>
        <v>27543575</v>
      </c>
      <c r="AU117" s="84">
        <f>AF62-AT117</f>
        <v>2051969.7899999991</v>
      </c>
      <c r="AV117" s="84">
        <f>AD62-AT117</f>
        <v>0</v>
      </c>
    </row>
    <row r="118" spans="43:48" x14ac:dyDescent="0.25">
      <c r="AQ118" s="84">
        <f>MIN(AC63,AE63)</f>
        <v>29846907.990000002</v>
      </c>
      <c r="AR118" s="84">
        <f>AE63-AQ118</f>
        <v>0</v>
      </c>
      <c r="AS118" s="84">
        <f>AC63-AQ118</f>
        <v>1669996.0099999979</v>
      </c>
      <c r="AT118" s="84"/>
      <c r="AU118" s="84"/>
      <c r="AV118" s="84"/>
    </row>
    <row r="119" spans="43:48" x14ac:dyDescent="0.25">
      <c r="AQ119" s="84"/>
      <c r="AR119" s="84"/>
      <c r="AS119" s="84"/>
      <c r="AT119" s="84">
        <f>MIN(AD63,AF63)</f>
        <v>27006445</v>
      </c>
      <c r="AU119" s="84">
        <f>AF63-AT119</f>
        <v>1669996.0099999979</v>
      </c>
      <c r="AV119" s="84">
        <f>AD63-AT119</f>
        <v>0</v>
      </c>
    </row>
    <row r="120" spans="43:48" x14ac:dyDescent="0.25">
      <c r="AQ120" s="84">
        <f>MIN(AC64,AE64)</f>
        <v>36563217.840000004</v>
      </c>
      <c r="AR120" s="84">
        <f>AE64-AQ120</f>
        <v>0</v>
      </c>
      <c r="AS120" s="84">
        <f>AC64-AQ120</f>
        <v>54440.159999996424</v>
      </c>
      <c r="AT120" s="84"/>
      <c r="AU120" s="84"/>
      <c r="AV120" s="84"/>
    </row>
    <row r="121" spans="43:48" x14ac:dyDescent="0.25">
      <c r="AQ121" s="84"/>
      <c r="AR121" s="84"/>
      <c r="AS121" s="84"/>
      <c r="AT121" s="84">
        <f>MIN(AD64,AF64)</f>
        <v>35074926</v>
      </c>
      <c r="AU121" s="84">
        <f>AF64-AT121</f>
        <v>54440.159999996424</v>
      </c>
      <c r="AV121" s="84">
        <f>AD64-AT121</f>
        <v>0</v>
      </c>
    </row>
    <row r="122" spans="43:48" x14ac:dyDescent="0.25">
      <c r="AQ122" s="84">
        <f>MIN(AC65,AE65)</f>
        <v>15828863.880000001</v>
      </c>
      <c r="AR122" s="84">
        <f>AE65-AQ122</f>
        <v>0</v>
      </c>
      <c r="AS122" s="84">
        <f>AC65-AQ122</f>
        <v>370161.11999999918</v>
      </c>
      <c r="AT122" s="84"/>
      <c r="AU122" s="84"/>
      <c r="AV122" s="84"/>
    </row>
    <row r="123" spans="43:48" x14ac:dyDescent="0.25">
      <c r="AQ123" s="84"/>
      <c r="AR123" s="84"/>
      <c r="AS123" s="84"/>
      <c r="AT123" s="84">
        <f>MIN(AD65,AF65)</f>
        <v>14837963</v>
      </c>
      <c r="AU123" s="84">
        <f>AF65-AT123</f>
        <v>370161.11999999918</v>
      </c>
      <c r="AV123" s="84">
        <f>AD65-AT123</f>
        <v>0</v>
      </c>
    </row>
    <row r="124" spans="43:48" x14ac:dyDescent="0.25">
      <c r="AQ124" s="84">
        <f>MIN(AC66,AE66)</f>
        <v>25749037.59</v>
      </c>
      <c r="AR124" s="84">
        <f>AE66-AQ124</f>
        <v>0</v>
      </c>
      <c r="AS124" s="84">
        <f>AC66-AQ124</f>
        <v>745410.41000000015</v>
      </c>
      <c r="AT124" s="84"/>
      <c r="AU124" s="84"/>
      <c r="AV124" s="84"/>
    </row>
    <row r="125" spans="43:48" x14ac:dyDescent="0.25">
      <c r="AQ125" s="84"/>
      <c r="AR125" s="84"/>
      <c r="AS125" s="84"/>
      <c r="AT125" s="84">
        <f>MIN(AD66,AF66)</f>
        <v>23993861</v>
      </c>
      <c r="AU125" s="84">
        <f>AF66-AT125</f>
        <v>745410.41000000015</v>
      </c>
      <c r="AV125" s="84">
        <f>AD66-AT125</f>
        <v>0</v>
      </c>
    </row>
    <row r="126" spans="43:48" x14ac:dyDescent="0.25">
      <c r="AQ126" s="84">
        <f>MIN(AC67,AE67)</f>
        <v>29056063.23</v>
      </c>
      <c r="AR126" s="84">
        <f>AE67-AQ126</f>
        <v>0</v>
      </c>
      <c r="AS126" s="84">
        <f>AC67-AQ126</f>
        <v>953653.76999999955</v>
      </c>
      <c r="AT126" s="84"/>
      <c r="AU126" s="84"/>
      <c r="AV126" s="84"/>
    </row>
    <row r="127" spans="43:48" x14ac:dyDescent="0.25">
      <c r="AQ127" s="84"/>
      <c r="AR127" s="84"/>
      <c r="AS127" s="84"/>
      <c r="AT127" s="84">
        <f>MIN(AD67,AF67)</f>
        <v>26962956</v>
      </c>
      <c r="AU127" s="84">
        <f>AF67-AT127</f>
        <v>953653.76999999955</v>
      </c>
      <c r="AV127" s="84">
        <f>AD67-AT127</f>
        <v>0</v>
      </c>
    </row>
    <row r="128" spans="43:48" x14ac:dyDescent="0.25">
      <c r="AQ128" s="84">
        <f>MIN(AC68,AE68)</f>
        <v>39686307</v>
      </c>
      <c r="AR128" s="84">
        <f>AE68-AQ128</f>
        <v>437329.46999999881</v>
      </c>
      <c r="AS128" s="84">
        <f>AC68-AQ128</f>
        <v>0</v>
      </c>
      <c r="AT128" s="84"/>
      <c r="AU128" s="84"/>
      <c r="AV128" s="84"/>
    </row>
    <row r="129" spans="43:48" x14ac:dyDescent="0.25">
      <c r="AQ129" s="84"/>
      <c r="AR129" s="84"/>
      <c r="AS129" s="84"/>
      <c r="AT129" s="84">
        <f>MIN(AD68,AF68)</f>
        <v>38550160.530000001</v>
      </c>
      <c r="AU129" s="84">
        <f>AF68-AT129</f>
        <v>0</v>
      </c>
      <c r="AV129" s="84">
        <f>AD68-AT129</f>
        <v>437329.46999999881</v>
      </c>
    </row>
    <row r="130" spans="43:48" x14ac:dyDescent="0.25">
      <c r="AQ130" s="84">
        <f>MIN(AC69,AE69)</f>
        <v>18402172.41</v>
      </c>
      <c r="AR130" s="84">
        <f>AE69-AQ130</f>
        <v>0</v>
      </c>
      <c r="AS130" s="84">
        <f>AC69-AQ130</f>
        <v>254646.58999999985</v>
      </c>
      <c r="AT130" s="84"/>
      <c r="AU130" s="84"/>
      <c r="AV130" s="84"/>
    </row>
    <row r="131" spans="43:48" x14ac:dyDescent="0.25">
      <c r="AQ131" s="84"/>
      <c r="AR131" s="84"/>
      <c r="AS131" s="84"/>
      <c r="AT131" s="84">
        <f>MIN(AD69,AF69)</f>
        <v>17425872</v>
      </c>
      <c r="AU131" s="84">
        <f>AF69-AT131</f>
        <v>254646.58999999985</v>
      </c>
      <c r="AV131" s="84">
        <f>AD69-AT131</f>
        <v>0</v>
      </c>
    </row>
    <row r="132" spans="43:48" x14ac:dyDescent="0.25">
      <c r="AQ132" s="84">
        <f>MIN(AC70,AE70)</f>
        <v>70965408.599999994</v>
      </c>
      <c r="AR132" s="84">
        <f>AE70-AQ132</f>
        <v>0</v>
      </c>
      <c r="AS132" s="84">
        <f>AC70-AQ132</f>
        <v>8904860.400000006</v>
      </c>
      <c r="AT132" s="84"/>
      <c r="AU132" s="84"/>
      <c r="AV132" s="84"/>
    </row>
    <row r="133" spans="43:48" x14ac:dyDescent="0.25">
      <c r="AQ133" s="84"/>
      <c r="AR133" s="84"/>
      <c r="AS133" s="84"/>
      <c r="AT133" s="84">
        <f>MIN(AD70,AF70)</f>
        <v>59277591</v>
      </c>
      <c r="AU133" s="84">
        <f>AF70-AT133</f>
        <v>8904860.400000006</v>
      </c>
      <c r="AV133" s="84">
        <f>AD70-AT133</f>
        <v>0</v>
      </c>
    </row>
    <row r="134" spans="43:48" x14ac:dyDescent="0.25">
      <c r="AQ134" s="84">
        <f>MIN(AC71,AE71)</f>
        <v>11739492.630000001</v>
      </c>
      <c r="AR134" s="84">
        <f>AE71-AQ134</f>
        <v>0</v>
      </c>
      <c r="AS134" s="84">
        <f>AC71-AQ134</f>
        <v>718968.36999999918</v>
      </c>
      <c r="AT134" s="84"/>
      <c r="AU134" s="84"/>
      <c r="AV134" s="84"/>
    </row>
    <row r="135" spans="43:48" x14ac:dyDescent="0.25">
      <c r="AQ135" s="84"/>
      <c r="AR135" s="84"/>
      <c r="AS135" s="84"/>
      <c r="AT135" s="84">
        <f>MIN(AD71,AF71)</f>
        <v>10560152</v>
      </c>
      <c r="AU135" s="84">
        <f>AF71-AT135</f>
        <v>718968.36999999918</v>
      </c>
      <c r="AV135" s="84">
        <f>AD71-AT135</f>
        <v>0</v>
      </c>
    </row>
    <row r="136" spans="43:48" x14ac:dyDescent="0.25">
      <c r="AQ136" s="84">
        <f>MIN(AC72,AE72)</f>
        <v>26897995.68</v>
      </c>
      <c r="AR136" s="84">
        <f>AE72-AQ136</f>
        <v>0</v>
      </c>
      <c r="AS136" s="84">
        <f>AC72-AQ136</f>
        <v>1120507.3200000003</v>
      </c>
      <c r="AT136" s="84"/>
      <c r="AU136" s="84"/>
      <c r="AV136" s="84"/>
    </row>
    <row r="137" spans="43:48" x14ac:dyDescent="0.25">
      <c r="AQ137" s="84"/>
      <c r="AR137" s="84"/>
      <c r="AS137" s="84"/>
      <c r="AT137" s="84">
        <f>MIN(AD72,AF72)</f>
        <v>24722665</v>
      </c>
      <c r="AU137" s="84">
        <f>AF72-AT137</f>
        <v>1120507.3200000003</v>
      </c>
      <c r="AV137" s="84">
        <f>AD72-AT137</f>
        <v>0</v>
      </c>
    </row>
    <row r="138" spans="43:48" x14ac:dyDescent="0.25">
      <c r="AQ138" s="84">
        <f>MIN(AC73,AE73)</f>
        <v>15763794</v>
      </c>
      <c r="AR138" s="84">
        <f>AE73-AQ138</f>
        <v>0</v>
      </c>
      <c r="AS138" s="84">
        <f>AC73-AQ138</f>
        <v>305035</v>
      </c>
      <c r="AT138" s="84"/>
      <c r="AU138" s="84"/>
      <c r="AV138" s="84"/>
    </row>
    <row r="139" spans="43:48" x14ac:dyDescent="0.25">
      <c r="AQ139" s="84"/>
      <c r="AR139" s="84"/>
      <c r="AS139" s="84"/>
      <c r="AT139" s="84">
        <f>MIN(AD73,AF73)</f>
        <v>14840571</v>
      </c>
      <c r="AU139" s="84">
        <f>AF73-AT139</f>
        <v>305035</v>
      </c>
      <c r="AV139" s="84">
        <f>AD73-AT139</f>
        <v>0</v>
      </c>
    </row>
    <row r="140" spans="43:48" x14ac:dyDescent="0.25">
      <c r="AQ140" s="84">
        <f>MIN(AC74,AE74)</f>
        <v>24974864.219999999</v>
      </c>
      <c r="AR140" s="84">
        <f>AE74-AQ140</f>
        <v>0</v>
      </c>
      <c r="AS140" s="84">
        <f>AC74-AQ140</f>
        <v>270574.78000000119</v>
      </c>
      <c r="AT140" s="84"/>
      <c r="AU140" s="84"/>
      <c r="AV140" s="84"/>
    </row>
    <row r="141" spans="43:48" x14ac:dyDescent="0.25">
      <c r="AQ141" s="84"/>
      <c r="AR141" s="84"/>
      <c r="AS141" s="84"/>
      <c r="AT141" s="84">
        <f>MIN(AD74,AF74)</f>
        <v>23724883</v>
      </c>
      <c r="AU141" s="84">
        <f>AF74-AT141</f>
        <v>270574.78000000119</v>
      </c>
      <c r="AV141" s="84">
        <f>AD74-AT141</f>
        <v>0</v>
      </c>
    </row>
    <row r="142" spans="43:48" x14ac:dyDescent="0.25">
      <c r="AQ142" s="84">
        <f>MIN(AC75,AE75)</f>
        <v>65498019</v>
      </c>
      <c r="AR142" s="84">
        <f>AE75-AQ142</f>
        <v>311946.48000000417</v>
      </c>
      <c r="AS142" s="84">
        <f>AC75-AQ142</f>
        <v>0</v>
      </c>
      <c r="AT142" s="84"/>
      <c r="AU142" s="84"/>
      <c r="AV142" s="84"/>
    </row>
    <row r="143" spans="43:48" x14ac:dyDescent="0.25">
      <c r="AQ143" s="84"/>
      <c r="AR143" s="84"/>
      <c r="AS143" s="84"/>
      <c r="AT143" s="84">
        <f>MIN(AD75,AF75)</f>
        <v>63229182.519999996</v>
      </c>
      <c r="AU143" s="84">
        <f>AF75-AT143</f>
        <v>0</v>
      </c>
      <c r="AV143" s="84">
        <f>AD75-AT143</f>
        <v>311946.48000000417</v>
      </c>
    </row>
    <row r="144" spans="43:48" x14ac:dyDescent="0.25">
      <c r="AQ144" s="84">
        <f>MIN(AC76,AE76)</f>
        <v>30001894.949999999</v>
      </c>
      <c r="AR144" s="84">
        <f>AE76-AQ144</f>
        <v>0</v>
      </c>
      <c r="AS144" s="84">
        <f>AC76-AQ144</f>
        <v>483813.05000000075</v>
      </c>
      <c r="AT144" s="84"/>
      <c r="AU144" s="84"/>
      <c r="AV144" s="84"/>
    </row>
    <row r="145" spans="43:48" x14ac:dyDescent="0.25">
      <c r="AQ145" s="84"/>
      <c r="AR145" s="84"/>
      <c r="AS145" s="84"/>
      <c r="AT145" s="84">
        <f>MIN(AD76,AF76)</f>
        <v>28341537</v>
      </c>
      <c r="AU145" s="84">
        <f>AF76-AT145</f>
        <v>483813.05000000075</v>
      </c>
      <c r="AV145" s="84">
        <f>AD76-AT145</f>
        <v>0</v>
      </c>
    </row>
    <row r="146" spans="43:48" x14ac:dyDescent="0.25">
      <c r="AQ146" s="84">
        <f>MIN(AC77,AE77)</f>
        <v>26868334.59</v>
      </c>
      <c r="AR146" s="84">
        <f>AE77-AQ146</f>
        <v>0</v>
      </c>
      <c r="AS146" s="84">
        <f>AC77-AQ146</f>
        <v>510664.41000000015</v>
      </c>
      <c r="AT146" s="84"/>
      <c r="AU146" s="84"/>
      <c r="AV146" s="84"/>
    </row>
    <row r="147" spans="43:48" x14ac:dyDescent="0.25">
      <c r="AQ147" s="84"/>
      <c r="AR147" s="84"/>
      <c r="AS147" s="84"/>
      <c r="AT147" s="84">
        <f>MIN(AD77,AF77)</f>
        <v>25304010</v>
      </c>
      <c r="AU147" s="84">
        <f>AF77-AT147</f>
        <v>510664.41000000015</v>
      </c>
      <c r="AV147" s="84">
        <f>AD77-AT147</f>
        <v>0</v>
      </c>
    </row>
    <row r="148" spans="43:48" x14ac:dyDescent="0.25">
      <c r="AQ148" s="84">
        <f>MIN(AC78,AE78)</f>
        <v>30065973.900000002</v>
      </c>
      <c r="AR148" s="84">
        <f>AE78-AQ148</f>
        <v>0</v>
      </c>
      <c r="AS148" s="84">
        <f>AC78-AQ148</f>
        <v>901927.09999999776</v>
      </c>
      <c r="AT148" s="84"/>
      <c r="AU148" s="84"/>
      <c r="AV148" s="84"/>
    </row>
    <row r="149" spans="43:48" x14ac:dyDescent="0.25">
      <c r="AQ149" s="84"/>
      <c r="AR149" s="84"/>
      <c r="AS149" s="84"/>
      <c r="AT149" s="84">
        <f>MIN(AD78,AF78)</f>
        <v>27984989</v>
      </c>
      <c r="AU149" s="84">
        <f>AF78-AT149</f>
        <v>901927.09999999776</v>
      </c>
      <c r="AV149" s="84">
        <f>AD78-AT149</f>
        <v>0</v>
      </c>
    </row>
    <row r="150" spans="43:48" x14ac:dyDescent="0.25">
      <c r="AQ150" s="84">
        <f>MIN(AC79,AE79)</f>
        <v>34042765.710000001</v>
      </c>
      <c r="AR150" s="84">
        <f>AE79-AQ150</f>
        <v>0</v>
      </c>
      <c r="AS150" s="84">
        <f>AC79-AQ150</f>
        <v>2076515.2899999991</v>
      </c>
      <c r="AT150" s="84"/>
      <c r="AU150" s="84"/>
      <c r="AV150" s="84"/>
    </row>
    <row r="151" spans="43:48" x14ac:dyDescent="0.25">
      <c r="AQ151" s="84"/>
      <c r="AR151" s="84"/>
      <c r="AS151" s="84"/>
      <c r="AT151" s="84">
        <f>MIN(AD79,AF79)</f>
        <v>30631240</v>
      </c>
      <c r="AU151" s="84">
        <f>AF79-AT151</f>
        <v>2076515.2899999991</v>
      </c>
      <c r="AV151" s="84">
        <f>AD79-AT151</f>
        <v>0</v>
      </c>
    </row>
    <row r="152" spans="43:48" x14ac:dyDescent="0.25">
      <c r="AQ152" s="84">
        <f>MIN(AC80,AE80)</f>
        <v>88266970.409999996</v>
      </c>
      <c r="AR152" s="84">
        <f>AE80-AQ152</f>
        <v>0</v>
      </c>
      <c r="AS152" s="84">
        <f>AC80-AQ152</f>
        <v>4264280.5900000036</v>
      </c>
      <c r="AT152" s="84"/>
      <c r="AU152" s="84"/>
      <c r="AV152" s="84"/>
    </row>
    <row r="153" spans="43:48" x14ac:dyDescent="0.25">
      <c r="AQ153" s="84"/>
      <c r="AR153" s="84"/>
      <c r="AS153" s="84"/>
      <c r="AT153" s="84">
        <f>MIN(AD80,AF80)</f>
        <v>80541240</v>
      </c>
      <c r="AU153" s="84">
        <f>AF80-AT153</f>
        <v>4264280.5900000036</v>
      </c>
      <c r="AV153" s="84">
        <f>AD80-AT153</f>
        <v>0</v>
      </c>
    </row>
    <row r="154" spans="43:48" x14ac:dyDescent="0.25">
      <c r="AQ154" s="84">
        <f>MIN(AC81,AE81)</f>
        <v>40085583.840000004</v>
      </c>
      <c r="AR154" s="84">
        <f>AE81-AQ154</f>
        <v>0</v>
      </c>
      <c r="AS154" s="84">
        <f>AC81-AQ154</f>
        <v>716117.15999999642</v>
      </c>
      <c r="AT154" s="84"/>
      <c r="AU154" s="84"/>
      <c r="AV154" s="84"/>
    </row>
    <row r="155" spans="43:48" x14ac:dyDescent="0.25">
      <c r="AQ155" s="84"/>
      <c r="AR155" s="84"/>
      <c r="AS155" s="84"/>
      <c r="AT155" s="84">
        <f>MIN(AD81,AF81)</f>
        <v>37797483</v>
      </c>
      <c r="AU155" s="84">
        <f>AF81-AT155</f>
        <v>716117.15999999642</v>
      </c>
      <c r="AV155" s="84">
        <f>AD81-AT155</f>
        <v>0</v>
      </c>
    </row>
    <row r="156" spans="43:48" x14ac:dyDescent="0.25">
      <c r="AQ156" s="84"/>
      <c r="AR156" s="84"/>
      <c r="AS156" s="84"/>
      <c r="AT156" s="84"/>
      <c r="AU156" s="84"/>
      <c r="AV156" s="84"/>
    </row>
    <row r="157" spans="43:48" x14ac:dyDescent="0.25">
      <c r="AQ157" s="84"/>
      <c r="AR157" s="84"/>
      <c r="AS157" s="84"/>
      <c r="AT157" s="84"/>
      <c r="AU157" s="84"/>
      <c r="AV157" s="84"/>
    </row>
    <row r="158" spans="43:48" x14ac:dyDescent="0.25">
      <c r="AQ158" s="84"/>
      <c r="AR158" s="84"/>
      <c r="AS158" s="84"/>
      <c r="AT158" s="84"/>
      <c r="AU158" s="84"/>
      <c r="AV158" s="84"/>
    </row>
    <row r="159" spans="43:48" x14ac:dyDescent="0.25">
      <c r="AQ159" s="84"/>
      <c r="AR159" s="84"/>
      <c r="AS159" s="84"/>
      <c r="AT159" s="84"/>
      <c r="AU159" s="84"/>
      <c r="AV159" s="84"/>
    </row>
    <row r="160" spans="43:48" x14ac:dyDescent="0.25">
      <c r="AQ160" s="84"/>
      <c r="AR160" s="84"/>
      <c r="AS160" s="84"/>
      <c r="AT160" s="84"/>
      <c r="AU160" s="84"/>
      <c r="AV160" s="84"/>
    </row>
    <row r="161" spans="2:48" x14ac:dyDescent="0.25">
      <c r="AQ161" s="84"/>
      <c r="AR161" s="84"/>
      <c r="AS161" s="84"/>
      <c r="AT161" s="84"/>
      <c r="AU161" s="84"/>
      <c r="AV161" s="84"/>
    </row>
    <row r="162" spans="2:48" x14ac:dyDescent="0.25">
      <c r="AQ162" s="84"/>
      <c r="AR162" s="84"/>
      <c r="AS162" s="84"/>
      <c r="AT162" s="84"/>
      <c r="AU162" s="84"/>
      <c r="AV162" s="84"/>
    </row>
    <row r="163" spans="2:48" x14ac:dyDescent="0.25">
      <c r="AQ163" s="84"/>
      <c r="AR163" s="84"/>
      <c r="AS163" s="84"/>
      <c r="AT163" s="84"/>
      <c r="AU163" s="84"/>
      <c r="AV163" s="84"/>
    </row>
    <row r="164" spans="2:48" x14ac:dyDescent="0.25">
      <c r="AQ164" s="84"/>
      <c r="AR164" s="84"/>
      <c r="AS164" s="84"/>
      <c r="AT164" s="84"/>
      <c r="AU164" s="84"/>
      <c r="AV164" s="84"/>
    </row>
    <row r="165" spans="2:48" x14ac:dyDescent="0.25">
      <c r="AQ165" s="84"/>
      <c r="AR165" s="84"/>
      <c r="AS165" s="84"/>
      <c r="AT165" s="84"/>
      <c r="AU165" s="84"/>
      <c r="AV165" s="84"/>
    </row>
    <row r="167" spans="2:48" x14ac:dyDescent="0.25">
      <c r="B167" s="20" t="s">
        <v>323</v>
      </c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</row>
  </sheetData>
  <sheetProtection sort="0"/>
  <sortState xmlns:xlrd2="http://schemas.microsoft.com/office/spreadsheetml/2017/richdata2" ref="B8:C85">
    <sortCondition ref="B8:B85"/>
  </sortState>
  <conditionalFormatting sqref="AO8:AO86">
    <cfRule type="expression" dxfId="10" priority="1">
      <formula>AO8&gt;AN8</formula>
    </cfRule>
    <cfRule type="expression" dxfId="9" priority="2">
      <formula>AO8&lt;AN8</formula>
    </cfRule>
  </conditionalFormatting>
  <hyperlinks>
    <hyperlink ref="B4" location="Calculation!B8:C85" display="Step 3. Sort ascending B8:C85 by column B" xr:uid="{00000000-0004-0000-02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  <pageSetUpPr fitToPage="1"/>
  </sheetPr>
  <dimension ref="A1:AE95"/>
  <sheetViews>
    <sheetView showGridLines="0" zoomScale="88" zoomScaleNormal="88" workbookViewId="0"/>
  </sheetViews>
  <sheetFormatPr defaultColWidth="0" defaultRowHeight="13.2" zeroHeight="1" x14ac:dyDescent="0.25"/>
  <cols>
    <col min="1" max="1" width="3.81640625" style="114" customWidth="1"/>
    <col min="2" max="2" width="30.81640625" style="114" customWidth="1"/>
    <col min="3" max="3" width="12.6328125" style="114" customWidth="1"/>
    <col min="4" max="4" width="9.453125" style="114" customWidth="1"/>
    <col min="5" max="5" width="10.453125" style="114" customWidth="1"/>
    <col min="6" max="7" width="9.1796875" style="114" customWidth="1"/>
    <col min="8" max="8" width="12.54296875" style="114" customWidth="1"/>
    <col min="9" max="16" width="9.1796875" style="114" customWidth="1"/>
    <col min="17" max="17" width="28.6328125" style="114" customWidth="1"/>
    <col min="18" max="18" width="20.81640625" style="114" customWidth="1"/>
    <col min="19" max="20" width="14.36328125" style="114" customWidth="1"/>
    <col min="21" max="21" width="9.1796875" style="114" customWidth="1"/>
    <col min="22" max="31" width="0" style="114" hidden="1" customWidth="1"/>
    <col min="32" max="16384" width="9.1796875" style="114" hidden="1"/>
  </cols>
  <sheetData>
    <row r="1" spans="2:20" x14ac:dyDescent="0.25"/>
    <row r="2" spans="2:20" x14ac:dyDescent="0.25">
      <c r="B2" s="20" t="s">
        <v>276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</row>
    <row r="3" spans="2:20" x14ac:dyDescent="0.25">
      <c r="B3" s="20" t="s">
        <v>330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2:20" x14ac:dyDescent="0.25">
      <c r="B4" s="116"/>
      <c r="C4" s="117"/>
    </row>
    <row r="5" spans="2:20" x14ac:dyDescent="0.25">
      <c r="C5" s="118"/>
    </row>
    <row r="6" spans="2:20" ht="26.4" x14ac:dyDescent="0.25">
      <c r="I6" s="119"/>
      <c r="Q6" s="121" t="str">
        <f>Calculation!AM7</f>
        <v>Approved Organisation</v>
      </c>
      <c r="R6" s="234" t="s">
        <v>363</v>
      </c>
      <c r="S6" s="121" t="s">
        <v>364</v>
      </c>
      <c r="T6" s="121" t="s">
        <v>367</v>
      </c>
    </row>
    <row r="7" spans="2:20" x14ac:dyDescent="0.25">
      <c r="B7" s="122" t="s">
        <v>136</v>
      </c>
      <c r="C7" s="123" t="s">
        <v>79</v>
      </c>
      <c r="D7" s="124" t="s">
        <v>78</v>
      </c>
      <c r="E7" s="125"/>
      <c r="H7" s="114" t="s">
        <v>110</v>
      </c>
      <c r="J7" s="126"/>
      <c r="Q7" s="120" t="str">
        <f>Calculation!AM8</f>
        <v>Chatham Islands Territory</v>
      </c>
      <c r="R7" s="127">
        <f>Calculation!AN8</f>
        <v>0.88</v>
      </c>
      <c r="S7" s="127">
        <f>Calculation!AO8</f>
        <v>0.88</v>
      </c>
      <c r="T7" s="127">
        <f>S7-R7</f>
        <v>0</v>
      </c>
    </row>
    <row r="8" spans="2:20" ht="13.8" x14ac:dyDescent="0.25">
      <c r="B8" s="231" t="str">
        <f>Parameter!B6</f>
        <v>Centreline KM</v>
      </c>
      <c r="C8" s="128" t="str">
        <f>Parameter!D6</f>
        <v>2019</v>
      </c>
      <c r="D8" s="128" t="str">
        <f>Parameter!E6</f>
        <v>NZ Transport Agency</v>
      </c>
      <c r="E8" s="129"/>
      <c r="H8" s="119" t="s">
        <v>109</v>
      </c>
      <c r="I8" s="114" t="s">
        <v>128</v>
      </c>
      <c r="J8" s="126"/>
      <c r="Q8" s="120" t="str">
        <f>Calculation!AM9</f>
        <v>Wairoa District</v>
      </c>
      <c r="R8" s="127">
        <f>Calculation!AN9</f>
        <v>0.75</v>
      </c>
      <c r="S8" s="127">
        <f>Calculation!AO9</f>
        <v>0.75</v>
      </c>
      <c r="T8" s="127">
        <f t="shared" ref="T8:T71" si="0">S8-R8</f>
        <v>0</v>
      </c>
    </row>
    <row r="9" spans="2:20" ht="13.8" x14ac:dyDescent="0.25">
      <c r="B9" s="231" t="str">
        <f>Parameter!B7</f>
        <v>Capital Value</v>
      </c>
      <c r="C9" s="128" t="str">
        <f>Parameter!D7</f>
        <v>2019</v>
      </c>
      <c r="D9" s="128" t="str">
        <f>Parameter!E7</f>
        <v>Quotable Value</v>
      </c>
      <c r="E9" s="129"/>
      <c r="H9" s="119" t="s">
        <v>108</v>
      </c>
      <c r="I9" s="114" t="s">
        <v>129</v>
      </c>
      <c r="Q9" s="120" t="str">
        <f>Calculation!AM10</f>
        <v>Opotiki District</v>
      </c>
      <c r="R9" s="127">
        <f>Calculation!AN10</f>
        <v>0.75</v>
      </c>
      <c r="S9" s="127">
        <f>Calculation!AO10</f>
        <v>0.75</v>
      </c>
      <c r="T9" s="127">
        <f t="shared" si="0"/>
        <v>0</v>
      </c>
    </row>
    <row r="10" spans="2:20" ht="13.8" x14ac:dyDescent="0.25">
      <c r="B10" s="231" t="str">
        <f>Parameter!B8</f>
        <v>Rateable Units</v>
      </c>
      <c r="C10" s="128" t="str">
        <f>Parameter!D8</f>
        <v>2019</v>
      </c>
      <c r="D10" s="128" t="str">
        <f>Parameter!E8</f>
        <v>Quotable Value</v>
      </c>
      <c r="E10" s="129"/>
      <c r="I10" s="114" t="s">
        <v>130</v>
      </c>
      <c r="Q10" s="120" t="str">
        <f>Calculation!AM11</f>
        <v>Kawerau District</v>
      </c>
      <c r="R10" s="127">
        <f>Calculation!AN11</f>
        <v>0.75</v>
      </c>
      <c r="S10" s="127">
        <f>Calculation!AO11</f>
        <v>0.75</v>
      </c>
      <c r="T10" s="127">
        <f t="shared" si="0"/>
        <v>0</v>
      </c>
    </row>
    <row r="11" spans="2:20" ht="13.8" x14ac:dyDescent="0.25">
      <c r="B11" s="231" t="str">
        <f>Parameter!B9</f>
        <v>NZ Index of Deprivation</v>
      </c>
      <c r="C11" s="130" t="str">
        <f>Parameter!D9</f>
        <v>2018</v>
      </c>
      <c r="D11" s="130" t="str">
        <f>Parameter!E9</f>
        <v>Ministry of Health</v>
      </c>
      <c r="E11" s="129"/>
      <c r="Q11" s="120" t="str">
        <f>Calculation!AM12</f>
        <v>Waitomo District</v>
      </c>
      <c r="R11" s="127">
        <f>Calculation!AN12</f>
        <v>0.73</v>
      </c>
      <c r="S11" s="127">
        <f>Calculation!AO12</f>
        <v>0.75</v>
      </c>
      <c r="T11" s="127">
        <f t="shared" si="0"/>
        <v>2.0000000000000018E-2</v>
      </c>
    </row>
    <row r="12" spans="2:20" ht="13.8" x14ac:dyDescent="0.25">
      <c r="B12" s="232" t="str">
        <f>Parameter!B10</f>
        <v>NLTP Spend</v>
      </c>
      <c r="C12" s="131" t="str">
        <f>Parameter!D10</f>
        <v>2015/19</v>
      </c>
      <c r="D12" s="131" t="str">
        <f>Parameter!E10</f>
        <v>NZ Transport Agency</v>
      </c>
      <c r="E12" s="132"/>
      <c r="Q12" s="120" t="str">
        <f>Calculation!AM13</f>
        <v>Ruapehu District</v>
      </c>
      <c r="R12" s="127">
        <f>Calculation!AN13</f>
        <v>0.72</v>
      </c>
      <c r="S12" s="127">
        <f>Calculation!AO13</f>
        <v>0.74</v>
      </c>
      <c r="T12" s="127">
        <f t="shared" si="0"/>
        <v>2.0000000000000018E-2</v>
      </c>
    </row>
    <row r="13" spans="2:20" x14ac:dyDescent="0.25">
      <c r="B13" s="133"/>
      <c r="C13" s="133"/>
      <c r="D13" s="133"/>
      <c r="E13" s="133"/>
      <c r="Q13" s="120" t="str">
        <f>Calculation!AM14</f>
        <v>Buller District</v>
      </c>
      <c r="R13" s="127">
        <f>Calculation!AN14</f>
        <v>0.66</v>
      </c>
      <c r="S13" s="127">
        <f>Calculation!AO14</f>
        <v>0.72</v>
      </c>
      <c r="T13" s="127">
        <f t="shared" si="0"/>
        <v>5.9999999999999942E-2</v>
      </c>
    </row>
    <row r="14" spans="2:20" x14ac:dyDescent="0.25">
      <c r="B14" s="222" t="str">
        <f>Parameter!H5</f>
        <v>2. FAR System settings</v>
      </c>
      <c r="C14" s="219"/>
      <c r="D14" s="135"/>
      <c r="E14" s="135"/>
      <c r="Q14" s="120" t="str">
        <f>Calculation!AM15</f>
        <v>Tararua District</v>
      </c>
      <c r="R14" s="127">
        <f>Calculation!AN15</f>
        <v>0.66</v>
      </c>
      <c r="S14" s="127">
        <f>Calculation!AO15</f>
        <v>0.69</v>
      </c>
      <c r="T14" s="127">
        <f t="shared" si="0"/>
        <v>2.9999999999999916E-2</v>
      </c>
    </row>
    <row r="15" spans="2:20" x14ac:dyDescent="0.25">
      <c r="B15" s="217" t="str">
        <f>Parameter!H6</f>
        <v>Maximum (Mainland)</v>
      </c>
      <c r="C15" s="220">
        <f>Parameter!J6</f>
        <v>0.75</v>
      </c>
      <c r="D15" s="135"/>
      <c r="E15" s="135"/>
      <c r="Q15" s="120" t="str">
        <f>Calculation!AM16</f>
        <v>Far North District</v>
      </c>
      <c r="R15" s="127">
        <f>Calculation!AN16</f>
        <v>0.66</v>
      </c>
      <c r="S15" s="127">
        <f>Calculation!AO16</f>
        <v>0.69</v>
      </c>
      <c r="T15" s="127">
        <f t="shared" si="0"/>
        <v>2.9999999999999916E-2</v>
      </c>
    </row>
    <row r="16" spans="2:20" x14ac:dyDescent="0.25">
      <c r="B16" s="217" t="str">
        <f>Parameter!H7</f>
        <v>Maximum (off Mainland)</v>
      </c>
      <c r="C16" s="220">
        <f>Parameter!J7</f>
        <v>0.88</v>
      </c>
      <c r="D16" s="135"/>
      <c r="E16" s="135"/>
      <c r="Q16" s="120" t="str">
        <f>Calculation!AM17</f>
        <v>Gisborne District</v>
      </c>
      <c r="R16" s="127">
        <f>Calculation!AN17</f>
        <v>0.68</v>
      </c>
      <c r="S16" s="127">
        <f>Calculation!AO17</f>
        <v>0.66</v>
      </c>
      <c r="T16" s="127">
        <f t="shared" si="0"/>
        <v>-2.0000000000000018E-2</v>
      </c>
    </row>
    <row r="17" spans="2:20" x14ac:dyDescent="0.25">
      <c r="B17" s="217" t="str">
        <f>Parameter!H8</f>
        <v>Overall national rate</v>
      </c>
      <c r="C17" s="220">
        <f>Parameter!J8</f>
        <v>0.53</v>
      </c>
      <c r="D17" s="137" t="str">
        <f>IF(Parameter!J6&lt;Parameter!J8,"Maximum must be greater than overall","")</f>
        <v/>
      </c>
      <c r="E17" s="135"/>
      <c r="Q17" s="120" t="str">
        <f>Calculation!AM18</f>
        <v>Clutha District</v>
      </c>
      <c r="R17" s="127">
        <f>Calculation!AN18</f>
        <v>0.59</v>
      </c>
      <c r="S17" s="127">
        <f>Calculation!AO18</f>
        <v>0.65</v>
      </c>
      <c r="T17" s="127">
        <f t="shared" si="0"/>
        <v>6.0000000000000053E-2</v>
      </c>
    </row>
    <row r="18" spans="2:20" x14ac:dyDescent="0.25">
      <c r="B18" s="218" t="str">
        <f>Parameter!H9</f>
        <v>Minimum</v>
      </c>
      <c r="C18" s="221">
        <f>Parameter!J9</f>
        <v>0.51</v>
      </c>
      <c r="D18" s="137" t="str">
        <f>IF(Parameter!J8&lt;Parameter!J9,"Overall must be greater than core","")</f>
        <v/>
      </c>
      <c r="E18" s="139"/>
      <c r="Q18" s="120" t="str">
        <f>Calculation!AM19</f>
        <v>South Waikato District</v>
      </c>
      <c r="R18" s="127">
        <f>Calculation!AN19</f>
        <v>0.62</v>
      </c>
      <c r="S18" s="127">
        <f>Calculation!AO19</f>
        <v>0.64</v>
      </c>
      <c r="T18" s="127">
        <f t="shared" si="0"/>
        <v>2.0000000000000018E-2</v>
      </c>
    </row>
    <row r="19" spans="2:20" x14ac:dyDescent="0.25">
      <c r="D19" s="135"/>
      <c r="E19" s="135"/>
      <c r="Q19" s="120" t="str">
        <f>Calculation!AM20</f>
        <v>Waimate District</v>
      </c>
      <c r="R19" s="127">
        <f>Calculation!AN20</f>
        <v>0.6</v>
      </c>
      <c r="S19" s="127">
        <f>Calculation!AO20</f>
        <v>0.64</v>
      </c>
      <c r="T19" s="127">
        <f t="shared" si="0"/>
        <v>4.0000000000000036E-2</v>
      </c>
    </row>
    <row r="20" spans="2:20" x14ac:dyDescent="0.25">
      <c r="Q20" s="120" t="str">
        <f>Calculation!AM21</f>
        <v>West Coast Regional</v>
      </c>
      <c r="R20" s="127">
        <f>Calculation!AN21</f>
        <v>0.6</v>
      </c>
      <c r="S20" s="127">
        <f>Calculation!AO21</f>
        <v>0.64</v>
      </c>
      <c r="T20" s="127">
        <f t="shared" si="0"/>
        <v>4.0000000000000036E-2</v>
      </c>
    </row>
    <row r="21" spans="2:20" x14ac:dyDescent="0.25">
      <c r="B21" s="230" t="str">
        <f>Parameter!$H$11</f>
        <v>3.  Overall Resulting FAR</v>
      </c>
      <c r="C21" s="223">
        <f>Parameter!$J$11</f>
        <v>0.53004359155915581</v>
      </c>
      <c r="Q21" s="120" t="str">
        <f>Calculation!AM22</f>
        <v>Rangitikei District</v>
      </c>
      <c r="R21" s="127">
        <f>Calculation!AN22</f>
        <v>0.63</v>
      </c>
      <c r="S21" s="127">
        <f>Calculation!AO22</f>
        <v>0.63</v>
      </c>
      <c r="T21" s="127">
        <f t="shared" si="0"/>
        <v>0</v>
      </c>
    </row>
    <row r="22" spans="2:20" x14ac:dyDescent="0.25">
      <c r="Q22" s="120" t="str">
        <f>Calculation!AM23</f>
        <v>Grey District</v>
      </c>
      <c r="R22" s="127">
        <f>Calculation!AN23</f>
        <v>0.57999999999999996</v>
      </c>
      <c r="S22" s="127">
        <f>Calculation!AO23</f>
        <v>0.63</v>
      </c>
      <c r="T22" s="127">
        <f t="shared" si="0"/>
        <v>5.0000000000000044E-2</v>
      </c>
    </row>
    <row r="23" spans="2:20" x14ac:dyDescent="0.25">
      <c r="B23" s="222" t="str">
        <f>Parameter!H13</f>
        <v>4. Change multiplier to</v>
      </c>
      <c r="C23" s="224">
        <f>Parameter!J13</f>
        <v>7.7992178376824872E-2</v>
      </c>
      <c r="D23" s="216"/>
      <c r="Q23" s="120" t="str">
        <f>Calculation!AM24</f>
        <v>Whakatane District</v>
      </c>
      <c r="R23" s="127">
        <f>Calculation!AN24</f>
        <v>0.64</v>
      </c>
      <c r="S23" s="127">
        <f>Calculation!AO24</f>
        <v>0.63</v>
      </c>
      <c r="T23" s="127">
        <f t="shared" si="0"/>
        <v>-1.0000000000000009E-2</v>
      </c>
    </row>
    <row r="24" spans="2:20" x14ac:dyDescent="0.25">
      <c r="B24" s="217" t="str">
        <f>Parameter!H14</f>
        <v xml:space="preserve">     get under 0.01% tolerance</v>
      </c>
      <c r="C24" s="225">
        <f>Parameter!J14</f>
        <v>4.3591559155786719E-5</v>
      </c>
      <c r="D24" s="226"/>
      <c r="Q24" s="120" t="str">
        <f>Calculation!AM25</f>
        <v>South Taranaki District</v>
      </c>
      <c r="R24" s="127">
        <f>Calculation!AN25</f>
        <v>0.57999999999999996</v>
      </c>
      <c r="S24" s="127">
        <f>Calculation!AO25</f>
        <v>0.63</v>
      </c>
      <c r="T24" s="127">
        <f t="shared" si="0"/>
        <v>5.0000000000000044E-2</v>
      </c>
    </row>
    <row r="25" spans="2:20" x14ac:dyDescent="0.25">
      <c r="B25" s="217" t="str">
        <f>Parameter!H15</f>
        <v xml:space="preserve">     Checking</v>
      </c>
      <c r="C25" s="227" t="str">
        <f>Parameter!J15</f>
        <v>Within tolerance</v>
      </c>
      <c r="D25" s="226"/>
      <c r="Q25" s="120" t="str">
        <f>Calculation!AM26</f>
        <v>Westland District</v>
      </c>
      <c r="R25" s="127">
        <f>Calculation!AN26</f>
        <v>0.59</v>
      </c>
      <c r="S25" s="127">
        <f>Calculation!AO26</f>
        <v>0.62</v>
      </c>
      <c r="T25" s="127">
        <f t="shared" si="0"/>
        <v>3.0000000000000027E-2</v>
      </c>
    </row>
    <row r="26" spans="2:20" x14ac:dyDescent="0.25">
      <c r="B26" s="218"/>
      <c r="C26" s="228"/>
      <c r="D26" s="229"/>
      <c r="G26" s="114" t="s">
        <v>114</v>
      </c>
      <c r="Q26" s="120" t="str">
        <f>Calculation!AM27</f>
        <v>Kaipara District</v>
      </c>
      <c r="R26" s="127">
        <f>Calculation!AN27</f>
        <v>0.61</v>
      </c>
      <c r="S26" s="127">
        <f>Calculation!AO27</f>
        <v>0.62</v>
      </c>
      <c r="T26" s="127">
        <f t="shared" si="0"/>
        <v>1.0000000000000009E-2</v>
      </c>
    </row>
    <row r="27" spans="2:20" x14ac:dyDescent="0.25">
      <c r="G27" s="114">
        <f>MATCH(B36,Parameter!C20:C98,0)</f>
        <v>79</v>
      </c>
      <c r="Q27" s="120" t="str">
        <f>Calculation!AM28</f>
        <v>Stratford District</v>
      </c>
      <c r="R27" s="127">
        <f>Calculation!AN28</f>
        <v>0.56999999999999995</v>
      </c>
      <c r="S27" s="127">
        <f>Calculation!AO28</f>
        <v>0.61</v>
      </c>
      <c r="T27" s="127">
        <f t="shared" si="0"/>
        <v>4.0000000000000036E-2</v>
      </c>
    </row>
    <row r="28" spans="2:20" ht="15" customHeight="1" x14ac:dyDescent="0.25">
      <c r="B28" s="140" t="s">
        <v>374</v>
      </c>
      <c r="G28" s="114">
        <f ca="1">MATCH(OFFSET(Parameter!B19,G27,0),Calculation!C8:C86,0)</f>
        <v>79</v>
      </c>
      <c r="Q28" s="120" t="str">
        <f>Calculation!AM29</f>
        <v>Otorohanga District</v>
      </c>
      <c r="R28" s="127">
        <f>Calculation!AN29</f>
        <v>0.57999999999999996</v>
      </c>
      <c r="S28" s="127">
        <f>Calculation!AO29</f>
        <v>0.61</v>
      </c>
      <c r="T28" s="127">
        <f t="shared" si="0"/>
        <v>3.0000000000000027E-2</v>
      </c>
    </row>
    <row r="29" spans="2:20" ht="13.8" x14ac:dyDescent="0.25">
      <c r="B29" s="233" t="s">
        <v>319</v>
      </c>
      <c r="Q29" s="120" t="str">
        <f>Calculation!AM30</f>
        <v>Wanganui District</v>
      </c>
      <c r="R29" s="127">
        <f>Calculation!AN30</f>
        <v>0.61</v>
      </c>
      <c r="S29" s="127">
        <f>Calculation!AO30</f>
        <v>0.6</v>
      </c>
      <c r="T29" s="127">
        <f t="shared" si="0"/>
        <v>-1.0000000000000009E-2</v>
      </c>
    </row>
    <row r="30" spans="2:20" x14ac:dyDescent="0.25">
      <c r="B30" s="141" t="s">
        <v>137</v>
      </c>
      <c r="E30" s="133"/>
      <c r="Q30" s="120" t="str">
        <f>Calculation!AM31</f>
        <v>Hauraki District</v>
      </c>
      <c r="R30" s="127">
        <f>Calculation!AN31</f>
        <v>0.6</v>
      </c>
      <c r="S30" s="127">
        <f>Calculation!AO31</f>
        <v>0.6</v>
      </c>
      <c r="T30" s="127">
        <f t="shared" si="0"/>
        <v>0</v>
      </c>
    </row>
    <row r="31" spans="2:20" x14ac:dyDescent="0.25">
      <c r="Q31" s="120" t="str">
        <f>Calculation!AM32</f>
        <v>Horowhenua District</v>
      </c>
      <c r="R31" s="127">
        <f>Calculation!AN32</f>
        <v>0.59</v>
      </c>
      <c r="S31" s="127">
        <f>Calculation!AO32</f>
        <v>0.6</v>
      </c>
      <c r="T31" s="127">
        <f t="shared" si="0"/>
        <v>1.0000000000000009E-2</v>
      </c>
    </row>
    <row r="32" spans="2:20" x14ac:dyDescent="0.25">
      <c r="Q32" s="120" t="str">
        <f>Calculation!AM33</f>
        <v>Gore District</v>
      </c>
      <c r="R32" s="127">
        <f>Calculation!AN33</f>
        <v>0.55000000000000004</v>
      </c>
      <c r="S32" s="127">
        <f>Calculation!AO33</f>
        <v>0.59</v>
      </c>
      <c r="T32" s="127">
        <f t="shared" si="0"/>
        <v>3.9999999999999925E-2</v>
      </c>
    </row>
    <row r="33" spans="2:20" x14ac:dyDescent="0.25">
      <c r="B33" s="146" t="s">
        <v>138</v>
      </c>
      <c r="C33" s="133"/>
      <c r="D33" s="133"/>
      <c r="E33" s="147"/>
      <c r="Q33" s="120" t="str">
        <f>Calculation!AM34</f>
        <v>Central Hawke's Bay District</v>
      </c>
      <c r="R33" s="127">
        <f>Calculation!AN34</f>
        <v>0.6</v>
      </c>
      <c r="S33" s="127">
        <f>Calculation!AO34</f>
        <v>0.59</v>
      </c>
      <c r="T33" s="127">
        <f t="shared" si="0"/>
        <v>-1.0000000000000009E-2</v>
      </c>
    </row>
    <row r="34" spans="2:20" x14ac:dyDescent="0.25">
      <c r="B34" s="148"/>
      <c r="C34" s="133"/>
      <c r="D34" s="133"/>
      <c r="E34" s="147"/>
      <c r="Q34" s="120" t="str">
        <f>Calculation!AM35</f>
        <v>Waitaki District</v>
      </c>
      <c r="R34" s="127">
        <f>Calculation!AN35</f>
        <v>0.55000000000000004</v>
      </c>
      <c r="S34" s="127">
        <f>Calculation!AO35</f>
        <v>0.56999999999999995</v>
      </c>
      <c r="T34" s="127">
        <f t="shared" si="0"/>
        <v>1.9999999999999907E-2</v>
      </c>
    </row>
    <row r="35" spans="2:20" x14ac:dyDescent="0.25">
      <c r="B35" s="149" t="s">
        <v>113</v>
      </c>
      <c r="C35" s="150"/>
      <c r="D35" s="151" t="s">
        <v>369</v>
      </c>
      <c r="E35" s="152" t="s">
        <v>101</v>
      </c>
      <c r="Q35" s="120" t="str">
        <f>Calculation!AM36</f>
        <v>Masterton District</v>
      </c>
      <c r="R35" s="127">
        <f>Calculation!AN36</f>
        <v>0.56999999999999995</v>
      </c>
      <c r="S35" s="127">
        <f>Calculation!AO36</f>
        <v>0.56000000000000005</v>
      </c>
      <c r="T35" s="127">
        <f t="shared" si="0"/>
        <v>-9.9999999999998979E-3</v>
      </c>
    </row>
    <row r="36" spans="2:20" x14ac:dyDescent="0.25">
      <c r="B36" s="153" t="s">
        <v>115</v>
      </c>
      <c r="C36" s="154"/>
      <c r="D36" s="155">
        <f ca="1">ROUND(OFFSET(Calculation!AA7,G28,0),2)</f>
        <v>0.54</v>
      </c>
      <c r="E36" s="156">
        <f ca="1">ROUND(OFFSET(Calculation!Z7,G28,0),2)</f>
        <v>0.53</v>
      </c>
      <c r="Q36" s="120" t="str">
        <f>Calculation!AM37</f>
        <v>Rotorua District</v>
      </c>
      <c r="R36" s="127">
        <f>Calculation!AN37</f>
        <v>0.55000000000000004</v>
      </c>
      <c r="S36" s="127">
        <f>Calculation!AO37</f>
        <v>0.56000000000000005</v>
      </c>
      <c r="T36" s="127">
        <f t="shared" si="0"/>
        <v>1.0000000000000009E-2</v>
      </c>
    </row>
    <row r="37" spans="2:20" x14ac:dyDescent="0.25">
      <c r="C37" s="133"/>
      <c r="D37" s="133"/>
      <c r="E37" s="133"/>
      <c r="Q37" s="120" t="str">
        <f>Calculation!AM38</f>
        <v>Northland Regional</v>
      </c>
      <c r="R37" s="127">
        <f>Calculation!AN38</f>
        <v>0.54</v>
      </c>
      <c r="S37" s="127">
        <f>Calculation!AO38</f>
        <v>0.54</v>
      </c>
      <c r="T37" s="127">
        <f t="shared" si="0"/>
        <v>0</v>
      </c>
    </row>
    <row r="38" spans="2:20" x14ac:dyDescent="0.25">
      <c r="C38" s="133"/>
      <c r="D38" s="133"/>
      <c r="E38" s="133"/>
      <c r="Q38" s="120" t="str">
        <f>Calculation!AM39</f>
        <v>Whangarei District</v>
      </c>
      <c r="R38" s="127">
        <f>Calculation!AN39</f>
        <v>0.53</v>
      </c>
      <c r="S38" s="127">
        <f>Calculation!AO39</f>
        <v>0.53</v>
      </c>
      <c r="T38" s="127">
        <f t="shared" si="0"/>
        <v>0</v>
      </c>
    </row>
    <row r="39" spans="2:20" x14ac:dyDescent="0.25">
      <c r="B39" s="260" t="s">
        <v>388</v>
      </c>
      <c r="C39" s="260"/>
      <c r="D39" s="260"/>
      <c r="E39" s="133"/>
      <c r="Q39" s="120" t="str">
        <f>Calculation!AM40</f>
        <v>Hastings District</v>
      </c>
      <c r="R39" s="127">
        <f>Calculation!AN40</f>
        <v>0.54</v>
      </c>
      <c r="S39" s="127">
        <f>Calculation!AO40</f>
        <v>0.53</v>
      </c>
      <c r="T39" s="127">
        <f t="shared" si="0"/>
        <v>-1.0000000000000009E-2</v>
      </c>
    </row>
    <row r="40" spans="2:20" x14ac:dyDescent="0.25">
      <c r="E40" s="133"/>
      <c r="Q40" s="120" t="str">
        <f>Calculation!AM41</f>
        <v>Hurunui District</v>
      </c>
      <c r="R40" s="127">
        <f>Calculation!AN41</f>
        <v>0.51</v>
      </c>
      <c r="S40" s="127">
        <f>Calculation!AO41</f>
        <v>0.52</v>
      </c>
      <c r="T40" s="127">
        <f t="shared" si="0"/>
        <v>1.0000000000000009E-2</v>
      </c>
    </row>
    <row r="41" spans="2:20" x14ac:dyDescent="0.25">
      <c r="B41" s="114" t="s">
        <v>389</v>
      </c>
      <c r="D41" s="114">
        <f>COUNTIF($T$7:$T$84,"&gt;0")</f>
        <v>22</v>
      </c>
      <c r="Q41" s="120" t="str">
        <f>Calculation!AM42</f>
        <v>Southland District</v>
      </c>
      <c r="R41" s="127">
        <f>Calculation!AN42</f>
        <v>0.51</v>
      </c>
      <c r="S41" s="127">
        <f>Calculation!AO42</f>
        <v>0.52</v>
      </c>
      <c r="T41" s="127">
        <f t="shared" si="0"/>
        <v>1.0000000000000009E-2</v>
      </c>
    </row>
    <row r="42" spans="2:20" ht="15" customHeight="1" x14ac:dyDescent="0.25">
      <c r="B42" s="114" t="s">
        <v>390</v>
      </c>
      <c r="D42" s="114">
        <f>COUNTIF($T$7:$T$84,"&lt;0")</f>
        <v>11</v>
      </c>
      <c r="Q42" s="120" t="str">
        <f>Calculation!AM43</f>
        <v>Porirua City</v>
      </c>
      <c r="R42" s="127">
        <f>Calculation!AN43</f>
        <v>0.56000000000000005</v>
      </c>
      <c r="S42" s="127">
        <f>Calculation!AO43</f>
        <v>0.52</v>
      </c>
      <c r="T42" s="127">
        <f t="shared" si="0"/>
        <v>-4.0000000000000036E-2</v>
      </c>
    </row>
    <row r="43" spans="2:20" x14ac:dyDescent="0.25">
      <c r="B43" s="114" t="s">
        <v>391</v>
      </c>
      <c r="D43" s="114">
        <f>COUNTIF($T$7:$T$84,0)</f>
        <v>45</v>
      </c>
      <c r="Q43" s="120" t="str">
        <f>Calculation!AM44</f>
        <v>Southland Regional</v>
      </c>
      <c r="R43" s="127">
        <f>Calculation!AN44</f>
        <v>0.51</v>
      </c>
      <c r="S43" s="127">
        <f>Calculation!AO44</f>
        <v>0.52</v>
      </c>
      <c r="T43" s="127">
        <f t="shared" si="0"/>
        <v>1.0000000000000009E-2</v>
      </c>
    </row>
    <row r="44" spans="2:20" x14ac:dyDescent="0.25">
      <c r="Q44" s="120" t="str">
        <f>Calculation!AM45</f>
        <v>Manawatu District</v>
      </c>
      <c r="R44" s="127">
        <f>Calculation!AN45</f>
        <v>0.53</v>
      </c>
      <c r="S44" s="127">
        <f>Calculation!AO45</f>
        <v>0.51</v>
      </c>
      <c r="T44" s="127">
        <f t="shared" si="0"/>
        <v>-2.0000000000000018E-2</v>
      </c>
    </row>
    <row r="45" spans="2:20" x14ac:dyDescent="0.25">
      <c r="B45" s="260" t="s">
        <v>392</v>
      </c>
      <c r="C45" s="260"/>
      <c r="D45" s="260"/>
      <c r="Q45" s="120" t="str">
        <f>Calculation!AM46</f>
        <v>Matamata-Piako District</v>
      </c>
      <c r="R45" s="127">
        <f>Calculation!AN46</f>
        <v>0.51</v>
      </c>
      <c r="S45" s="127">
        <f>Calculation!AO46</f>
        <v>0.51</v>
      </c>
      <c r="T45" s="127">
        <f t="shared" si="0"/>
        <v>0</v>
      </c>
    </row>
    <row r="46" spans="2:20" x14ac:dyDescent="0.25">
      <c r="C46" s="133"/>
      <c r="D46" s="133"/>
      <c r="Q46" s="120" t="str">
        <f>Calculation!AM47</f>
        <v>Kaikoura District</v>
      </c>
      <c r="R46" s="127">
        <f>Calculation!AN47</f>
        <v>0.51</v>
      </c>
      <c r="S46" s="127">
        <f>Calculation!AO47</f>
        <v>0.51</v>
      </c>
      <c r="T46" s="127">
        <f t="shared" si="0"/>
        <v>0</v>
      </c>
    </row>
    <row r="47" spans="2:20" x14ac:dyDescent="0.25">
      <c r="B47" s="117" t="s">
        <v>393</v>
      </c>
      <c r="Q47" s="120" t="str">
        <f>Calculation!AM48</f>
        <v>Carterton District</v>
      </c>
      <c r="R47" s="127">
        <f>Calculation!AN48</f>
        <v>0.53</v>
      </c>
      <c r="S47" s="127">
        <f>Calculation!AO48</f>
        <v>0.51</v>
      </c>
      <c r="T47" s="127">
        <f t="shared" si="0"/>
        <v>-2.0000000000000018E-2</v>
      </c>
    </row>
    <row r="48" spans="2:20" x14ac:dyDescent="0.25">
      <c r="B48" s="13"/>
      <c r="C48" s="13" t="s">
        <v>394</v>
      </c>
      <c r="D48" s="13" t="s">
        <v>395</v>
      </c>
      <c r="Q48" s="120" t="str">
        <f>Calculation!AM49</f>
        <v>Invercargill City</v>
      </c>
      <c r="R48" s="127">
        <f>Calculation!AN49</f>
        <v>0.51</v>
      </c>
      <c r="S48" s="127">
        <f>Calculation!AO49</f>
        <v>0.51</v>
      </c>
      <c r="T48" s="127">
        <f t="shared" si="0"/>
        <v>0</v>
      </c>
    </row>
    <row r="49" spans="2:20" x14ac:dyDescent="0.25">
      <c r="B49" s="114" t="s">
        <v>396</v>
      </c>
      <c r="C49" s="261">
        <f>Calculation!AC86</f>
        <v>4277143225</v>
      </c>
      <c r="D49" s="262">
        <f>C49/C51</f>
        <v>0.53811584703953852</v>
      </c>
      <c r="Q49" s="120" t="str">
        <f>Calculation!AM50</f>
        <v>Ashburton District</v>
      </c>
      <c r="R49" s="127">
        <f>Calculation!AN50</f>
        <v>0.51</v>
      </c>
      <c r="S49" s="127">
        <f>Calculation!AO50</f>
        <v>0.51</v>
      </c>
      <c r="T49" s="127">
        <f t="shared" si="0"/>
        <v>0</v>
      </c>
    </row>
    <row r="50" spans="2:20" x14ac:dyDescent="0.25">
      <c r="B50" s="114" t="s">
        <v>102</v>
      </c>
      <c r="C50" s="261">
        <f>Calculation!AD86</f>
        <v>3671225604</v>
      </c>
      <c r="D50" s="262">
        <f>C50/C51</f>
        <v>0.46188415296046148</v>
      </c>
      <c r="Q50" s="120" t="str">
        <f>Calculation!AM51</f>
        <v>Timaru District</v>
      </c>
      <c r="R50" s="127">
        <f>Calculation!AN51</f>
        <v>0.51</v>
      </c>
      <c r="S50" s="127">
        <f>Calculation!AO51</f>
        <v>0.51</v>
      </c>
      <c r="T50" s="127">
        <f t="shared" si="0"/>
        <v>0</v>
      </c>
    </row>
    <row r="51" spans="2:20" x14ac:dyDescent="0.25">
      <c r="B51" s="114" t="s">
        <v>397</v>
      </c>
      <c r="C51" s="261">
        <f>SUM(C49:C50)</f>
        <v>7948368829</v>
      </c>
      <c r="D51" s="262">
        <f>SUM(D49:D50)</f>
        <v>1</v>
      </c>
      <c r="Q51" s="120" t="str">
        <f>Calculation!AM52</f>
        <v>Taranaki Regional</v>
      </c>
      <c r="R51" s="127">
        <f>Calculation!AN52</f>
        <v>0.51</v>
      </c>
      <c r="S51" s="127">
        <f>Calculation!AO52</f>
        <v>0.51</v>
      </c>
      <c r="T51" s="127">
        <f t="shared" si="0"/>
        <v>0</v>
      </c>
    </row>
    <row r="52" spans="2:20" x14ac:dyDescent="0.25">
      <c r="Q52" s="120" t="str">
        <f>Calculation!AM53</f>
        <v>Waikato District</v>
      </c>
      <c r="R52" s="127">
        <f>Calculation!AN53</f>
        <v>0.52</v>
      </c>
      <c r="S52" s="127">
        <f>Calculation!AO53</f>
        <v>0.51</v>
      </c>
      <c r="T52" s="127">
        <f t="shared" si="0"/>
        <v>-1.0000000000000009E-2</v>
      </c>
    </row>
    <row r="53" spans="2:20" x14ac:dyDescent="0.25">
      <c r="B53" s="117" t="s">
        <v>103</v>
      </c>
      <c r="Q53" s="120" t="str">
        <f>Calculation!AM54</f>
        <v>Hawkes Bay Regional</v>
      </c>
      <c r="R53" s="127">
        <f>Calculation!AN54</f>
        <v>0.51</v>
      </c>
      <c r="S53" s="127">
        <f>Calculation!AO54</f>
        <v>0.51</v>
      </c>
      <c r="T53" s="127">
        <f t="shared" si="0"/>
        <v>0</v>
      </c>
    </row>
    <row r="54" spans="2:20" x14ac:dyDescent="0.25">
      <c r="B54" s="13"/>
      <c r="C54" s="13" t="s">
        <v>394</v>
      </c>
      <c r="D54" s="13" t="s">
        <v>395</v>
      </c>
      <c r="Q54" s="120" t="str">
        <f>Calculation!AM55</f>
        <v>South Wairarapa District</v>
      </c>
      <c r="R54" s="127">
        <f>Calculation!AN55</f>
        <v>0.52</v>
      </c>
      <c r="S54" s="127">
        <f>Calculation!AO55</f>
        <v>0.51</v>
      </c>
      <c r="T54" s="127">
        <f t="shared" si="0"/>
        <v>-1.0000000000000009E-2</v>
      </c>
    </row>
    <row r="55" spans="2:20" x14ac:dyDescent="0.25">
      <c r="B55" s="114" t="s">
        <v>396</v>
      </c>
      <c r="C55" s="261">
        <f>Calculation!AE86</f>
        <v>4212981961.1600013</v>
      </c>
      <c r="D55" s="262">
        <f>C55/C57</f>
        <v>0.53004359155915581</v>
      </c>
      <c r="Q55" s="120" t="str">
        <f>Calculation!AM56</f>
        <v>Napier City</v>
      </c>
      <c r="R55" s="127">
        <f>Calculation!AN56</f>
        <v>0.51</v>
      </c>
      <c r="S55" s="127">
        <f>Calculation!AO56</f>
        <v>0.51</v>
      </c>
      <c r="T55" s="127">
        <f t="shared" si="0"/>
        <v>0</v>
      </c>
    </row>
    <row r="56" spans="2:20" x14ac:dyDescent="0.25">
      <c r="B56" s="114" t="s">
        <v>102</v>
      </c>
      <c r="C56" s="261">
        <f>Calculation!AF86</f>
        <v>3735386867.8399992</v>
      </c>
      <c r="D56" s="262">
        <f>C56/C57</f>
        <v>0.4699564084408443</v>
      </c>
      <c r="Q56" s="120" t="str">
        <f>Calculation!AM57</f>
        <v>Thames-Coromandel District</v>
      </c>
      <c r="R56" s="127">
        <f>Calculation!AN57</f>
        <v>0.51</v>
      </c>
      <c r="S56" s="127">
        <f>Calculation!AO57</f>
        <v>0.51</v>
      </c>
      <c r="T56" s="127">
        <f t="shared" si="0"/>
        <v>0</v>
      </c>
    </row>
    <row r="57" spans="2:20" x14ac:dyDescent="0.25">
      <c r="B57" s="114" t="s">
        <v>397</v>
      </c>
      <c r="C57" s="261">
        <f>SUM(C55:C56)</f>
        <v>7948368829</v>
      </c>
      <c r="D57" s="262">
        <f>SUM(D55:D56)</f>
        <v>1</v>
      </c>
      <c r="Q57" s="120" t="str">
        <f>Calculation!AM58</f>
        <v>Taupo District</v>
      </c>
      <c r="R57" s="127">
        <f>Calculation!AN58</f>
        <v>0.51</v>
      </c>
      <c r="S57" s="127">
        <f>Calculation!AO58</f>
        <v>0.51</v>
      </c>
      <c r="T57" s="127">
        <f t="shared" si="0"/>
        <v>0</v>
      </c>
    </row>
    <row r="58" spans="2:20" x14ac:dyDescent="0.25">
      <c r="Q58" s="120" t="str">
        <f>Calculation!AM59</f>
        <v>Manawatu-Wanganui Regional</v>
      </c>
      <c r="R58" s="127">
        <f>Calculation!AN59</f>
        <v>0.51</v>
      </c>
      <c r="S58" s="127">
        <f>Calculation!AO59</f>
        <v>0.51</v>
      </c>
      <c r="T58" s="127">
        <f t="shared" si="0"/>
        <v>0</v>
      </c>
    </row>
    <row r="59" spans="2:20" x14ac:dyDescent="0.25">
      <c r="B59" s="117" t="s">
        <v>398</v>
      </c>
      <c r="Q59" s="120" t="str">
        <f>Calculation!AM60</f>
        <v>Mackenzie District</v>
      </c>
      <c r="R59" s="127">
        <f>Calculation!AN60</f>
        <v>0.51</v>
      </c>
      <c r="S59" s="127">
        <f>Calculation!AO60</f>
        <v>0.51</v>
      </c>
      <c r="T59" s="127">
        <f t="shared" si="0"/>
        <v>0</v>
      </c>
    </row>
    <row r="60" spans="2:20" x14ac:dyDescent="0.25">
      <c r="B60" s="13"/>
      <c r="C60" s="13" t="s">
        <v>394</v>
      </c>
      <c r="D60" s="13" t="s">
        <v>399</v>
      </c>
      <c r="Q60" s="120" t="str">
        <f>Calculation!AM61</f>
        <v>Hamilton City</v>
      </c>
      <c r="R60" s="127">
        <f>Calculation!AN61</f>
        <v>0.51</v>
      </c>
      <c r="S60" s="127">
        <f>Calculation!AO61</f>
        <v>0.51</v>
      </c>
      <c r="T60" s="127">
        <f t="shared" si="0"/>
        <v>0</v>
      </c>
    </row>
    <row r="61" spans="2:20" x14ac:dyDescent="0.25">
      <c r="B61" s="114" t="s">
        <v>400</v>
      </c>
      <c r="C61" s="263">
        <f>C55-C49</f>
        <v>-64161263.839998722</v>
      </c>
      <c r="D61" s="262">
        <f>C55/C49-1</f>
        <v>-1.500096219948277E-2</v>
      </c>
      <c r="Q61" s="120" t="str">
        <f>Calculation!AM62</f>
        <v>Palmerston North City</v>
      </c>
      <c r="R61" s="127">
        <f>Calculation!AN62</f>
        <v>0.51</v>
      </c>
      <c r="S61" s="127">
        <f>Calculation!AO62</f>
        <v>0.51</v>
      </c>
      <c r="T61" s="127">
        <f t="shared" si="0"/>
        <v>0</v>
      </c>
    </row>
    <row r="62" spans="2:20" x14ac:dyDescent="0.25">
      <c r="Q62" s="120" t="str">
        <f>Calculation!AM63</f>
        <v>New Plymouth District</v>
      </c>
      <c r="R62" s="127">
        <f>Calculation!AN63</f>
        <v>0.51</v>
      </c>
      <c r="S62" s="127">
        <f>Calculation!AO63</f>
        <v>0.51</v>
      </c>
      <c r="T62" s="127">
        <f t="shared" si="0"/>
        <v>0</v>
      </c>
    </row>
    <row r="63" spans="2:20" x14ac:dyDescent="0.25">
      <c r="Q63" s="120" t="str">
        <f>Calculation!AM64</f>
        <v>Lower Hutt City</v>
      </c>
      <c r="R63" s="127">
        <f>Calculation!AN64</f>
        <v>0.51</v>
      </c>
      <c r="S63" s="127">
        <f>Calculation!AO64</f>
        <v>0.51</v>
      </c>
      <c r="T63" s="127">
        <f t="shared" si="0"/>
        <v>0</v>
      </c>
    </row>
    <row r="64" spans="2:20" x14ac:dyDescent="0.25">
      <c r="Q64" s="120" t="str">
        <f>Calculation!AM65</f>
        <v>Central Otago District</v>
      </c>
      <c r="R64" s="127">
        <f>Calculation!AN65</f>
        <v>0.51</v>
      </c>
      <c r="S64" s="127">
        <f>Calculation!AO65</f>
        <v>0.51</v>
      </c>
      <c r="T64" s="127">
        <f t="shared" si="0"/>
        <v>0</v>
      </c>
    </row>
    <row r="65" spans="17:20" x14ac:dyDescent="0.25">
      <c r="Q65" s="120" t="str">
        <f>Calculation!AM66</f>
        <v>Tasman District</v>
      </c>
      <c r="R65" s="127">
        <f>Calculation!AN66</f>
        <v>0.51</v>
      </c>
      <c r="S65" s="127">
        <f>Calculation!AO66</f>
        <v>0.51</v>
      </c>
      <c r="T65" s="127">
        <f t="shared" si="0"/>
        <v>0</v>
      </c>
    </row>
    <row r="66" spans="17:20" x14ac:dyDescent="0.25">
      <c r="Q66" s="120" t="str">
        <f>Calculation!AM67</f>
        <v>Marlborough District</v>
      </c>
      <c r="R66" s="127">
        <f>Calculation!AN67</f>
        <v>0.51</v>
      </c>
      <c r="S66" s="127">
        <f>Calculation!AO67</f>
        <v>0.51</v>
      </c>
      <c r="T66" s="127">
        <f t="shared" si="0"/>
        <v>0</v>
      </c>
    </row>
    <row r="67" spans="17:20" x14ac:dyDescent="0.25">
      <c r="Q67" s="120" t="str">
        <f>Calculation!AM68</f>
        <v>Western Bay of Plenty District</v>
      </c>
      <c r="R67" s="127">
        <f>Calculation!AN68</f>
        <v>0.51</v>
      </c>
      <c r="S67" s="127">
        <f>Calculation!AO68</f>
        <v>0.51</v>
      </c>
      <c r="T67" s="127">
        <f t="shared" si="0"/>
        <v>0</v>
      </c>
    </row>
    <row r="68" spans="17:20" x14ac:dyDescent="0.25">
      <c r="Q68" s="120" t="str">
        <f>Calculation!AM69</f>
        <v>Nelson City</v>
      </c>
      <c r="R68" s="127">
        <f>Calculation!AN69</f>
        <v>0.51</v>
      </c>
      <c r="S68" s="127">
        <f>Calculation!AO69</f>
        <v>0.51</v>
      </c>
      <c r="T68" s="127">
        <f t="shared" si="0"/>
        <v>0</v>
      </c>
    </row>
    <row r="69" spans="17:20" x14ac:dyDescent="0.25">
      <c r="Q69" s="120" t="str">
        <f>Calculation!AM70</f>
        <v>Dunedin City</v>
      </c>
      <c r="R69" s="127">
        <f>Calculation!AN70</f>
        <v>0.51</v>
      </c>
      <c r="S69" s="127">
        <f>Calculation!AO70</f>
        <v>0.51</v>
      </c>
      <c r="T69" s="127">
        <f t="shared" si="0"/>
        <v>0</v>
      </c>
    </row>
    <row r="70" spans="17:20" x14ac:dyDescent="0.25">
      <c r="Q70" s="120" t="str">
        <f>Calculation!AM71</f>
        <v>Upper Hutt City</v>
      </c>
      <c r="R70" s="127">
        <f>Calculation!AN71</f>
        <v>0.51</v>
      </c>
      <c r="S70" s="127">
        <f>Calculation!AO71</f>
        <v>0.51</v>
      </c>
      <c r="T70" s="127">
        <f t="shared" si="0"/>
        <v>0</v>
      </c>
    </row>
    <row r="71" spans="17:20" x14ac:dyDescent="0.25">
      <c r="Q71" s="120" t="str">
        <f>Calculation!AM72</f>
        <v>Waipa District</v>
      </c>
      <c r="R71" s="127">
        <f>Calculation!AN72</f>
        <v>0.51</v>
      </c>
      <c r="S71" s="127">
        <f>Calculation!AO72</f>
        <v>0.51</v>
      </c>
      <c r="T71" s="127">
        <f t="shared" si="0"/>
        <v>0</v>
      </c>
    </row>
    <row r="72" spans="17:20" x14ac:dyDescent="0.25">
      <c r="Q72" s="120" t="str">
        <f>Calculation!AM73</f>
        <v>Kapiti Coast District</v>
      </c>
      <c r="R72" s="127">
        <f>Calculation!AN73</f>
        <v>0.51</v>
      </c>
      <c r="S72" s="127">
        <f>Calculation!AO73</f>
        <v>0.51</v>
      </c>
      <c r="T72" s="127">
        <f t="shared" ref="T72:T85" si="1">S72-R72</f>
        <v>0</v>
      </c>
    </row>
    <row r="73" spans="17:20" x14ac:dyDescent="0.25">
      <c r="Q73" s="120" t="str">
        <f>Calculation!AM74</f>
        <v>Waimakariri District</v>
      </c>
      <c r="R73" s="127">
        <f>Calculation!AN74</f>
        <v>0.51</v>
      </c>
      <c r="S73" s="127">
        <f>Calculation!AO74</f>
        <v>0.51</v>
      </c>
      <c r="T73" s="127">
        <f t="shared" si="1"/>
        <v>0</v>
      </c>
    </row>
    <row r="74" spans="17:20" x14ac:dyDescent="0.25">
      <c r="Q74" s="120" t="str">
        <f>Calculation!AM75</f>
        <v>Tauranga City</v>
      </c>
      <c r="R74" s="127">
        <f>Calculation!AN75</f>
        <v>0.51</v>
      </c>
      <c r="S74" s="127">
        <f>Calculation!AO75</f>
        <v>0.51</v>
      </c>
      <c r="T74" s="127">
        <f t="shared" si="1"/>
        <v>0</v>
      </c>
    </row>
    <row r="75" spans="17:20" x14ac:dyDescent="0.25">
      <c r="Q75" s="120" t="str">
        <f>Calculation!AM76</f>
        <v>Bay of Plenty Regional</v>
      </c>
      <c r="R75" s="127">
        <f>Calculation!AN76</f>
        <v>0.51</v>
      </c>
      <c r="S75" s="127">
        <f>Calculation!AO76</f>
        <v>0.51</v>
      </c>
      <c r="T75" s="127">
        <f t="shared" si="1"/>
        <v>0</v>
      </c>
    </row>
    <row r="76" spans="17:20" x14ac:dyDescent="0.25">
      <c r="Q76" s="120" t="str">
        <f>Calculation!AM77</f>
        <v>Selwyn District</v>
      </c>
      <c r="R76" s="127">
        <f>Calculation!AN77</f>
        <v>0.51</v>
      </c>
      <c r="S76" s="127">
        <f>Calculation!AO77</f>
        <v>0.51</v>
      </c>
      <c r="T76" s="127">
        <f t="shared" si="1"/>
        <v>0</v>
      </c>
    </row>
    <row r="77" spans="17:20" x14ac:dyDescent="0.25">
      <c r="Q77" s="120" t="str">
        <f>Calculation!AM78</f>
        <v>Otago Regional</v>
      </c>
      <c r="R77" s="127">
        <f>Calculation!AN78</f>
        <v>0.51</v>
      </c>
      <c r="S77" s="127">
        <f>Calculation!AO78</f>
        <v>0.51</v>
      </c>
      <c r="T77" s="127">
        <f t="shared" si="1"/>
        <v>0</v>
      </c>
    </row>
    <row r="78" spans="17:20" x14ac:dyDescent="0.25">
      <c r="Q78" s="120" t="str">
        <f>Calculation!AM79</f>
        <v>Queenstown-Lakes District</v>
      </c>
      <c r="R78" s="127">
        <f>Calculation!AN79</f>
        <v>0.51</v>
      </c>
      <c r="S78" s="127">
        <f>Calculation!AO79</f>
        <v>0.51</v>
      </c>
      <c r="T78" s="127">
        <f t="shared" si="1"/>
        <v>0</v>
      </c>
    </row>
    <row r="79" spans="17:20" x14ac:dyDescent="0.25">
      <c r="Q79" s="120" t="str">
        <f>Calculation!AM80</f>
        <v>Wellington City</v>
      </c>
      <c r="R79" s="127">
        <f>Calculation!AN80</f>
        <v>0.51</v>
      </c>
      <c r="S79" s="127">
        <f>Calculation!AO80</f>
        <v>0.51</v>
      </c>
      <c r="T79" s="127">
        <f t="shared" si="1"/>
        <v>0</v>
      </c>
    </row>
    <row r="80" spans="17:20" x14ac:dyDescent="0.25">
      <c r="Q80" s="120" t="str">
        <f>Calculation!AM81</f>
        <v>Waikato Regional</v>
      </c>
      <c r="R80" s="127">
        <f>Calculation!AN81</f>
        <v>0.51</v>
      </c>
      <c r="S80" s="127">
        <f>Calculation!AO81</f>
        <v>0.51</v>
      </c>
      <c r="T80" s="127">
        <f t="shared" si="1"/>
        <v>0</v>
      </c>
    </row>
    <row r="81" spans="2:20" x14ac:dyDescent="0.25">
      <c r="Q81" s="120" t="str">
        <f>Calculation!AM82</f>
        <v>Christchurch City</v>
      </c>
      <c r="R81" s="127">
        <f>Calculation!AN82</f>
        <v>0.51</v>
      </c>
      <c r="S81" s="127">
        <f>Calculation!AO82</f>
        <v>0.51</v>
      </c>
      <c r="T81" s="127">
        <f t="shared" si="1"/>
        <v>0</v>
      </c>
    </row>
    <row r="82" spans="2:20" x14ac:dyDescent="0.25">
      <c r="Q82" s="120" t="str">
        <f>Calculation!AM83</f>
        <v>Wellington Regional</v>
      </c>
      <c r="R82" s="127">
        <f>Calculation!AN83</f>
        <v>0.51</v>
      </c>
      <c r="S82" s="127">
        <f>Calculation!AO83</f>
        <v>0.51</v>
      </c>
      <c r="T82" s="127">
        <f t="shared" si="1"/>
        <v>0</v>
      </c>
    </row>
    <row r="83" spans="2:20" x14ac:dyDescent="0.25">
      <c r="Q83" s="120" t="str">
        <f>Calculation!AM84</f>
        <v>Canterbury Regional</v>
      </c>
      <c r="R83" s="127">
        <f>Calculation!AN84</f>
        <v>0.51</v>
      </c>
      <c r="S83" s="127">
        <f>Calculation!AO84</f>
        <v>0.51</v>
      </c>
      <c r="T83" s="127">
        <f t="shared" si="1"/>
        <v>0</v>
      </c>
    </row>
    <row r="84" spans="2:20" x14ac:dyDescent="0.25">
      <c r="Q84" s="120" t="str">
        <f>Calculation!AM85</f>
        <v>Auckland</v>
      </c>
      <c r="R84" s="127">
        <f>Calculation!AN85</f>
        <v>0.51</v>
      </c>
      <c r="S84" s="127">
        <f>Calculation!AO85</f>
        <v>0.51</v>
      </c>
      <c r="T84" s="127">
        <f t="shared" si="1"/>
        <v>0</v>
      </c>
    </row>
    <row r="85" spans="2:20" x14ac:dyDescent="0.25">
      <c r="Q85" s="120" t="str">
        <f>Calculation!AM86</f>
        <v>National</v>
      </c>
      <c r="R85" s="127">
        <f>Calculation!AN86</f>
        <v>0.54</v>
      </c>
      <c r="S85" s="127">
        <f>Calculation!AO86</f>
        <v>0.53</v>
      </c>
      <c r="T85" s="127">
        <f t="shared" si="1"/>
        <v>-1.0000000000000009E-2</v>
      </c>
    </row>
    <row r="86" spans="2:20" x14ac:dyDescent="0.25">
      <c r="Q86" s="133"/>
      <c r="R86" s="213"/>
      <c r="S86" s="213"/>
      <c r="T86" s="213"/>
    </row>
    <row r="87" spans="2:20" x14ac:dyDescent="0.25">
      <c r="Q87" s="133"/>
      <c r="R87" s="213"/>
      <c r="S87" s="213"/>
      <c r="T87" s="213"/>
    </row>
    <row r="88" spans="2:20" x14ac:dyDescent="0.25">
      <c r="Q88" s="133"/>
      <c r="R88" s="213"/>
      <c r="S88" s="213"/>
      <c r="T88" s="213"/>
    </row>
    <row r="89" spans="2:20" x14ac:dyDescent="0.25">
      <c r="Q89" s="133"/>
      <c r="R89" s="213"/>
      <c r="S89" s="213"/>
      <c r="T89" s="213"/>
    </row>
    <row r="90" spans="2:20" x14ac:dyDescent="0.25">
      <c r="Q90" s="133"/>
      <c r="R90" s="213"/>
      <c r="S90" s="213"/>
      <c r="T90" s="213"/>
    </row>
    <row r="91" spans="2:20" x14ac:dyDescent="0.25">
      <c r="Q91" s="133"/>
      <c r="R91" s="213"/>
      <c r="S91" s="213"/>
      <c r="T91" s="213"/>
    </row>
    <row r="92" spans="2:20" x14ac:dyDescent="0.25">
      <c r="Q92" s="133"/>
      <c r="R92" s="213"/>
      <c r="S92" s="213"/>
      <c r="T92" s="213"/>
    </row>
    <row r="93" spans="2:20" x14ac:dyDescent="0.25"/>
    <row r="94" spans="2:20" x14ac:dyDescent="0.25">
      <c r="B94" s="20" t="s">
        <v>323</v>
      </c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</row>
    <row r="95" spans="2:20" x14ac:dyDescent="0.25"/>
  </sheetData>
  <conditionalFormatting sqref="E17:E18">
    <cfRule type="expression" dxfId="8" priority="17" stopIfTrue="1">
      <formula>$E$18="n"</formula>
    </cfRule>
  </conditionalFormatting>
  <conditionalFormatting sqref="S86:T92 S7:S85">
    <cfRule type="expression" dxfId="7" priority="13">
      <formula>S7&gt;R7</formula>
    </cfRule>
    <cfRule type="expression" dxfId="6" priority="14">
      <formula>S7&lt;R7</formula>
    </cfRule>
  </conditionalFormatting>
  <conditionalFormatting sqref="B8:D8 C9:D10 B9:B12">
    <cfRule type="expression" dxfId="5" priority="30" stopIfTrue="1">
      <formula>#REF!="n"</formula>
    </cfRule>
  </conditionalFormatting>
  <conditionalFormatting sqref="E36">
    <cfRule type="expression" dxfId="4" priority="31">
      <formula>$E$36&gt;$D$36</formula>
    </cfRule>
    <cfRule type="expression" dxfId="3" priority="32">
      <formula>$E$36&lt;$D$36</formula>
    </cfRule>
  </conditionalFormatting>
  <conditionalFormatting sqref="C11:D12">
    <cfRule type="expression" dxfId="2" priority="8" stopIfTrue="1">
      <formula>#REF!="n"</formula>
    </cfRule>
  </conditionalFormatting>
  <conditionalFormatting sqref="T7:T85">
    <cfRule type="expression" dxfId="1" priority="1">
      <formula>S7&gt;R7</formula>
    </cfRule>
    <cfRule type="expression" dxfId="0" priority="2">
      <formula>S7&lt;R7</formula>
    </cfRule>
  </conditionalFormatting>
  <hyperlinks>
    <hyperlink ref="B8" location="Selection!D19:D97" display="Selection!D19:D97" xr:uid="{00000000-0004-0000-0100-000000000000}"/>
    <hyperlink ref="B29" location="Calculation!B8:C85" display="Model sheet B8:C85" xr:uid="{00000000-0004-0000-0100-000005000000}"/>
    <hyperlink ref="B9:B12" location="Inputs!C2:C81" display="Inputs!C2:C81" xr:uid="{E910ED41-5B80-4042-AB44-77B220152276}"/>
    <hyperlink ref="B9" location="Selection!E19:E97" display="Selection!E19:E97" xr:uid="{5C523646-C0C4-444A-AC4B-7FA98CF41FD5}"/>
    <hyperlink ref="B10" location="Selection!G19:G97" display="Selection!G19:G97" xr:uid="{7582B5CC-E445-402E-844B-46CE299385E6}"/>
    <hyperlink ref="B11" location="Selection!H19:H97" display="Selection!H19:H97" xr:uid="{8050F57F-301B-445C-9672-6BB27B02F0FE}"/>
    <hyperlink ref="B12" location="Selection!I19:K97" display="Selection!I19:K97" xr:uid="{D80CD6C7-2CFA-4070-B79A-DB80EA3596F0}"/>
  </hyperlinks>
  <pageMargins left="0.25" right="0.25" top="0.75" bottom="0.75" header="0.3" footer="0.3"/>
  <pageSetup paperSize="9" scale="7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Parameter!$C$20:$C$98</xm:f>
          </x14:formula1>
          <xm:sqref>B36</xm:sqref>
        </x14:dataValidation>
        <x14:dataValidation type="list" allowBlank="1" showInputMessage="1" showErrorMessage="1" xr:uid="{6C36380E-A2E5-42BA-8C57-6A9CC3A36064}">
          <x14:formula1>
            <xm:f>Model_Info!$C$186:$C$188</xm:f>
          </x14:formula1>
          <xm:sqref>R6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82A37-284C-4132-B5C4-2C2AED0F097A}">
  <sheetPr>
    <tabColor theme="9" tint="-0.249977111117893"/>
  </sheetPr>
  <dimension ref="A1:AC100"/>
  <sheetViews>
    <sheetView showGridLines="0" zoomScale="87" zoomScaleNormal="87" workbookViewId="0">
      <selection activeCell="I67" sqref="I67"/>
    </sheetView>
  </sheetViews>
  <sheetFormatPr defaultColWidth="0" defaultRowHeight="13.2" zeroHeight="1" x14ac:dyDescent="0.25"/>
  <cols>
    <col min="1" max="1" width="3.6328125" style="10" customWidth="1"/>
    <col min="2" max="2" width="22.1796875" style="7" bestFit="1" customWidth="1"/>
    <col min="3" max="5" width="12.81640625" style="7" customWidth="1"/>
    <col min="6" max="6" width="2.1796875" style="7" customWidth="1"/>
    <col min="7" max="9" width="13.81640625" style="7" customWidth="1"/>
    <col min="10" max="10" width="2.1796875" style="7" customWidth="1"/>
    <col min="11" max="13" width="13.81640625" style="7" customWidth="1"/>
    <col min="14" max="14" width="7.08984375" style="7" customWidth="1"/>
    <col min="15" max="29" width="8.90625" style="10" customWidth="1"/>
    <col min="30" max="16384" width="8.90625" style="10" hidden="1"/>
  </cols>
  <sheetData>
    <row r="1" spans="2:28" x14ac:dyDescent="0.25"/>
    <row r="2" spans="2:28" x14ac:dyDescent="0.25">
      <c r="B2" s="20" t="s">
        <v>276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</row>
    <row r="3" spans="2:28" x14ac:dyDescent="0.25">
      <c r="B3" s="20" t="s">
        <v>358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</row>
    <row r="4" spans="2:28" x14ac:dyDescent="0.25"/>
    <row r="5" spans="2:28" x14ac:dyDescent="0.25">
      <c r="B5" s="13"/>
      <c r="C5" s="160" t="s">
        <v>117</v>
      </c>
      <c r="D5" s="160"/>
      <c r="E5" s="160"/>
      <c r="F5" s="13"/>
      <c r="G5" s="160" t="s">
        <v>77</v>
      </c>
      <c r="H5" s="160"/>
      <c r="I5" s="160"/>
      <c r="J5" s="13"/>
      <c r="K5" s="160" t="s">
        <v>81</v>
      </c>
      <c r="L5" s="160"/>
      <c r="M5" s="160"/>
    </row>
    <row r="6" spans="2:28" ht="39.6" x14ac:dyDescent="0.25">
      <c r="B6" s="13" t="s">
        <v>331</v>
      </c>
      <c r="C6" s="193" t="s">
        <v>299</v>
      </c>
      <c r="D6" s="193" t="s">
        <v>226</v>
      </c>
      <c r="E6" s="13" t="str">
        <f>C5&amp;", "&amp;TEXT(E86,"0.##%")&amp;" National Average Change "</f>
        <v xml:space="preserve">Centreline KM, 1.14% National Average Change </v>
      </c>
      <c r="F6" s="13"/>
      <c r="G6" s="193" t="s">
        <v>305</v>
      </c>
      <c r="H6" s="193" t="s">
        <v>207</v>
      </c>
      <c r="I6" s="13" t="str">
        <f>G5&amp;", "&amp;TEXT(I86,"0.##%")&amp;" National Average Change "</f>
        <v xml:space="preserve">Capital Value, 26.93% National Average Change </v>
      </c>
      <c r="J6" s="13"/>
      <c r="K6" s="193" t="s">
        <v>302</v>
      </c>
      <c r="L6" s="193" t="s">
        <v>204</v>
      </c>
      <c r="M6" s="13" t="str">
        <f>K5&amp;", "&amp;TEXT(M86,"0.##%")&amp;" National Average Change "</f>
        <v xml:space="preserve">Rateable Units, 2.07% National Average Change </v>
      </c>
      <c r="N6" s="161"/>
    </row>
    <row r="7" spans="2:28" x14ac:dyDescent="0.25">
      <c r="B7" s="189" t="s">
        <v>0</v>
      </c>
      <c r="C7" s="190">
        <f>INDEX(Input_Centreline!$C$5:$J$83,MATCH($B7,Input_Centreline!$C$5:$C$83,0),MATCH(C$6,Input_Centreline!$C$5:$J$5,0))</f>
        <v>2508.2999999999997</v>
      </c>
      <c r="D7" s="190">
        <f>INDEX(Input_Centreline!$C$5:$J$83,MATCH($B7,Input_Centreline!$C$5:$C$83,0),MATCH(D$6,Input_Centreline!$C$5:$J$5,0))</f>
        <v>2544.5</v>
      </c>
      <c r="E7" s="191">
        <f>(C7-D7)/D7</f>
        <v>-1.4226763607781598E-2</v>
      </c>
      <c r="F7" s="189"/>
      <c r="G7" s="192">
        <f>INDEX('Input_QV Valuation'!$C$5:$Q$83,MATCH($B7,'Input_QV Valuation'!$C$5:$C$83,0),MATCH(G$6,'Input_QV Valuation'!$C$5:$Q$5,0))</f>
        <v>19445705204</v>
      </c>
      <c r="H7" s="192">
        <f>INDEX('Input_QV Valuation'!$C$5:$Q$83,MATCH($B7,'Input_QV Valuation'!$C$5:$C$83,0),MATCH(H$6,'Input_QV Valuation'!$C$5:$Q$5,0))</f>
        <v>14782531429.5</v>
      </c>
      <c r="I7" s="191">
        <f>(G7-H7)/H7</f>
        <v>0.31545163943938431</v>
      </c>
      <c r="J7" s="189"/>
      <c r="K7" s="192">
        <f>INDEX('Input_QV Valuation'!$C$5:$Q$83,MATCH($B7,'Input_QV Valuation'!$C$5:$C$83,0),MATCH(K$6,'Input_QV Valuation'!$C$5:$Q$5,0))</f>
        <v>36929</v>
      </c>
      <c r="L7" s="192">
        <f>INDEX('Input_QV Valuation'!$C$5:$Q$83,MATCH($B7,'Input_QV Valuation'!$C$5:$C$83,0),MATCH(L$6,'Input_QV Valuation'!$C$5:$Q$5,0))</f>
        <v>36266</v>
      </c>
      <c r="M7" s="191">
        <f>(K7-L7)/L7</f>
        <v>1.8281586058567254E-2</v>
      </c>
      <c r="N7" s="18"/>
    </row>
    <row r="8" spans="2:28" x14ac:dyDescent="0.25">
      <c r="B8" s="189" t="s">
        <v>1</v>
      </c>
      <c r="C8" s="190">
        <f>INDEX(Input_Centreline!$C$5:$J$83,MATCH($B8,Input_Centreline!$C$5:$C$83,0),MATCH(C$6,Input_Centreline!$C$5:$J$5,0))</f>
        <v>1572.1</v>
      </c>
      <c r="D8" s="190">
        <f>INDEX(Input_Centreline!$C$5:$J$83,MATCH($B8,Input_Centreline!$C$5:$C$83,0),MATCH(D$6,Input_Centreline!$C$5:$J$5,0))</f>
        <v>1567.1</v>
      </c>
      <c r="E8" s="191">
        <f t="shared" ref="E8:E71" si="0">(C8-D8)/D8</f>
        <v>3.1906068534235214E-3</v>
      </c>
      <c r="F8" s="189"/>
      <c r="G8" s="192">
        <f>INDEX('Input_QV Valuation'!$C$5:$Q$83,MATCH($B8,'Input_QV Valuation'!$C$5:$C$83,0),MATCH(G$6,'Input_QV Valuation'!$C$5:$Q$5,0))</f>
        <v>9989023880</v>
      </c>
      <c r="H8" s="192">
        <f>INDEX('Input_QV Valuation'!$C$5:$Q$83,MATCH($B8,'Input_QV Valuation'!$C$5:$C$83,0),MATCH(H$6,'Input_QV Valuation'!$C$5:$Q$5,0))</f>
        <v>7550373410.8371468</v>
      </c>
      <c r="I8" s="191">
        <f t="shared" ref="I8:I71" si="1">(G8-H8)/H8</f>
        <v>0.32298408786810828</v>
      </c>
      <c r="J8" s="189"/>
      <c r="K8" s="192">
        <f>INDEX('Input_QV Valuation'!$C$5:$Q$83,MATCH($B8,'Input_QV Valuation'!$C$5:$C$83,0),MATCH(K$6,'Input_QV Valuation'!$C$5:$Q$5,0))</f>
        <v>14632</v>
      </c>
      <c r="L8" s="192">
        <f>INDEX('Input_QV Valuation'!$C$5:$Q$83,MATCH($B8,'Input_QV Valuation'!$C$5:$C$83,0),MATCH(L$6,'Input_QV Valuation'!$C$5:$Q$5,0))</f>
        <v>14437</v>
      </c>
      <c r="M8" s="191">
        <f t="shared" ref="M8:M71" si="2">(K8-L8)/L8</f>
        <v>1.3506961280044331E-2</v>
      </c>
      <c r="N8" s="18"/>
    </row>
    <row r="9" spans="2:28" x14ac:dyDescent="0.25">
      <c r="B9" s="189" t="s">
        <v>2</v>
      </c>
      <c r="C9" s="190">
        <f>INDEX(Input_Centreline!$C$5:$J$83,MATCH($B9,Input_Centreline!$C$5:$C$83,0),MATCH(C$6,Input_Centreline!$C$5:$J$5,0))</f>
        <v>1747.7</v>
      </c>
      <c r="D9" s="190">
        <f>INDEX(Input_Centreline!$C$5:$J$83,MATCH($B9,Input_Centreline!$C$5:$C$83,0),MATCH(D$6,Input_Centreline!$C$5:$J$5,0))</f>
        <v>1778.8999999999999</v>
      </c>
      <c r="E9" s="191">
        <f t="shared" si="0"/>
        <v>-1.7538928551351859E-2</v>
      </c>
      <c r="F9" s="189"/>
      <c r="G9" s="192">
        <f>INDEX('Input_QV Valuation'!$C$5:$Q$83,MATCH($B9,'Input_QV Valuation'!$C$5:$C$83,0),MATCH(G$6,'Input_QV Valuation'!$C$5:$Q$5,0))</f>
        <v>31545751092.330002</v>
      </c>
      <c r="H9" s="192">
        <f>INDEX('Input_QV Valuation'!$C$5:$Q$83,MATCH($B9,'Input_QV Valuation'!$C$5:$C$83,0),MATCH(H$6,'Input_QV Valuation'!$C$5:$Q$5,0))</f>
        <v>22033139685.247555</v>
      </c>
      <c r="I9" s="191">
        <f t="shared" si="1"/>
        <v>0.4317410747162686</v>
      </c>
      <c r="J9" s="189"/>
      <c r="K9" s="192">
        <f>INDEX('Input_QV Valuation'!$C$5:$Q$83,MATCH($B9,'Input_QV Valuation'!$C$5:$C$83,0),MATCH(K$6,'Input_QV Valuation'!$C$5:$Q$5,0))</f>
        <v>44865</v>
      </c>
      <c r="L9" s="192">
        <f>INDEX('Input_QV Valuation'!$C$5:$Q$83,MATCH($B9,'Input_QV Valuation'!$C$5:$C$83,0),MATCH(L$6,'Input_QV Valuation'!$C$5:$Q$5,0))</f>
        <v>40867</v>
      </c>
      <c r="M9" s="191">
        <f t="shared" si="2"/>
        <v>9.7829544620353828E-2</v>
      </c>
      <c r="N9" s="18"/>
    </row>
    <row r="10" spans="2:28" x14ac:dyDescent="0.25">
      <c r="B10" s="189" t="s">
        <v>3</v>
      </c>
      <c r="C10" s="190">
        <f>INDEX(Input_Centreline!$C$5:$J$83,MATCH($B10,Input_Centreline!$C$5:$C$83,0),MATCH(C$6,Input_Centreline!$C$5:$J$5,0))</f>
        <v>7550.3</v>
      </c>
      <c r="D10" s="190">
        <f>INDEX(Input_Centreline!$C$5:$J$83,MATCH($B10,Input_Centreline!$C$5:$C$83,0),MATCH(D$6,Input_Centreline!$C$5:$J$5,0))</f>
        <v>7221.1</v>
      </c>
      <c r="E10" s="191">
        <f t="shared" si="0"/>
        <v>4.5588622232069879E-2</v>
      </c>
      <c r="F10" s="189"/>
      <c r="G10" s="192">
        <f>INDEX('Input_QV Valuation'!$C$5:$Q$83,MATCH($B10,'Input_QV Valuation'!$C$5:$C$83,0),MATCH(G$6,'Input_QV Valuation'!$C$5:$Q$5,0))</f>
        <v>761449747552.19995</v>
      </c>
      <c r="H10" s="192">
        <f>INDEX('Input_QV Valuation'!$C$5:$Q$83,MATCH($B10,'Input_QV Valuation'!$C$5:$C$83,0),MATCH(H$6,'Input_QV Valuation'!$C$5:$Q$5,0))</f>
        <v>653237179634</v>
      </c>
      <c r="I10" s="191">
        <f t="shared" si="1"/>
        <v>0.16565586174814789</v>
      </c>
      <c r="J10" s="189"/>
      <c r="K10" s="192">
        <f>INDEX('Input_QV Valuation'!$C$5:$Q$83,MATCH($B10,'Input_QV Valuation'!$C$5:$C$83,0),MATCH(K$6,'Input_QV Valuation'!$C$5:$Q$5,0))</f>
        <v>564585</v>
      </c>
      <c r="L10" s="192">
        <f>INDEX('Input_QV Valuation'!$C$5:$Q$83,MATCH($B10,'Input_QV Valuation'!$C$5:$C$83,0),MATCH(L$6,'Input_QV Valuation'!$C$5:$Q$5,0))</f>
        <v>536198</v>
      </c>
      <c r="M10" s="191">
        <f t="shared" si="2"/>
        <v>5.2941264234480548E-2</v>
      </c>
      <c r="N10" s="18"/>
    </row>
    <row r="11" spans="2:28" x14ac:dyDescent="0.25">
      <c r="B11" s="189" t="s">
        <v>4</v>
      </c>
      <c r="C11" s="190">
        <f>INDEX(Input_Centreline!$C$5:$J$83,MATCH($B11,Input_Centreline!$C$5:$C$83,0),MATCH(C$6,Input_Centreline!$C$5:$J$5,0))</f>
        <v>683.59999999999991</v>
      </c>
      <c r="D11" s="190">
        <f>INDEX(Input_Centreline!$C$5:$J$83,MATCH($B11,Input_Centreline!$C$5:$C$83,0),MATCH(D$6,Input_Centreline!$C$5:$J$5,0))</f>
        <v>636.09999999999991</v>
      </c>
      <c r="E11" s="191">
        <f t="shared" si="0"/>
        <v>7.4673793428706184E-2</v>
      </c>
      <c r="F11" s="189"/>
      <c r="G11" s="192">
        <f>INDEX('Input_QV Valuation'!$C$5:$Q$83,MATCH($B11,'Input_QV Valuation'!$C$5:$C$83,0),MATCH(G$6,'Input_QV Valuation'!$C$5:$Q$5,0))</f>
        <v>45788259562.262634</v>
      </c>
      <c r="H11" s="192">
        <f>INDEX('Input_QV Valuation'!$C$5:$Q$83,MATCH($B11,'Input_QV Valuation'!$C$5:$C$83,0),MATCH(H$6,'Input_QV Valuation'!$C$5:$Q$5,0))</f>
        <v>37262578535</v>
      </c>
      <c r="I11" s="191">
        <f t="shared" si="1"/>
        <v>0.22880008207844851</v>
      </c>
      <c r="J11" s="189"/>
      <c r="K11" s="192">
        <f>INDEX('Input_QV Valuation'!$C$5:$Q$83,MATCH($B11,'Input_QV Valuation'!$C$5:$C$83,0),MATCH(K$6,'Input_QV Valuation'!$C$5:$Q$5,0))</f>
        <v>60184</v>
      </c>
      <c r="L11" s="192">
        <f>INDEX('Input_QV Valuation'!$C$5:$Q$83,MATCH($B11,'Input_QV Valuation'!$C$5:$C$83,0),MATCH(L$6,'Input_QV Valuation'!$C$5:$Q$5,0))</f>
        <v>57390</v>
      </c>
      <c r="M11" s="191">
        <f t="shared" si="2"/>
        <v>4.8684439797874193E-2</v>
      </c>
      <c r="N11" s="18"/>
    </row>
    <row r="12" spans="2:28" x14ac:dyDescent="0.25">
      <c r="B12" s="189" t="s">
        <v>5</v>
      </c>
      <c r="C12" s="190">
        <f>INDEX(Input_Centreline!$C$5:$J$83,MATCH($B12,Input_Centreline!$C$5:$C$83,0),MATCH(C$6,Input_Centreline!$C$5:$J$5,0))</f>
        <v>631.9</v>
      </c>
      <c r="D12" s="190">
        <f>INDEX(Input_Centreline!$C$5:$J$83,MATCH($B12,Input_Centreline!$C$5:$C$83,0),MATCH(D$6,Input_Centreline!$C$5:$J$5,0))</f>
        <v>642.9</v>
      </c>
      <c r="E12" s="191">
        <f t="shared" si="0"/>
        <v>-1.7109970446414685E-2</v>
      </c>
      <c r="F12" s="189"/>
      <c r="G12" s="192">
        <f>INDEX('Input_QV Valuation'!$C$5:$Q$83,MATCH($B12,'Input_QV Valuation'!$C$5:$C$83,0),MATCH(G$6,'Input_QV Valuation'!$C$5:$Q$5,0))</f>
        <v>7475563406.2025537</v>
      </c>
      <c r="H12" s="192">
        <f>INDEX('Input_QV Valuation'!$C$5:$Q$83,MATCH($B12,'Input_QV Valuation'!$C$5:$C$83,0),MATCH(H$6,'Input_QV Valuation'!$C$5:$Q$5,0))</f>
        <v>6400835715.5</v>
      </c>
      <c r="I12" s="191">
        <f t="shared" si="1"/>
        <v>0.16790427664000773</v>
      </c>
      <c r="J12" s="189"/>
      <c r="K12" s="192">
        <f>INDEX('Input_QV Valuation'!$C$5:$Q$83,MATCH($B12,'Input_QV Valuation'!$C$5:$C$83,0),MATCH(K$6,'Input_QV Valuation'!$C$5:$Q$5,0))</f>
        <v>11100</v>
      </c>
      <c r="L12" s="192">
        <f>INDEX('Input_QV Valuation'!$C$5:$Q$83,MATCH($B12,'Input_QV Valuation'!$C$5:$C$83,0),MATCH(L$6,'Input_QV Valuation'!$C$5:$Q$5,0))</f>
        <v>10831</v>
      </c>
      <c r="M12" s="191">
        <f t="shared" si="2"/>
        <v>2.483611854861047E-2</v>
      </c>
      <c r="N12" s="18"/>
    </row>
    <row r="13" spans="2:28" x14ac:dyDescent="0.25">
      <c r="B13" s="189" t="s">
        <v>6</v>
      </c>
      <c r="C13" s="190">
        <f>INDEX(Input_Centreline!$C$5:$J$83,MATCH($B13,Input_Centreline!$C$5:$C$83,0),MATCH(C$6,Input_Centreline!$C$5:$J$5,0))</f>
        <v>1010</v>
      </c>
      <c r="D13" s="190">
        <f>INDEX(Input_Centreline!$C$5:$J$83,MATCH($B13,Input_Centreline!$C$5:$C$83,0),MATCH(D$6,Input_Centreline!$C$5:$J$5,0))</f>
        <v>995.7</v>
      </c>
      <c r="E13" s="191">
        <f t="shared" si="0"/>
        <v>1.4361755548860052E-2</v>
      </c>
      <c r="F13" s="189"/>
      <c r="G13" s="192">
        <f>INDEX('Input_QV Valuation'!$C$5:$Q$83,MATCH($B13,'Input_QV Valuation'!$C$5:$C$83,0),MATCH(G$6,'Input_QV Valuation'!$C$5:$Q$5,0))</f>
        <v>15887445405.244387</v>
      </c>
      <c r="H13" s="192">
        <f>INDEX('Input_QV Valuation'!$C$5:$Q$83,MATCH($B13,'Input_QV Valuation'!$C$5:$C$83,0),MATCH(H$6,'Input_QV Valuation'!$C$5:$Q$5,0))</f>
        <v>13336181840</v>
      </c>
      <c r="I13" s="191">
        <f t="shared" si="1"/>
        <v>0.19130389761125113</v>
      </c>
      <c r="J13" s="189"/>
      <c r="K13" s="192">
        <f>INDEX('Input_QV Valuation'!$C$5:$Q$83,MATCH($B13,'Input_QV Valuation'!$C$5:$C$83,0),MATCH(K$6,'Input_QV Valuation'!$C$5:$Q$5,0))</f>
        <v>14629</v>
      </c>
      <c r="L13" s="192">
        <f>INDEX('Input_QV Valuation'!$C$5:$Q$83,MATCH($B13,'Input_QV Valuation'!$C$5:$C$83,0),MATCH(L$6,'Input_QV Valuation'!$C$5:$Q$5,0))</f>
        <v>14376</v>
      </c>
      <c r="M13" s="191">
        <f t="shared" si="2"/>
        <v>1.7598775737340012E-2</v>
      </c>
      <c r="N13" s="18"/>
    </row>
    <row r="14" spans="2:28" x14ac:dyDescent="0.25">
      <c r="B14" s="189" t="s">
        <v>7</v>
      </c>
      <c r="C14" s="190">
        <f>INDEX(Input_Centreline!$C$5:$J$83,MATCH($B14,Input_Centreline!$C$5:$C$83,0),MATCH(C$6,Input_Centreline!$C$5:$J$5,0))</f>
        <v>803.9</v>
      </c>
      <c r="D14" s="190">
        <f>INDEX(Input_Centreline!$C$5:$J$83,MATCH($B14,Input_Centreline!$C$5:$C$83,0),MATCH(D$6,Input_Centreline!$C$5:$J$5,0))</f>
        <v>803.9</v>
      </c>
      <c r="E14" s="191">
        <f t="shared" si="0"/>
        <v>0</v>
      </c>
      <c r="F14" s="189"/>
      <c r="G14" s="192">
        <f>INDEX('Input_QV Valuation'!$C$5:$Q$83,MATCH($B14,'Input_QV Valuation'!$C$5:$C$83,0),MATCH(G$6,'Input_QV Valuation'!$C$5:$Q$5,0))</f>
        <v>4878545574.125</v>
      </c>
      <c r="H14" s="192">
        <f>INDEX('Input_QV Valuation'!$C$5:$Q$83,MATCH($B14,'Input_QV Valuation'!$C$5:$C$83,0),MATCH(H$6,'Input_QV Valuation'!$C$5:$Q$5,0))</f>
        <v>4176557167.5</v>
      </c>
      <c r="I14" s="191">
        <f t="shared" si="1"/>
        <v>0.16807824686024725</v>
      </c>
      <c r="J14" s="189"/>
      <c r="K14" s="192">
        <f>INDEX('Input_QV Valuation'!$C$5:$Q$83,MATCH($B14,'Input_QV Valuation'!$C$5:$C$83,0),MATCH(K$6,'Input_QV Valuation'!$C$5:$Q$5,0))</f>
        <v>4933</v>
      </c>
      <c r="L14" s="192">
        <f>INDEX('Input_QV Valuation'!$C$5:$Q$83,MATCH($B14,'Input_QV Valuation'!$C$5:$C$83,0),MATCH(L$6,'Input_QV Valuation'!$C$5:$Q$5,0))</f>
        <v>4944</v>
      </c>
      <c r="M14" s="191">
        <f t="shared" si="2"/>
        <v>-2.2249190938511327E-3</v>
      </c>
      <c r="N14" s="18"/>
    </row>
    <row r="15" spans="2:28" x14ac:dyDescent="0.25">
      <c r="B15" s="189" t="s">
        <v>8</v>
      </c>
      <c r="C15" s="190">
        <f>INDEX(Input_Centreline!$C$5:$J$83,MATCH($B15,Input_Centreline!$C$5:$C$83,0),MATCH(C$6,Input_Centreline!$C$5:$J$5,0))</f>
        <v>516.30000000000007</v>
      </c>
      <c r="D15" s="190">
        <f>INDEX(Input_Centreline!$C$5:$J$83,MATCH($B15,Input_Centreline!$C$5:$C$83,0),MATCH(D$6,Input_Centreline!$C$5:$J$5,0))</f>
        <v>508.9</v>
      </c>
      <c r="E15" s="191">
        <f t="shared" si="0"/>
        <v>1.4541167223423249E-2</v>
      </c>
      <c r="F15" s="189"/>
      <c r="G15" s="192">
        <f>INDEX('Input_QV Valuation'!$C$5:$Q$83,MATCH($B15,'Input_QV Valuation'!$C$5:$C$83,0),MATCH(G$6,'Input_QV Valuation'!$C$5:$Q$5,0))</f>
        <v>7208091816.534874</v>
      </c>
      <c r="H15" s="192">
        <f>INDEX('Input_QV Valuation'!$C$5:$Q$83,MATCH($B15,'Input_QV Valuation'!$C$5:$C$83,0),MATCH(H$6,'Input_QV Valuation'!$C$5:$Q$5,0))</f>
        <v>6564005686</v>
      </c>
      <c r="I15" s="191">
        <f t="shared" si="1"/>
        <v>9.8123944637739907E-2</v>
      </c>
      <c r="J15" s="189"/>
      <c r="K15" s="192">
        <f>INDEX('Input_QV Valuation'!$C$5:$Q$83,MATCH($B15,'Input_QV Valuation'!$C$5:$C$83,0),MATCH(K$6,'Input_QV Valuation'!$C$5:$Q$5,0))</f>
        <v>10101</v>
      </c>
      <c r="L15" s="192">
        <f>INDEX('Input_QV Valuation'!$C$5:$Q$83,MATCH($B15,'Input_QV Valuation'!$C$5:$C$83,0),MATCH(L$6,'Input_QV Valuation'!$C$5:$Q$5,0))</f>
        <v>10010</v>
      </c>
      <c r="M15" s="191">
        <f t="shared" si="2"/>
        <v>9.0909090909090905E-3</v>
      </c>
      <c r="N15" s="18"/>
    </row>
    <row r="16" spans="2:28" x14ac:dyDescent="0.25">
      <c r="B16" s="189" t="s">
        <v>9</v>
      </c>
      <c r="C16" s="190">
        <f>INDEX(Input_Centreline!$C$5:$J$83,MATCH($B16,Input_Centreline!$C$5:$C$83,0),MATCH(C$6,Input_Centreline!$C$5:$J$5,0))</f>
        <v>795.69999999999993</v>
      </c>
      <c r="D16" s="190">
        <f>INDEX(Input_Centreline!$C$5:$J$83,MATCH($B16,Input_Centreline!$C$5:$C$83,0),MATCH(D$6,Input_Centreline!$C$5:$J$5,0))</f>
        <v>761.30000000000007</v>
      </c>
      <c r="E16" s="191">
        <f t="shared" si="0"/>
        <v>4.5185866281360648E-2</v>
      </c>
      <c r="F16" s="189"/>
      <c r="G16" s="192">
        <f>INDEX('Input_QV Valuation'!$C$5:$Q$83,MATCH($B16,'Input_QV Valuation'!$C$5:$C$83,0),MATCH(G$6,'Input_QV Valuation'!$C$5:$Q$5,0))</f>
        <v>19348060515.239998</v>
      </c>
      <c r="H16" s="192">
        <f>INDEX('Input_QV Valuation'!$C$5:$Q$83,MATCH($B16,'Input_QV Valuation'!$C$5:$C$83,0),MATCH(H$6,'Input_QV Valuation'!$C$5:$Q$5,0))</f>
        <v>15303080700</v>
      </c>
      <c r="I16" s="191">
        <f t="shared" si="1"/>
        <v>0.26432454317776666</v>
      </c>
      <c r="J16" s="189"/>
      <c r="K16" s="192">
        <f>INDEX('Input_QV Valuation'!$C$5:$Q$83,MATCH($B16,'Input_QV Valuation'!$C$5:$C$83,0),MATCH(K$6,'Input_QV Valuation'!$C$5:$Q$5,0))</f>
        <v>23129</v>
      </c>
      <c r="L16" s="192">
        <f>INDEX('Input_QV Valuation'!$C$5:$Q$83,MATCH($B16,'Input_QV Valuation'!$C$5:$C$83,0),MATCH(L$6,'Input_QV Valuation'!$C$5:$Q$5,0))</f>
        <v>22349</v>
      </c>
      <c r="M16" s="191">
        <f t="shared" si="2"/>
        <v>3.4900890420153027E-2</v>
      </c>
      <c r="N16" s="18"/>
    </row>
    <row r="17" spans="2:14" x14ac:dyDescent="0.25">
      <c r="B17" s="189" t="s">
        <v>10</v>
      </c>
      <c r="C17" s="190">
        <f>INDEX(Input_Centreline!$C$5:$J$83,MATCH($B17,Input_Centreline!$C$5:$C$83,0),MATCH(C$6,Input_Centreline!$C$5:$J$5,0))</f>
        <v>701.3</v>
      </c>
      <c r="D17" s="190">
        <f>INDEX(Input_Centreline!$C$5:$J$83,MATCH($B17,Input_Centreline!$C$5:$C$83,0),MATCH(D$6,Input_Centreline!$C$5:$J$5,0))</f>
        <v>685.6</v>
      </c>
      <c r="E17" s="191">
        <f t="shared" si="0"/>
        <v>2.2899649941656844E-2</v>
      </c>
      <c r="F17" s="189"/>
      <c r="G17" s="192">
        <f>INDEX('Input_QV Valuation'!$C$5:$Q$83,MATCH($B17,'Input_QV Valuation'!$C$5:$C$83,0),MATCH(G$6,'Input_QV Valuation'!$C$5:$Q$5,0))</f>
        <v>22572856742.993374</v>
      </c>
      <c r="H17" s="192">
        <f>INDEX('Input_QV Valuation'!$C$5:$Q$83,MATCH($B17,'Input_QV Valuation'!$C$5:$C$83,0),MATCH(H$6,'Input_QV Valuation'!$C$5:$Q$5,0))</f>
        <v>17465386634.5</v>
      </c>
      <c r="I17" s="191">
        <f t="shared" si="1"/>
        <v>0.29243384159640684</v>
      </c>
      <c r="J17" s="189"/>
      <c r="K17" s="192">
        <f>INDEX('Input_QV Valuation'!$C$5:$Q$83,MATCH($B17,'Input_QV Valuation'!$C$5:$C$83,0),MATCH(K$6,'Input_QV Valuation'!$C$5:$Q$5,0))</f>
        <v>27816</v>
      </c>
      <c r="L17" s="192">
        <f>INDEX('Input_QV Valuation'!$C$5:$Q$83,MATCH($B17,'Input_QV Valuation'!$C$5:$C$83,0),MATCH(L$6,'Input_QV Valuation'!$C$5:$Q$5,0))</f>
        <v>27213</v>
      </c>
      <c r="M17" s="191">
        <f t="shared" si="2"/>
        <v>2.2158527174512183E-2</v>
      </c>
      <c r="N17" s="18"/>
    </row>
    <row r="18" spans="2:14" x14ac:dyDescent="0.25">
      <c r="B18" s="189" t="s">
        <v>11</v>
      </c>
      <c r="C18" s="190">
        <f>INDEX(Input_Centreline!$C$5:$J$83,MATCH($B18,Input_Centreline!$C$5:$C$83,0),MATCH(C$6,Input_Centreline!$C$5:$J$5,0))</f>
        <v>2464.5</v>
      </c>
      <c r="D18" s="190">
        <f>INDEX(Input_Centreline!$C$5:$J$83,MATCH($B18,Input_Centreline!$C$5:$C$83,0),MATCH(D$6,Input_Centreline!$C$5:$J$5,0))</f>
        <v>2414.2999999999997</v>
      </c>
      <c r="E18" s="191">
        <f t="shared" si="0"/>
        <v>2.079277637410441E-2</v>
      </c>
      <c r="F18" s="189"/>
      <c r="G18" s="192">
        <f>INDEX('Input_QV Valuation'!$C$5:$Q$83,MATCH($B18,'Input_QV Valuation'!$C$5:$C$83,0),MATCH(G$6,'Input_QV Valuation'!$C$5:$Q$5,0))</f>
        <v>31192774533.885769</v>
      </c>
      <c r="H18" s="192">
        <f>INDEX('Input_QV Valuation'!$C$5:$Q$83,MATCH($B18,'Input_QV Valuation'!$C$5:$C$83,0),MATCH(H$6,'Input_QV Valuation'!$C$5:$Q$5,0))</f>
        <v>25136211871.849998</v>
      </c>
      <c r="I18" s="191">
        <f t="shared" si="1"/>
        <v>0.24094969810540565</v>
      </c>
      <c r="J18" s="189"/>
      <c r="K18" s="192">
        <f>INDEX('Input_QV Valuation'!$C$5:$Q$83,MATCH($B18,'Input_QV Valuation'!$C$5:$C$83,0),MATCH(K$6,'Input_QV Valuation'!$C$5:$Q$5,0))</f>
        <v>32708</v>
      </c>
      <c r="L18" s="192">
        <f>INDEX('Input_QV Valuation'!$C$5:$Q$83,MATCH($B18,'Input_QV Valuation'!$C$5:$C$83,0),MATCH(L$6,'Input_QV Valuation'!$C$5:$Q$5,0))</f>
        <v>30576</v>
      </c>
      <c r="M18" s="191">
        <f t="shared" si="2"/>
        <v>6.9727891156462579E-2</v>
      </c>
      <c r="N18" s="18"/>
    </row>
    <row r="19" spans="2:14" x14ac:dyDescent="0.25">
      <c r="B19" s="189" t="s">
        <v>12</v>
      </c>
      <c r="C19" s="190">
        <f>INDEX(Input_Centreline!$C$5:$J$83,MATCH($B19,Input_Centreline!$C$5:$C$83,0),MATCH(C$6,Input_Centreline!$C$5:$J$5,0))</f>
        <v>1105.5</v>
      </c>
      <c r="D19" s="190">
        <f>INDEX(Input_Centreline!$C$5:$J$83,MATCH($B19,Input_Centreline!$C$5:$C$83,0),MATCH(D$6,Input_Centreline!$C$5:$J$5,0))</f>
        <v>1070.5</v>
      </c>
      <c r="E19" s="191">
        <f t="shared" si="0"/>
        <v>3.2695002335357312E-2</v>
      </c>
      <c r="F19" s="189"/>
      <c r="G19" s="192">
        <f>INDEX('Input_QV Valuation'!$C$5:$Q$83,MATCH($B19,'Input_QV Valuation'!$C$5:$C$83,0),MATCH(G$6,'Input_QV Valuation'!$C$5:$Q$5,0))</f>
        <v>21604084565</v>
      </c>
      <c r="H19" s="192">
        <f>INDEX('Input_QV Valuation'!$C$5:$Q$83,MATCH($B19,'Input_QV Valuation'!$C$5:$C$83,0),MATCH(H$6,'Input_QV Valuation'!$C$5:$Q$5,0))</f>
        <v>16354460510.5</v>
      </c>
      <c r="I19" s="191">
        <f t="shared" si="1"/>
        <v>0.32099035312901952</v>
      </c>
      <c r="J19" s="189"/>
      <c r="K19" s="192">
        <f>INDEX('Input_QV Valuation'!$C$5:$Q$83,MATCH($B19,'Input_QV Valuation'!$C$5:$C$83,0),MATCH(K$6,'Input_QV Valuation'!$C$5:$Q$5,0))</f>
        <v>22224</v>
      </c>
      <c r="L19" s="192">
        <f>INDEX('Input_QV Valuation'!$C$5:$Q$83,MATCH($B19,'Input_QV Valuation'!$C$5:$C$83,0),MATCH(L$6,'Input_QV Valuation'!$C$5:$Q$5,0))</f>
        <v>20920</v>
      </c>
      <c r="M19" s="191">
        <f t="shared" si="2"/>
        <v>6.2332695984703632E-2</v>
      </c>
      <c r="N19" s="18"/>
    </row>
    <row r="20" spans="2:14" x14ac:dyDescent="0.25">
      <c r="B20" s="189" t="s">
        <v>13</v>
      </c>
      <c r="C20" s="190">
        <f>INDEX(Input_Centreline!$C$5:$J$83,MATCH($B20,Input_Centreline!$C$5:$C$83,0),MATCH(C$6,Input_Centreline!$C$5:$J$5,0))</f>
        <v>1014.4</v>
      </c>
      <c r="D20" s="190">
        <f>INDEX(Input_Centreline!$C$5:$J$83,MATCH($B20,Input_Centreline!$C$5:$C$83,0),MATCH(D$6,Input_Centreline!$C$5:$J$5,0))</f>
        <v>1071</v>
      </c>
      <c r="E20" s="191">
        <f t="shared" si="0"/>
        <v>-5.284780578898228E-2</v>
      </c>
      <c r="F20" s="189"/>
      <c r="G20" s="192">
        <f>INDEX('Input_QV Valuation'!$C$5:$Q$83,MATCH($B20,'Input_QV Valuation'!$C$5:$C$83,0),MATCH(G$6,'Input_QV Valuation'!$C$5:$Q$5,0))</f>
        <v>3838372740.7389946</v>
      </c>
      <c r="H20" s="192">
        <f>INDEX('Input_QV Valuation'!$C$5:$Q$83,MATCH($B20,'Input_QV Valuation'!$C$5:$C$83,0),MATCH(H$6,'Input_QV Valuation'!$C$5:$Q$5,0))</f>
        <v>3021536935</v>
      </c>
      <c r="I20" s="191">
        <f t="shared" si="1"/>
        <v>0.27033785232845237</v>
      </c>
      <c r="J20" s="189"/>
      <c r="K20" s="192">
        <f>INDEX('Input_QV Valuation'!$C$5:$Q$83,MATCH($B20,'Input_QV Valuation'!$C$5:$C$83,0),MATCH(K$6,'Input_QV Valuation'!$C$5:$Q$5,0))</f>
        <v>5578</v>
      </c>
      <c r="L20" s="192">
        <f>INDEX('Input_QV Valuation'!$C$5:$Q$83,MATCH($B20,'Input_QV Valuation'!$C$5:$C$83,0),MATCH(L$6,'Input_QV Valuation'!$C$5:$Q$5,0))</f>
        <v>5573</v>
      </c>
      <c r="M20" s="191">
        <f t="shared" si="2"/>
        <v>8.9718284586398709E-4</v>
      </c>
      <c r="N20" s="18"/>
    </row>
    <row r="21" spans="2:14" x14ac:dyDescent="0.25">
      <c r="B21" s="189" t="s">
        <v>14</v>
      </c>
      <c r="C21" s="190">
        <f>INDEX(Input_Centreline!$C$5:$J$83,MATCH($B21,Input_Centreline!$C$5:$C$83,0),MATCH(C$6,Input_Centreline!$C$5:$J$5,0))</f>
        <v>41</v>
      </c>
      <c r="D21" s="190">
        <f>INDEX(Input_Centreline!$C$5:$J$83,MATCH($B21,Input_Centreline!$C$5:$C$83,0),MATCH(D$6,Input_Centreline!$C$5:$J$5,0))</f>
        <v>39.6</v>
      </c>
      <c r="E21" s="191">
        <f t="shared" si="0"/>
        <v>3.5353535353535318E-2</v>
      </c>
      <c r="F21" s="189"/>
      <c r="G21" s="192">
        <f>INDEX('Input_QV Valuation'!$C$5:$Q$83,MATCH($B21,'Input_QV Valuation'!$C$5:$C$83,0),MATCH(G$6,'Input_QV Valuation'!$C$5:$Q$5,0))</f>
        <v>1094875745</v>
      </c>
      <c r="H21" s="192">
        <f>INDEX('Input_QV Valuation'!$C$5:$Q$83,MATCH($B21,'Input_QV Valuation'!$C$5:$C$83,0),MATCH(H$6,'Input_QV Valuation'!$C$5:$Q$5,0))</f>
        <v>665089275</v>
      </c>
      <c r="I21" s="191">
        <f t="shared" si="1"/>
        <v>0.64620869130689262</v>
      </c>
      <c r="J21" s="189"/>
      <c r="K21" s="192">
        <f>INDEX('Input_QV Valuation'!$C$5:$Q$83,MATCH($B21,'Input_QV Valuation'!$C$5:$C$83,0),MATCH(K$6,'Input_QV Valuation'!$C$5:$Q$5,0))</f>
        <v>2903</v>
      </c>
      <c r="L21" s="192">
        <f>INDEX('Input_QV Valuation'!$C$5:$Q$83,MATCH($B21,'Input_QV Valuation'!$C$5:$C$83,0),MATCH(L$6,'Input_QV Valuation'!$C$5:$Q$5,0))</f>
        <v>2900</v>
      </c>
      <c r="M21" s="191">
        <f t="shared" si="2"/>
        <v>1.0344827586206897E-3</v>
      </c>
      <c r="N21" s="18"/>
    </row>
    <row r="22" spans="2:14" x14ac:dyDescent="0.25">
      <c r="B22" s="189" t="s">
        <v>15</v>
      </c>
      <c r="C22" s="190">
        <f>INDEX(Input_Centreline!$C$5:$J$83,MATCH($B22,Input_Centreline!$C$5:$C$83,0),MATCH(C$6,Input_Centreline!$C$5:$J$5,0))</f>
        <v>336.9</v>
      </c>
      <c r="D22" s="190">
        <f>INDEX(Input_Centreline!$C$5:$J$83,MATCH($B22,Input_Centreline!$C$5:$C$83,0),MATCH(D$6,Input_Centreline!$C$5:$J$5,0))</f>
        <v>336.6</v>
      </c>
      <c r="E22" s="191">
        <f t="shared" si="0"/>
        <v>8.9126559714781495E-4</v>
      </c>
      <c r="F22" s="189"/>
      <c r="G22" s="192">
        <f>INDEX('Input_QV Valuation'!$C$5:$Q$83,MATCH($B22,'Input_QV Valuation'!$C$5:$C$83,0),MATCH(G$6,'Input_QV Valuation'!$C$5:$Q$5,0))</f>
        <v>2671584597.5</v>
      </c>
      <c r="H22" s="192">
        <f>INDEX('Input_QV Valuation'!$C$5:$Q$83,MATCH($B22,'Input_QV Valuation'!$C$5:$C$83,0),MATCH(H$6,'Input_QV Valuation'!$C$5:$Q$5,0))</f>
        <v>1921448529.5</v>
      </c>
      <c r="I22" s="191">
        <f t="shared" si="1"/>
        <v>0.39040133341235045</v>
      </c>
      <c r="J22" s="189"/>
      <c r="K22" s="192">
        <f>INDEX('Input_QV Valuation'!$C$5:$Q$83,MATCH($B22,'Input_QV Valuation'!$C$5:$C$83,0),MATCH(K$6,'Input_QV Valuation'!$C$5:$Q$5,0))</f>
        <v>5588</v>
      </c>
      <c r="L22" s="192">
        <f>INDEX('Input_QV Valuation'!$C$5:$Q$83,MATCH($B22,'Input_QV Valuation'!$C$5:$C$83,0),MATCH(L$6,'Input_QV Valuation'!$C$5:$Q$5,0))</f>
        <v>5566</v>
      </c>
      <c r="M22" s="191">
        <f t="shared" si="2"/>
        <v>3.952569169960474E-3</v>
      </c>
      <c r="N22" s="18"/>
    </row>
    <row r="23" spans="2:14" x14ac:dyDescent="0.25">
      <c r="B23" s="189" t="s">
        <v>16</v>
      </c>
      <c r="C23" s="190">
        <f>INDEX(Input_Centreline!$C$5:$J$83,MATCH($B23,Input_Centreline!$C$5:$C$83,0),MATCH(C$6,Input_Centreline!$C$5:$J$5,0))</f>
        <v>1003</v>
      </c>
      <c r="D23" s="190">
        <f>INDEX(Input_Centreline!$C$5:$J$83,MATCH($B23,Input_Centreline!$C$5:$C$83,0),MATCH(D$6,Input_Centreline!$C$5:$J$5,0))</f>
        <v>1004.3</v>
      </c>
      <c r="E23" s="191">
        <f t="shared" si="0"/>
        <v>-1.2944339340833959E-3</v>
      </c>
      <c r="F23" s="189"/>
      <c r="G23" s="192">
        <f>INDEX('Input_QV Valuation'!$C$5:$Q$83,MATCH($B23,'Input_QV Valuation'!$C$5:$C$83,0),MATCH(G$6,'Input_QV Valuation'!$C$5:$Q$5,0))</f>
        <v>19873452995.099998</v>
      </c>
      <c r="H23" s="192">
        <f>INDEX('Input_QV Valuation'!$C$5:$Q$83,MATCH($B23,'Input_QV Valuation'!$C$5:$C$83,0),MATCH(H$6,'Input_QV Valuation'!$C$5:$Q$5,0))</f>
        <v>15063999511</v>
      </c>
      <c r="I23" s="191">
        <f t="shared" si="1"/>
        <v>0.31926803240985568</v>
      </c>
      <c r="J23" s="189"/>
      <c r="K23" s="192">
        <f>INDEX('Input_QV Valuation'!$C$5:$Q$83,MATCH($B23,'Input_QV Valuation'!$C$5:$C$83,0),MATCH(K$6,'Input_QV Valuation'!$C$5:$Q$5,0))</f>
        <v>29291</v>
      </c>
      <c r="L23" s="192">
        <f>INDEX('Input_QV Valuation'!$C$5:$Q$83,MATCH($B23,'Input_QV Valuation'!$C$5:$C$83,0),MATCH(L$6,'Input_QV Valuation'!$C$5:$Q$5,0))</f>
        <v>29447</v>
      </c>
      <c r="M23" s="191">
        <f t="shared" si="2"/>
        <v>-5.2976534112133666E-3</v>
      </c>
      <c r="N23" s="18"/>
    </row>
    <row r="24" spans="2:14" x14ac:dyDescent="0.25">
      <c r="B24" s="189" t="s">
        <v>17</v>
      </c>
      <c r="C24" s="190">
        <f>INDEX(Input_Centreline!$C$5:$J$83,MATCH($B24,Input_Centreline!$C$5:$C$83,0),MATCH(C$6,Input_Centreline!$C$5:$J$5,0))</f>
        <v>593.5</v>
      </c>
      <c r="D24" s="190">
        <f>INDEX(Input_Centreline!$C$5:$J$83,MATCH($B24,Input_Centreline!$C$5:$C$83,0),MATCH(D$6,Input_Centreline!$C$5:$J$5,0))</f>
        <v>536</v>
      </c>
      <c r="E24" s="191">
        <f t="shared" si="0"/>
        <v>0.10727611940298508</v>
      </c>
      <c r="F24" s="189"/>
      <c r="G24" s="192">
        <f>INDEX('Input_QV Valuation'!$C$5:$Q$83,MATCH($B24,'Input_QV Valuation'!$C$5:$C$83,0),MATCH(G$6,'Input_QV Valuation'!$C$5:$Q$5,0))</f>
        <v>55741729345</v>
      </c>
      <c r="H24" s="192">
        <f>INDEX('Input_QV Valuation'!$C$5:$Q$83,MATCH($B24,'Input_QV Valuation'!$C$5:$C$83,0),MATCH(H$6,'Input_QV Valuation'!$C$5:$Q$5,0))</f>
        <v>42334137512</v>
      </c>
      <c r="I24" s="191">
        <f t="shared" si="1"/>
        <v>0.31670875139949395</v>
      </c>
      <c r="J24" s="189"/>
      <c r="K24" s="192">
        <f>INDEX('Input_QV Valuation'!$C$5:$Q$83,MATCH($B24,'Input_QV Valuation'!$C$5:$C$83,0),MATCH(K$6,'Input_QV Valuation'!$C$5:$Q$5,0))</f>
        <v>58710</v>
      </c>
      <c r="L24" s="192">
        <f>INDEX('Input_QV Valuation'!$C$5:$Q$83,MATCH($B24,'Input_QV Valuation'!$C$5:$C$83,0),MATCH(L$6,'Input_QV Valuation'!$C$5:$Q$5,0))</f>
        <v>54459</v>
      </c>
      <c r="M24" s="191">
        <f t="shared" si="2"/>
        <v>7.8058723076075573E-2</v>
      </c>
      <c r="N24" s="18"/>
    </row>
    <row r="25" spans="2:14" x14ac:dyDescent="0.25">
      <c r="B25" s="189" t="s">
        <v>18</v>
      </c>
      <c r="C25" s="190">
        <f>INDEX(Input_Centreline!$C$5:$J$83,MATCH($B25,Input_Centreline!$C$5:$C$83,0),MATCH(C$6,Input_Centreline!$C$5:$J$5,0))</f>
        <v>1061.2</v>
      </c>
      <c r="D25" s="190">
        <f>INDEX(Input_Centreline!$C$5:$J$83,MATCH($B25,Input_Centreline!$C$5:$C$83,0),MATCH(D$6,Input_Centreline!$C$5:$J$5,0))</f>
        <v>1029.8</v>
      </c>
      <c r="E25" s="191">
        <f t="shared" si="0"/>
        <v>3.0491357545154488E-2</v>
      </c>
      <c r="F25" s="189"/>
      <c r="G25" s="192">
        <f>INDEX('Input_QV Valuation'!$C$5:$Q$83,MATCH($B25,'Input_QV Valuation'!$C$5:$C$83,0),MATCH(G$6,'Input_QV Valuation'!$C$5:$Q$5,0))</f>
        <v>26887523511</v>
      </c>
      <c r="H25" s="192">
        <f>INDEX('Input_QV Valuation'!$C$5:$Q$83,MATCH($B25,'Input_QV Valuation'!$C$5:$C$83,0),MATCH(H$6,'Input_QV Valuation'!$C$5:$Q$5,0))</f>
        <v>20123450500</v>
      </c>
      <c r="I25" s="191">
        <f t="shared" si="1"/>
        <v>0.3361288865942747</v>
      </c>
      <c r="J25" s="189"/>
      <c r="K25" s="192">
        <f>INDEX('Input_QV Valuation'!$C$5:$Q$83,MATCH($B25,'Input_QV Valuation'!$C$5:$C$83,0),MATCH(K$6,'Input_QV Valuation'!$C$5:$Q$5,0))</f>
        <v>24610</v>
      </c>
      <c r="L25" s="192">
        <f>INDEX('Input_QV Valuation'!$C$5:$Q$83,MATCH($B25,'Input_QV Valuation'!$C$5:$C$83,0),MATCH(L$6,'Input_QV Valuation'!$C$5:$Q$5,0))</f>
        <v>23111</v>
      </c>
      <c r="M25" s="191">
        <f t="shared" si="2"/>
        <v>6.4860888754272858E-2</v>
      </c>
      <c r="N25" s="18"/>
    </row>
    <row r="26" spans="2:14" x14ac:dyDescent="0.25">
      <c r="B26" s="189" t="s">
        <v>216</v>
      </c>
      <c r="C26" s="190">
        <f>INDEX(Input_Centreline!$C$5:$J$83,MATCH($B26,Input_Centreline!$C$5:$C$83,0),MATCH(C$6,Input_Centreline!$C$5:$J$5,0))</f>
        <v>908.69999999999993</v>
      </c>
      <c r="D26" s="190">
        <f>INDEX(Input_Centreline!$C$5:$J$83,MATCH($B26,Input_Centreline!$C$5:$C$83,0),MATCH(D$6,Input_Centreline!$C$5:$J$5,0))</f>
        <v>903</v>
      </c>
      <c r="E26" s="191">
        <f t="shared" si="0"/>
        <v>6.3122923588039108E-3</v>
      </c>
      <c r="F26" s="189"/>
      <c r="G26" s="192">
        <f>INDEX('Input_QV Valuation'!$C$5:$Q$83,MATCH($B26,'Input_QV Valuation'!$C$5:$C$83,0),MATCH(G$6,'Input_QV Valuation'!$C$5:$Q$5,0))</f>
        <v>10408731824.5</v>
      </c>
      <c r="H26" s="192">
        <f>INDEX('Input_QV Valuation'!$C$5:$Q$83,MATCH($B26,'Input_QV Valuation'!$C$5:$C$83,0),MATCH(H$6,'Input_QV Valuation'!$C$5:$Q$5,0))</f>
        <v>8049677369</v>
      </c>
      <c r="I26" s="191">
        <f t="shared" si="1"/>
        <v>0.29306198837048075</v>
      </c>
      <c r="J26" s="189"/>
      <c r="K26" s="192">
        <f>INDEX('Input_QV Valuation'!$C$5:$Q$83,MATCH($B26,'Input_QV Valuation'!$C$5:$C$83,0),MATCH(K$6,'Input_QV Valuation'!$C$5:$Q$5,0))</f>
        <v>15824</v>
      </c>
      <c r="L26" s="192">
        <f>INDEX('Input_QV Valuation'!$C$5:$Q$83,MATCH($B26,'Input_QV Valuation'!$C$5:$C$83,0),MATCH(L$6,'Input_QV Valuation'!$C$5:$Q$5,0))</f>
        <v>15709</v>
      </c>
      <c r="M26" s="191">
        <f t="shared" si="2"/>
        <v>7.320644216691069E-3</v>
      </c>
      <c r="N26" s="18"/>
    </row>
    <row r="27" spans="2:14" x14ac:dyDescent="0.25">
      <c r="B27" s="189" t="s">
        <v>19</v>
      </c>
      <c r="C27" s="190">
        <f>INDEX(Input_Centreline!$C$5:$J$83,MATCH($B27,Input_Centreline!$C$5:$C$83,0),MATCH(C$6,Input_Centreline!$C$5:$J$5,0))</f>
        <v>1867</v>
      </c>
      <c r="D27" s="190">
        <f>INDEX(Input_Centreline!$C$5:$J$83,MATCH($B27,Input_Centreline!$C$5:$C$83,0),MATCH(D$6,Input_Centreline!$C$5:$J$5,0))</f>
        <v>1892.6</v>
      </c>
      <c r="E27" s="191">
        <f t="shared" si="0"/>
        <v>-1.3526365845926192E-2</v>
      </c>
      <c r="F27" s="189"/>
      <c r="G27" s="192">
        <f>INDEX('Input_QV Valuation'!$C$5:$Q$83,MATCH($B27,'Input_QV Valuation'!$C$5:$C$83,0),MATCH(G$6,'Input_QV Valuation'!$C$5:$Q$5,0))</f>
        <v>15405950675</v>
      </c>
      <c r="H27" s="192">
        <f>INDEX('Input_QV Valuation'!$C$5:$Q$83,MATCH($B27,'Input_QV Valuation'!$C$5:$C$83,0),MATCH(H$6,'Input_QV Valuation'!$C$5:$Q$5,0))</f>
        <v>10473400693.5</v>
      </c>
      <c r="I27" s="191">
        <f t="shared" si="1"/>
        <v>0.47095973178618461</v>
      </c>
      <c r="J27" s="189"/>
      <c r="K27" s="192">
        <f>INDEX('Input_QV Valuation'!$C$5:$Q$83,MATCH($B27,'Input_QV Valuation'!$C$5:$C$83,0),MATCH(K$6,'Input_QV Valuation'!$C$5:$Q$5,0))</f>
        <v>23312</v>
      </c>
      <c r="L27" s="192">
        <f>INDEX('Input_QV Valuation'!$C$5:$Q$83,MATCH($B27,'Input_QV Valuation'!$C$5:$C$83,0),MATCH(L$6,'Input_QV Valuation'!$C$5:$Q$5,0))</f>
        <v>23808</v>
      </c>
      <c r="M27" s="191">
        <f t="shared" si="2"/>
        <v>-2.0833333333333332E-2</v>
      </c>
      <c r="N27" s="18"/>
    </row>
    <row r="28" spans="2:14" x14ac:dyDescent="0.25">
      <c r="B28" s="189" t="s">
        <v>20</v>
      </c>
      <c r="C28" s="190">
        <f>INDEX(Input_Centreline!$C$5:$J$83,MATCH($B28,Input_Centreline!$C$5:$C$83,0),MATCH(C$6,Input_Centreline!$C$5:$J$5,0))</f>
        <v>1265.5</v>
      </c>
      <c r="D28" s="190">
        <f>INDEX(Input_Centreline!$C$5:$J$83,MATCH($B28,Input_Centreline!$C$5:$C$83,0),MATCH(D$6,Input_Centreline!$C$5:$J$5,0))</f>
        <v>1263.1000000000001</v>
      </c>
      <c r="E28" s="191">
        <f t="shared" si="0"/>
        <v>1.9000870873247275E-3</v>
      </c>
      <c r="F28" s="189"/>
      <c r="G28" s="192">
        <f>INDEX('Input_QV Valuation'!$C$5:$Q$83,MATCH($B28,'Input_QV Valuation'!$C$5:$C$83,0),MATCH(G$6,'Input_QV Valuation'!$C$5:$Q$5,0))</f>
        <v>6518783005</v>
      </c>
      <c r="H28" s="192">
        <f>INDEX('Input_QV Valuation'!$C$5:$Q$83,MATCH($B28,'Input_QV Valuation'!$C$5:$C$83,0),MATCH(H$6,'Input_QV Valuation'!$C$5:$Q$5,0))</f>
        <v>4385789256.5</v>
      </c>
      <c r="I28" s="191">
        <f t="shared" si="1"/>
        <v>0.48634205242278267</v>
      </c>
      <c r="J28" s="189"/>
      <c r="K28" s="192">
        <f>INDEX('Input_QV Valuation'!$C$5:$Q$83,MATCH($B28,'Input_QV Valuation'!$C$5:$C$83,0),MATCH(K$6,'Input_QV Valuation'!$C$5:$Q$5,0))</f>
        <v>7471</v>
      </c>
      <c r="L28" s="192">
        <f>INDEX('Input_QV Valuation'!$C$5:$Q$83,MATCH($B28,'Input_QV Valuation'!$C$5:$C$83,0),MATCH(L$6,'Input_QV Valuation'!$C$5:$Q$5,0))</f>
        <v>7313</v>
      </c>
      <c r="M28" s="191">
        <f t="shared" si="2"/>
        <v>2.1605360317243267E-2</v>
      </c>
      <c r="N28" s="18"/>
    </row>
    <row r="29" spans="2:14" x14ac:dyDescent="0.25">
      <c r="B29" s="189" t="s">
        <v>21</v>
      </c>
      <c r="C29" s="190">
        <f>INDEX(Input_Centreline!$C$5:$J$83,MATCH($B29,Input_Centreline!$C$5:$C$83,0),MATCH(C$6,Input_Centreline!$C$5:$J$5,0))</f>
        <v>1646.5</v>
      </c>
      <c r="D29" s="190">
        <f>INDEX(Input_Centreline!$C$5:$J$83,MATCH($B29,Input_Centreline!$C$5:$C$83,0),MATCH(D$6,Input_Centreline!$C$5:$J$5,0))</f>
        <v>1629.3</v>
      </c>
      <c r="E29" s="191">
        <f t="shared" si="0"/>
        <v>1.055668078315844E-2</v>
      </c>
      <c r="F29" s="189"/>
      <c r="G29" s="192">
        <f>INDEX('Input_QV Valuation'!$C$5:$Q$83,MATCH($B29,'Input_QV Valuation'!$C$5:$C$83,0),MATCH(G$6,'Input_QV Valuation'!$C$5:$Q$5,0))</f>
        <v>26795392807.850006</v>
      </c>
      <c r="H29" s="192">
        <f>INDEX('Input_QV Valuation'!$C$5:$Q$83,MATCH($B29,'Input_QV Valuation'!$C$5:$C$83,0),MATCH(H$6,'Input_QV Valuation'!$C$5:$Q$5,0))</f>
        <v>18332960250</v>
      </c>
      <c r="I29" s="191">
        <f t="shared" si="1"/>
        <v>0.46159662391947892</v>
      </c>
      <c r="J29" s="189"/>
      <c r="K29" s="192">
        <f>INDEX('Input_QV Valuation'!$C$5:$Q$83,MATCH($B29,'Input_QV Valuation'!$C$5:$C$83,0),MATCH(K$6,'Input_QV Valuation'!$C$5:$Q$5,0))</f>
        <v>31332</v>
      </c>
      <c r="L29" s="192">
        <f>INDEX('Input_QV Valuation'!$C$5:$Q$83,MATCH($B29,'Input_QV Valuation'!$C$5:$C$83,0),MATCH(L$6,'Input_QV Valuation'!$C$5:$Q$5,0))</f>
        <v>30736</v>
      </c>
      <c r="M29" s="191">
        <f t="shared" si="2"/>
        <v>1.9390942217595002E-2</v>
      </c>
      <c r="N29" s="18"/>
    </row>
    <row r="30" spans="2:14" x14ac:dyDescent="0.25">
      <c r="B30" s="189" t="s">
        <v>22</v>
      </c>
      <c r="C30" s="190">
        <f>INDEX(Input_Centreline!$C$5:$J$83,MATCH($B30,Input_Centreline!$C$5:$C$83,0),MATCH(C$6,Input_Centreline!$C$5:$J$5,0))</f>
        <v>368.3</v>
      </c>
      <c r="D30" s="190">
        <f>INDEX(Input_Centreline!$C$5:$J$83,MATCH($B30,Input_Centreline!$C$5:$C$83,0),MATCH(D$6,Input_Centreline!$C$5:$J$5,0))</f>
        <v>356.4</v>
      </c>
      <c r="E30" s="191">
        <f t="shared" si="0"/>
        <v>3.3389450056116821E-2</v>
      </c>
      <c r="F30" s="189"/>
      <c r="G30" s="192">
        <f>INDEX('Input_QV Valuation'!$C$5:$Q$83,MATCH($B30,'Input_QV Valuation'!$C$5:$C$83,0),MATCH(G$6,'Input_QV Valuation'!$C$5:$Q$5,0))</f>
        <v>17721580600</v>
      </c>
      <c r="H30" s="192">
        <f>INDEX('Input_QV Valuation'!$C$5:$Q$83,MATCH($B30,'Input_QV Valuation'!$C$5:$C$83,0),MATCH(H$6,'Input_QV Valuation'!$C$5:$Q$5,0))</f>
        <v>12080283020</v>
      </c>
      <c r="I30" s="191">
        <f t="shared" si="1"/>
        <v>0.46698389190553913</v>
      </c>
      <c r="J30" s="189"/>
      <c r="K30" s="192">
        <f>INDEX('Input_QV Valuation'!$C$5:$Q$83,MATCH($B30,'Input_QV Valuation'!$C$5:$C$83,0),MATCH(K$6,'Input_QV Valuation'!$C$5:$Q$5,0))</f>
        <v>25615</v>
      </c>
      <c r="L30" s="192">
        <f>INDEX('Input_QV Valuation'!$C$5:$Q$83,MATCH($B30,'Input_QV Valuation'!$C$5:$C$83,0),MATCH(L$6,'Input_QV Valuation'!$C$5:$Q$5,0))</f>
        <v>25211</v>
      </c>
      <c r="M30" s="191">
        <f t="shared" si="2"/>
        <v>1.6024751100710007E-2</v>
      </c>
      <c r="N30" s="18"/>
    </row>
    <row r="31" spans="2:14" x14ac:dyDescent="0.25">
      <c r="B31" s="189" t="s">
        <v>23</v>
      </c>
      <c r="C31" s="190">
        <f>INDEX(Input_Centreline!$C$5:$J$83,MATCH($B31,Input_Centreline!$C$5:$C$83,0),MATCH(C$6,Input_Centreline!$C$5:$J$5,0))</f>
        <v>897.60000000000014</v>
      </c>
      <c r="D31" s="190">
        <f>INDEX(Input_Centreline!$C$5:$J$83,MATCH($B31,Input_Centreline!$C$5:$C$83,0),MATCH(D$6,Input_Centreline!$C$5:$J$5,0))</f>
        <v>897.60000000000014</v>
      </c>
      <c r="E31" s="191">
        <f t="shared" si="0"/>
        <v>0</v>
      </c>
      <c r="F31" s="189"/>
      <c r="G31" s="192">
        <f>INDEX('Input_QV Valuation'!$C$5:$Q$83,MATCH($B31,'Input_QV Valuation'!$C$5:$C$83,0),MATCH(G$6,'Input_QV Valuation'!$C$5:$Q$5,0))</f>
        <v>2645896790</v>
      </c>
      <c r="H31" s="192">
        <f>INDEX('Input_QV Valuation'!$C$5:$Q$83,MATCH($B31,'Input_QV Valuation'!$C$5:$C$83,0),MATCH(H$6,'Input_QV Valuation'!$C$5:$Q$5,0))</f>
        <v>1900847940</v>
      </c>
      <c r="I31" s="191">
        <f t="shared" si="1"/>
        <v>0.39195604988792526</v>
      </c>
      <c r="J31" s="189"/>
      <c r="K31" s="192">
        <f>INDEX('Input_QV Valuation'!$C$5:$Q$83,MATCH($B31,'Input_QV Valuation'!$C$5:$C$83,0),MATCH(K$6,'Input_QV Valuation'!$C$5:$Q$5,0))</f>
        <v>6654</v>
      </c>
      <c r="L31" s="192">
        <f>INDEX('Input_QV Valuation'!$C$5:$Q$83,MATCH($B31,'Input_QV Valuation'!$C$5:$C$83,0),MATCH(L$6,'Input_QV Valuation'!$C$5:$Q$5,0))</f>
        <v>6623</v>
      </c>
      <c r="M31" s="191">
        <f t="shared" si="2"/>
        <v>4.6806583119432281E-3</v>
      </c>
      <c r="N31" s="18"/>
    </row>
    <row r="32" spans="2:14" x14ac:dyDescent="0.25">
      <c r="B32" s="189" t="s">
        <v>24</v>
      </c>
      <c r="C32" s="190">
        <f>INDEX(Input_Centreline!$C$5:$J$83,MATCH($B32,Input_Centreline!$C$5:$C$83,0),MATCH(C$6,Input_Centreline!$C$5:$J$5,0))</f>
        <v>1291.8</v>
      </c>
      <c r="D32" s="190">
        <f>INDEX(Input_Centreline!$C$5:$J$83,MATCH($B32,Input_Centreline!$C$5:$C$83,0),MATCH(D$6,Input_Centreline!$C$5:$J$5,0))</f>
        <v>1278.5</v>
      </c>
      <c r="E32" s="191">
        <f t="shared" si="0"/>
        <v>1.0402815799765314E-2</v>
      </c>
      <c r="F32" s="189"/>
      <c r="G32" s="192">
        <f>INDEX('Input_QV Valuation'!$C$5:$Q$83,MATCH($B32,'Input_QV Valuation'!$C$5:$C$83,0),MATCH(G$6,'Input_QV Valuation'!$C$5:$Q$5,0))</f>
        <v>23246501407.799999</v>
      </c>
      <c r="H32" s="192">
        <f>INDEX('Input_QV Valuation'!$C$5:$Q$83,MATCH($B32,'Input_QV Valuation'!$C$5:$C$83,0),MATCH(H$6,'Input_QV Valuation'!$C$5:$Q$5,0))</f>
        <v>19608070564.5</v>
      </c>
      <c r="I32" s="191">
        <f t="shared" si="1"/>
        <v>0.18555782076219687</v>
      </c>
      <c r="J32" s="189"/>
      <c r="K32" s="192">
        <f>INDEX('Input_QV Valuation'!$C$5:$Q$83,MATCH($B32,'Input_QV Valuation'!$C$5:$C$83,0),MATCH(K$6,'Input_QV Valuation'!$C$5:$Q$5,0))</f>
        <v>35855</v>
      </c>
      <c r="L32" s="192">
        <f>INDEX('Input_QV Valuation'!$C$5:$Q$83,MATCH($B32,'Input_QV Valuation'!$C$5:$C$83,0),MATCH(L$6,'Input_QV Valuation'!$C$5:$Q$5,0))</f>
        <v>34734</v>
      </c>
      <c r="M32" s="191">
        <f t="shared" si="2"/>
        <v>3.2273852709161055E-2</v>
      </c>
      <c r="N32" s="18"/>
    </row>
    <row r="33" spans="2:14" x14ac:dyDescent="0.25">
      <c r="B33" s="189" t="s">
        <v>25</v>
      </c>
      <c r="C33" s="190">
        <f>INDEX(Input_Centreline!$C$5:$J$83,MATCH($B33,Input_Centreline!$C$5:$C$83,0),MATCH(C$6,Input_Centreline!$C$5:$J$5,0))</f>
        <v>1632.8</v>
      </c>
      <c r="D33" s="190">
        <f>INDEX(Input_Centreline!$C$5:$J$83,MATCH($B33,Input_Centreline!$C$5:$C$83,0),MATCH(D$6,Input_Centreline!$C$5:$J$5,0))</f>
        <v>1624.4</v>
      </c>
      <c r="E33" s="191">
        <f t="shared" si="0"/>
        <v>5.1711401132725088E-3</v>
      </c>
      <c r="F33" s="189"/>
      <c r="G33" s="192">
        <f>INDEX('Input_QV Valuation'!$C$5:$Q$83,MATCH($B33,'Input_QV Valuation'!$C$5:$C$83,0),MATCH(G$6,'Input_QV Valuation'!$C$5:$Q$5,0))</f>
        <v>11029340607.5</v>
      </c>
      <c r="H33" s="192">
        <f>INDEX('Input_QV Valuation'!$C$5:$Q$83,MATCH($B33,'Input_QV Valuation'!$C$5:$C$83,0),MATCH(H$6,'Input_QV Valuation'!$C$5:$Q$5,0))</f>
        <v>10761034474.5</v>
      </c>
      <c r="I33" s="191">
        <f t="shared" si="1"/>
        <v>2.4933117130680558E-2</v>
      </c>
      <c r="J33" s="189"/>
      <c r="K33" s="192">
        <f>INDEX('Input_QV Valuation'!$C$5:$Q$83,MATCH($B33,'Input_QV Valuation'!$C$5:$C$83,0),MATCH(K$6,'Input_QV Valuation'!$C$5:$Q$5,0))</f>
        <v>14174</v>
      </c>
      <c r="L33" s="192">
        <f>INDEX('Input_QV Valuation'!$C$5:$Q$83,MATCH($B33,'Input_QV Valuation'!$C$5:$C$83,0),MATCH(L$6,'Input_QV Valuation'!$C$5:$Q$5,0))</f>
        <v>14150</v>
      </c>
      <c r="M33" s="191">
        <f t="shared" si="2"/>
        <v>1.6961130742049471E-3</v>
      </c>
      <c r="N33" s="18"/>
    </row>
    <row r="34" spans="2:14" x14ac:dyDescent="0.25">
      <c r="B34" s="189" t="s">
        <v>26</v>
      </c>
      <c r="C34" s="190">
        <f>INDEX(Input_Centreline!$C$5:$J$83,MATCH($B34,Input_Centreline!$C$5:$C$83,0),MATCH(C$6,Input_Centreline!$C$5:$J$5,0))</f>
        <v>612.00000000000011</v>
      </c>
      <c r="D34" s="190">
        <f>INDEX(Input_Centreline!$C$5:$J$83,MATCH($B34,Input_Centreline!$C$5:$C$83,0),MATCH(D$6,Input_Centreline!$C$5:$J$5,0))</f>
        <v>597.80000000000007</v>
      </c>
      <c r="E34" s="191">
        <f t="shared" si="0"/>
        <v>2.3753763800602283E-2</v>
      </c>
      <c r="F34" s="189"/>
      <c r="G34" s="192">
        <f>INDEX('Input_QV Valuation'!$C$5:$Q$83,MATCH($B34,'Input_QV Valuation'!$C$5:$C$83,0),MATCH(G$6,'Input_QV Valuation'!$C$5:$Q$5,0))</f>
        <v>3550593682.5</v>
      </c>
      <c r="H34" s="192">
        <f>INDEX('Input_QV Valuation'!$C$5:$Q$83,MATCH($B34,'Input_QV Valuation'!$C$5:$C$83,0),MATCH(H$6,'Input_QV Valuation'!$C$5:$Q$5,0))</f>
        <v>2936693213.5</v>
      </c>
      <c r="I34" s="191">
        <f t="shared" si="1"/>
        <v>0.20904480800987146</v>
      </c>
      <c r="J34" s="189"/>
      <c r="K34" s="192">
        <f>INDEX('Input_QV Valuation'!$C$5:$Q$83,MATCH($B34,'Input_QV Valuation'!$C$5:$C$83,0),MATCH(K$6,'Input_QV Valuation'!$C$5:$Q$5,0))</f>
        <v>4745</v>
      </c>
      <c r="L34" s="192">
        <f>INDEX('Input_QV Valuation'!$C$5:$Q$83,MATCH($B34,'Input_QV Valuation'!$C$5:$C$83,0),MATCH(L$6,'Input_QV Valuation'!$C$5:$Q$5,0))</f>
        <v>4971</v>
      </c>
      <c r="M34" s="191">
        <f t="shared" si="2"/>
        <v>-4.5463689398511364E-2</v>
      </c>
      <c r="N34" s="18"/>
    </row>
    <row r="35" spans="2:14" x14ac:dyDescent="0.25">
      <c r="B35" s="189" t="s">
        <v>27</v>
      </c>
      <c r="C35" s="190">
        <f>INDEX(Input_Centreline!$C$5:$J$83,MATCH($B35,Input_Centreline!$C$5:$C$83,0),MATCH(C$6,Input_Centreline!$C$5:$J$5,0))</f>
        <v>580.6</v>
      </c>
      <c r="D35" s="190">
        <f>INDEX(Input_Centreline!$C$5:$J$83,MATCH($B35,Input_Centreline!$C$5:$C$83,0),MATCH(D$6,Input_Centreline!$C$5:$J$5,0))</f>
        <v>579.90000000000009</v>
      </c>
      <c r="E35" s="191">
        <f t="shared" si="0"/>
        <v>1.2071046732194028E-3</v>
      </c>
      <c r="F35" s="189"/>
      <c r="G35" s="192">
        <f>INDEX('Input_QV Valuation'!$C$5:$Q$83,MATCH($B35,'Input_QV Valuation'!$C$5:$C$83,0),MATCH(G$6,'Input_QV Valuation'!$C$5:$Q$5,0))</f>
        <v>9066079789</v>
      </c>
      <c r="H35" s="192">
        <f>INDEX('Input_QV Valuation'!$C$5:$Q$83,MATCH($B35,'Input_QV Valuation'!$C$5:$C$83,0),MATCH(H$6,'Input_QV Valuation'!$C$5:$Q$5,0))</f>
        <v>6327531300</v>
      </c>
      <c r="I35" s="191">
        <f t="shared" si="1"/>
        <v>0.43279888461397259</v>
      </c>
      <c r="J35" s="189"/>
      <c r="K35" s="192">
        <f>INDEX('Input_QV Valuation'!$C$5:$Q$83,MATCH($B35,'Input_QV Valuation'!$C$5:$C$83,0),MATCH(K$6,'Input_QV Valuation'!$C$5:$Q$5,0))</f>
        <v>17716</v>
      </c>
      <c r="L35" s="192">
        <f>INDEX('Input_QV Valuation'!$C$5:$Q$83,MATCH($B35,'Input_QV Valuation'!$C$5:$C$83,0),MATCH(L$6,'Input_QV Valuation'!$C$5:$Q$5,0))</f>
        <v>17483</v>
      </c>
      <c r="M35" s="191">
        <f t="shared" si="2"/>
        <v>1.3327232168392152E-2</v>
      </c>
      <c r="N35" s="18"/>
    </row>
    <row r="36" spans="2:14" x14ac:dyDescent="0.25">
      <c r="B36" s="189" t="s">
        <v>28</v>
      </c>
      <c r="C36" s="190">
        <f>INDEX(Input_Centreline!$C$5:$J$83,MATCH($B36,Input_Centreline!$C$5:$C$83,0),MATCH(C$6,Input_Centreline!$C$5:$J$5,0))</f>
        <v>1371.9</v>
      </c>
      <c r="D36" s="190">
        <f>INDEX(Input_Centreline!$C$5:$J$83,MATCH($B36,Input_Centreline!$C$5:$C$83,0),MATCH(D$6,Input_Centreline!$C$5:$J$5,0))</f>
        <v>1359.4</v>
      </c>
      <c r="E36" s="191">
        <f t="shared" si="0"/>
        <v>9.1952331911137261E-3</v>
      </c>
      <c r="F36" s="189"/>
      <c r="G36" s="192">
        <f>INDEX('Input_QV Valuation'!$C$5:$Q$83,MATCH($B36,'Input_QV Valuation'!$C$5:$C$83,0),MATCH(G$6,'Input_QV Valuation'!$C$5:$Q$5,0))</f>
        <v>10802468950.339998</v>
      </c>
      <c r="H36" s="192">
        <f>INDEX('Input_QV Valuation'!$C$5:$Q$83,MATCH($B36,'Input_QV Valuation'!$C$5:$C$83,0),MATCH(H$6,'Input_QV Valuation'!$C$5:$Q$5,0))</f>
        <v>7928963320</v>
      </c>
      <c r="I36" s="191">
        <f t="shared" si="1"/>
        <v>0.36240622063314049</v>
      </c>
      <c r="J36" s="189"/>
      <c r="K36" s="192">
        <f>INDEX('Input_QV Valuation'!$C$5:$Q$83,MATCH($B36,'Input_QV Valuation'!$C$5:$C$83,0),MATCH(K$6,'Input_QV Valuation'!$C$5:$Q$5,0))</f>
        <v>13916</v>
      </c>
      <c r="L36" s="192">
        <f>INDEX('Input_QV Valuation'!$C$5:$Q$83,MATCH($B36,'Input_QV Valuation'!$C$5:$C$83,0),MATCH(L$6,'Input_QV Valuation'!$C$5:$Q$5,0))</f>
        <v>13552</v>
      </c>
      <c r="M36" s="191">
        <f t="shared" si="2"/>
        <v>2.6859504132231406E-2</v>
      </c>
      <c r="N36" s="18"/>
    </row>
    <row r="37" spans="2:14" x14ac:dyDescent="0.25">
      <c r="B37" s="189" t="s">
        <v>29</v>
      </c>
      <c r="C37" s="190">
        <f>INDEX(Input_Centreline!$C$5:$J$83,MATCH($B37,Input_Centreline!$C$5:$C$83,0),MATCH(C$6,Input_Centreline!$C$5:$J$5,0))</f>
        <v>554.4</v>
      </c>
      <c r="D37" s="190">
        <f>INDEX(Input_Centreline!$C$5:$J$83,MATCH($B37,Input_Centreline!$C$5:$C$83,0),MATCH(D$6,Input_Centreline!$C$5:$J$5,0))</f>
        <v>584.5</v>
      </c>
      <c r="E37" s="191">
        <f t="shared" si="0"/>
        <v>-5.1497005988023994E-2</v>
      </c>
      <c r="F37" s="189"/>
      <c r="G37" s="192">
        <f>INDEX('Input_QV Valuation'!$C$5:$Q$83,MATCH($B37,'Input_QV Valuation'!$C$5:$C$83,0),MATCH(G$6,'Input_QV Valuation'!$C$5:$Q$5,0))</f>
        <v>20193086365</v>
      </c>
      <c r="H37" s="192">
        <f>INDEX('Input_QV Valuation'!$C$5:$Q$83,MATCH($B37,'Input_QV Valuation'!$C$5:$C$83,0),MATCH(H$6,'Input_QV Valuation'!$C$5:$Q$5,0))</f>
        <v>14572853331.5</v>
      </c>
      <c r="I37" s="191">
        <f t="shared" si="1"/>
        <v>0.38566455763001239</v>
      </c>
      <c r="J37" s="189"/>
      <c r="K37" s="192">
        <f>INDEX('Input_QV Valuation'!$C$5:$Q$83,MATCH($B37,'Input_QV Valuation'!$C$5:$C$83,0),MATCH(K$6,'Input_QV Valuation'!$C$5:$Q$5,0))</f>
        <v>32847</v>
      </c>
      <c r="L37" s="192">
        <f>INDEX('Input_QV Valuation'!$C$5:$Q$83,MATCH($B37,'Input_QV Valuation'!$C$5:$C$83,0),MATCH(L$6,'Input_QV Valuation'!$C$5:$Q$5,0))</f>
        <v>32164</v>
      </c>
      <c r="M37" s="191">
        <f t="shared" si="2"/>
        <v>2.1234921029722673E-2</v>
      </c>
      <c r="N37" s="18"/>
    </row>
    <row r="38" spans="2:14" x14ac:dyDescent="0.25">
      <c r="B38" s="189" t="s">
        <v>30</v>
      </c>
      <c r="C38" s="190">
        <f>INDEX(Input_Centreline!$C$5:$J$83,MATCH($B38,Input_Centreline!$C$5:$C$83,0),MATCH(C$6,Input_Centreline!$C$5:$J$5,0))</f>
        <v>1243</v>
      </c>
      <c r="D38" s="190">
        <f>INDEX(Input_Centreline!$C$5:$J$83,MATCH($B38,Input_Centreline!$C$5:$C$83,0),MATCH(D$6,Input_Centreline!$C$5:$J$5,0))</f>
        <v>1224</v>
      </c>
      <c r="E38" s="191">
        <f t="shared" si="0"/>
        <v>1.5522875816993464E-2</v>
      </c>
      <c r="F38" s="189"/>
      <c r="G38" s="192">
        <f>INDEX('Input_QV Valuation'!$C$5:$Q$83,MATCH($B38,'Input_QV Valuation'!$C$5:$C$83,0),MATCH(G$6,'Input_QV Valuation'!$C$5:$Q$5,0))</f>
        <v>5656380825</v>
      </c>
      <c r="H38" s="192">
        <f>INDEX('Input_QV Valuation'!$C$5:$Q$83,MATCH($B38,'Input_QV Valuation'!$C$5:$C$83,0),MATCH(H$6,'Input_QV Valuation'!$C$5:$Q$5,0))</f>
        <v>3907372148</v>
      </c>
      <c r="I38" s="191">
        <f t="shared" si="1"/>
        <v>0.44761763424434381</v>
      </c>
      <c r="J38" s="189"/>
      <c r="K38" s="192">
        <f>INDEX('Input_QV Valuation'!$C$5:$Q$83,MATCH($B38,'Input_QV Valuation'!$C$5:$C$83,0),MATCH(K$6,'Input_QV Valuation'!$C$5:$Q$5,0))</f>
        <v>7973</v>
      </c>
      <c r="L38" s="192">
        <f>INDEX('Input_QV Valuation'!$C$5:$Q$83,MATCH($B38,'Input_QV Valuation'!$C$5:$C$83,0),MATCH(L$6,'Input_QV Valuation'!$C$5:$Q$5,0))</f>
        <v>8047</v>
      </c>
      <c r="M38" s="191">
        <f t="shared" si="2"/>
        <v>-9.1959736547781775E-3</v>
      </c>
      <c r="N38" s="18"/>
    </row>
    <row r="39" spans="2:14" x14ac:dyDescent="0.25">
      <c r="B39" s="189" t="s">
        <v>31</v>
      </c>
      <c r="C39" s="190">
        <f>INDEX(Input_Centreline!$C$5:$J$83,MATCH($B39,Input_Centreline!$C$5:$C$83,0),MATCH(C$6,Input_Centreline!$C$5:$J$5,0))</f>
        <v>1340</v>
      </c>
      <c r="D39" s="190">
        <f>INDEX(Input_Centreline!$C$5:$J$83,MATCH($B39,Input_Centreline!$C$5:$C$83,0),MATCH(D$6,Input_Centreline!$C$5:$J$5,0))</f>
        <v>1336.8999999999999</v>
      </c>
      <c r="E39" s="191">
        <f t="shared" si="0"/>
        <v>2.3187972174434413E-3</v>
      </c>
      <c r="F39" s="189"/>
      <c r="G39" s="192">
        <f>INDEX('Input_QV Valuation'!$C$5:$Q$83,MATCH($B39,'Input_QV Valuation'!$C$5:$C$83,0),MATCH(G$6,'Input_QV Valuation'!$C$5:$Q$5,0))</f>
        <v>5364667765</v>
      </c>
      <c r="H39" s="192">
        <f>INDEX('Input_QV Valuation'!$C$5:$Q$83,MATCH($B39,'Input_QV Valuation'!$C$5:$C$83,0),MATCH(H$6,'Input_QV Valuation'!$C$5:$Q$5,0))</f>
        <v>4059233079</v>
      </c>
      <c r="I39" s="191">
        <f t="shared" si="1"/>
        <v>0.32159638547328662</v>
      </c>
      <c r="J39" s="189"/>
      <c r="K39" s="192">
        <f>INDEX('Input_QV Valuation'!$C$5:$Q$83,MATCH($B39,'Input_QV Valuation'!$C$5:$C$83,0),MATCH(K$6,'Input_QV Valuation'!$C$5:$Q$5,0))</f>
        <v>8941</v>
      </c>
      <c r="L39" s="192">
        <f>INDEX('Input_QV Valuation'!$C$5:$Q$83,MATCH($B39,'Input_QV Valuation'!$C$5:$C$83,0),MATCH(L$6,'Input_QV Valuation'!$C$5:$Q$5,0))</f>
        <v>8981</v>
      </c>
      <c r="M39" s="191">
        <f t="shared" si="2"/>
        <v>-4.4538470103551945E-3</v>
      </c>
      <c r="N39" s="18"/>
    </row>
    <row r="40" spans="2:14" x14ac:dyDescent="0.25">
      <c r="B40" s="189" t="s">
        <v>32</v>
      </c>
      <c r="C40" s="190">
        <f>INDEX(Input_Centreline!$C$5:$J$83,MATCH($B40,Input_Centreline!$C$5:$C$83,0),MATCH(C$6,Input_Centreline!$C$5:$J$5,0))</f>
        <v>1905.9</v>
      </c>
      <c r="D40" s="190">
        <f>INDEX(Input_Centreline!$C$5:$J$83,MATCH($B40,Input_Centreline!$C$5:$C$83,0),MATCH(D$6,Input_Centreline!$C$5:$J$5,0))</f>
        <v>1956</v>
      </c>
      <c r="E40" s="191">
        <f t="shared" si="0"/>
        <v>-2.561349693251529E-2</v>
      </c>
      <c r="F40" s="189"/>
      <c r="G40" s="192">
        <f>INDEX('Input_QV Valuation'!$C$5:$Q$83,MATCH($B40,'Input_QV Valuation'!$C$5:$C$83,0),MATCH(G$6,'Input_QV Valuation'!$C$5:$Q$5,0))</f>
        <v>6892174231</v>
      </c>
      <c r="H40" s="192">
        <f>INDEX('Input_QV Valuation'!$C$5:$Q$83,MATCH($B40,'Input_QV Valuation'!$C$5:$C$83,0),MATCH(H$6,'Input_QV Valuation'!$C$5:$Q$5,0))</f>
        <v>5229561203.3999996</v>
      </c>
      <c r="I40" s="191">
        <f t="shared" si="1"/>
        <v>0.31792591441879531</v>
      </c>
      <c r="J40" s="189"/>
      <c r="K40" s="192">
        <f>INDEX('Input_QV Valuation'!$C$5:$Q$83,MATCH($B40,'Input_QV Valuation'!$C$5:$C$83,0),MATCH(K$6,'Input_QV Valuation'!$C$5:$Q$5,0))</f>
        <v>9778</v>
      </c>
      <c r="L40" s="192">
        <f>INDEX('Input_QV Valuation'!$C$5:$Q$83,MATCH($B40,'Input_QV Valuation'!$C$5:$C$83,0),MATCH(L$6,'Input_QV Valuation'!$C$5:$Q$5,0))</f>
        <v>10580</v>
      </c>
      <c r="M40" s="191">
        <f t="shared" si="2"/>
        <v>-7.5803402646502829E-2</v>
      </c>
      <c r="N40" s="18"/>
    </row>
    <row r="41" spans="2:14" x14ac:dyDescent="0.25">
      <c r="B41" s="189" t="s">
        <v>33</v>
      </c>
      <c r="C41" s="190">
        <f>INDEX(Input_Centreline!$C$5:$J$83,MATCH($B41,Input_Centreline!$C$5:$C$83,0),MATCH(C$6,Input_Centreline!$C$5:$J$5,0))</f>
        <v>847.8</v>
      </c>
      <c r="D41" s="190">
        <f>INDEX(Input_Centreline!$C$5:$J$83,MATCH($B41,Input_Centreline!$C$5:$C$83,0),MATCH(D$6,Input_Centreline!$C$5:$J$5,0))</f>
        <v>840.9</v>
      </c>
      <c r="E41" s="191">
        <f t="shared" si="0"/>
        <v>8.2054941134498492E-3</v>
      </c>
      <c r="F41" s="189"/>
      <c r="G41" s="192">
        <f>INDEX('Input_QV Valuation'!$C$5:$Q$83,MATCH($B41,'Input_QV Valuation'!$C$5:$C$83,0),MATCH(G$6,'Input_QV Valuation'!$C$5:$Q$5,0))</f>
        <v>9292525343</v>
      </c>
      <c r="H41" s="192">
        <f>INDEX('Input_QV Valuation'!$C$5:$Q$83,MATCH($B41,'Input_QV Valuation'!$C$5:$C$83,0),MATCH(H$6,'Input_QV Valuation'!$C$5:$Q$5,0))</f>
        <v>6367706000</v>
      </c>
      <c r="I41" s="191">
        <f t="shared" si="1"/>
        <v>0.45932072601970003</v>
      </c>
      <c r="J41" s="189"/>
      <c r="K41" s="192">
        <f>INDEX('Input_QV Valuation'!$C$5:$Q$83,MATCH($B41,'Input_QV Valuation'!$C$5:$C$83,0),MATCH(K$6,'Input_QV Valuation'!$C$5:$Q$5,0))</f>
        <v>21044</v>
      </c>
      <c r="L41" s="192">
        <f>INDEX('Input_QV Valuation'!$C$5:$Q$83,MATCH($B41,'Input_QV Valuation'!$C$5:$C$83,0),MATCH(L$6,'Input_QV Valuation'!$C$5:$Q$5,0))</f>
        <v>20804</v>
      </c>
      <c r="M41" s="191">
        <f t="shared" si="2"/>
        <v>1.1536243030186502E-2</v>
      </c>
      <c r="N41" s="18"/>
    </row>
    <row r="42" spans="2:14" x14ac:dyDescent="0.25">
      <c r="B42" s="189" t="s">
        <v>34</v>
      </c>
      <c r="C42" s="190">
        <f>INDEX(Input_Centreline!$C$5:$J$83,MATCH($B42,Input_Centreline!$C$5:$C$83,0),MATCH(C$6,Input_Centreline!$C$5:$J$5,0))</f>
        <v>468.40000000000003</v>
      </c>
      <c r="D42" s="190">
        <f>INDEX(Input_Centreline!$C$5:$J$83,MATCH($B42,Input_Centreline!$C$5:$C$83,0),MATCH(D$6,Input_Centreline!$C$5:$J$5,0))</f>
        <v>443.3</v>
      </c>
      <c r="E42" s="191">
        <f t="shared" si="0"/>
        <v>5.6620798556282478E-2</v>
      </c>
      <c r="F42" s="189"/>
      <c r="G42" s="192">
        <f>INDEX('Input_QV Valuation'!$C$5:$Q$83,MATCH($B42,'Input_QV Valuation'!$C$5:$C$83,0),MATCH(G$6,'Input_QV Valuation'!$C$5:$Q$5,0))</f>
        <v>3208594760</v>
      </c>
      <c r="H42" s="192">
        <f>INDEX('Input_QV Valuation'!$C$5:$Q$83,MATCH($B42,'Input_QV Valuation'!$C$5:$C$83,0),MATCH(H$6,'Input_QV Valuation'!$C$5:$Q$5,0))</f>
        <v>2290448775</v>
      </c>
      <c r="I42" s="191">
        <f t="shared" si="1"/>
        <v>0.40085855445511981</v>
      </c>
      <c r="J42" s="189"/>
      <c r="K42" s="192">
        <f>INDEX('Input_QV Valuation'!$C$5:$Q$83,MATCH($B42,'Input_QV Valuation'!$C$5:$C$83,0),MATCH(K$6,'Input_QV Valuation'!$C$5:$Q$5,0))</f>
        <v>4843</v>
      </c>
      <c r="L42" s="192">
        <f>INDEX('Input_QV Valuation'!$C$5:$Q$83,MATCH($B42,'Input_QV Valuation'!$C$5:$C$83,0),MATCH(L$6,'Input_QV Valuation'!$C$5:$Q$5,0))</f>
        <v>4592</v>
      </c>
      <c r="M42" s="191">
        <f t="shared" si="2"/>
        <v>5.4660278745644601E-2</v>
      </c>
      <c r="N42" s="18"/>
    </row>
    <row r="43" spans="2:14" x14ac:dyDescent="0.25">
      <c r="B43" s="189" t="s">
        <v>35</v>
      </c>
      <c r="C43" s="190">
        <f>INDEX(Input_Centreline!$C$5:$J$83,MATCH($B43,Input_Centreline!$C$5:$C$83,0),MATCH(C$6,Input_Centreline!$C$5:$J$5,0))</f>
        <v>414.9</v>
      </c>
      <c r="D43" s="190">
        <f>INDEX(Input_Centreline!$C$5:$J$83,MATCH($B43,Input_Centreline!$C$5:$C$83,0),MATCH(D$6,Input_Centreline!$C$5:$J$5,0))</f>
        <v>397</v>
      </c>
      <c r="E43" s="191">
        <f t="shared" si="0"/>
        <v>4.5088161209067952E-2</v>
      </c>
      <c r="F43" s="189"/>
      <c r="G43" s="192">
        <f>INDEX('Input_QV Valuation'!$C$5:$Q$83,MATCH($B43,'Input_QV Valuation'!$C$5:$C$83,0),MATCH(G$6,'Input_QV Valuation'!$C$5:$Q$5,0))</f>
        <v>17243709800</v>
      </c>
      <c r="H43" s="192">
        <f>INDEX('Input_QV Valuation'!$C$5:$Q$83,MATCH($B43,'Input_QV Valuation'!$C$5:$C$83,0),MATCH(H$6,'Input_QV Valuation'!$C$5:$Q$5,0))</f>
        <v>12812617480</v>
      </c>
      <c r="I43" s="191">
        <f t="shared" si="1"/>
        <v>0.34583818075555317</v>
      </c>
      <c r="J43" s="189"/>
      <c r="K43" s="192">
        <f>INDEX('Input_QV Valuation'!$C$5:$Q$83,MATCH($B43,'Input_QV Valuation'!$C$5:$C$83,0),MATCH(K$6,'Input_QV Valuation'!$C$5:$Q$5,0))</f>
        <v>25098</v>
      </c>
      <c r="L43" s="192">
        <f>INDEX('Input_QV Valuation'!$C$5:$Q$83,MATCH($B43,'Input_QV Valuation'!$C$5:$C$83,0),MATCH(L$6,'Input_QV Valuation'!$C$5:$Q$5,0))</f>
        <v>24623</v>
      </c>
      <c r="M43" s="191">
        <f t="shared" si="2"/>
        <v>1.9290906875685333E-2</v>
      </c>
      <c r="N43" s="18"/>
    </row>
    <row r="44" spans="2:14" x14ac:dyDescent="0.25">
      <c r="B44" s="189" t="s">
        <v>36</v>
      </c>
      <c r="C44" s="190">
        <f>INDEX(Input_Centreline!$C$5:$J$83,MATCH($B44,Input_Centreline!$C$5:$C$83,0),MATCH(C$6,Input_Centreline!$C$5:$J$5,0))</f>
        <v>485.2</v>
      </c>
      <c r="D44" s="190">
        <f>INDEX(Input_Centreline!$C$5:$J$83,MATCH($B44,Input_Centreline!$C$5:$C$83,0),MATCH(D$6,Input_Centreline!$C$5:$J$5,0))</f>
        <v>481</v>
      </c>
      <c r="E44" s="191">
        <f t="shared" si="0"/>
        <v>8.731808731808708E-3</v>
      </c>
      <c r="F44" s="189"/>
      <c r="G44" s="192">
        <f>INDEX('Input_QV Valuation'!$C$5:$Q$83,MATCH($B44,'Input_QV Valuation'!$C$5:$C$83,0),MATCH(G$6,'Input_QV Valuation'!$C$5:$Q$5,0))</f>
        <v>20746501045</v>
      </c>
      <c r="H44" s="192">
        <f>INDEX('Input_QV Valuation'!$C$5:$Q$83,MATCH($B44,'Input_QV Valuation'!$C$5:$C$83,0),MATCH(H$6,'Input_QV Valuation'!$C$5:$Q$5,0))</f>
        <v>20746501045</v>
      </c>
      <c r="I44" s="191">
        <f t="shared" si="1"/>
        <v>0</v>
      </c>
      <c r="J44" s="189"/>
      <c r="K44" s="192">
        <f>INDEX('Input_QV Valuation'!$C$5:$Q$83,MATCH($B44,'Input_QV Valuation'!$C$5:$C$83,0),MATCH(K$6,'Input_QV Valuation'!$C$5:$Q$5,0))</f>
        <v>39670</v>
      </c>
      <c r="L44" s="192">
        <f>INDEX('Input_QV Valuation'!$C$5:$Q$83,MATCH($B44,'Input_QV Valuation'!$C$5:$C$83,0),MATCH(L$6,'Input_QV Valuation'!$C$5:$Q$5,0))</f>
        <v>39670</v>
      </c>
      <c r="M44" s="191">
        <f t="shared" si="2"/>
        <v>0</v>
      </c>
      <c r="N44" s="18"/>
    </row>
    <row r="45" spans="2:14" x14ac:dyDescent="0.25">
      <c r="B45" s="189" t="s">
        <v>37</v>
      </c>
      <c r="C45" s="190">
        <f>INDEX(Input_Centreline!$C$5:$J$83,MATCH($B45,Input_Centreline!$C$5:$C$83,0),MATCH(C$6,Input_Centreline!$C$5:$J$5,0))</f>
        <v>807.30000000000007</v>
      </c>
      <c r="D45" s="190">
        <f>INDEX(Input_Centreline!$C$5:$J$83,MATCH($B45,Input_Centreline!$C$5:$C$83,0),MATCH(D$6,Input_Centreline!$C$5:$J$5,0))</f>
        <v>803.4</v>
      </c>
      <c r="E45" s="191">
        <f t="shared" si="0"/>
        <v>4.8543689320389482E-3</v>
      </c>
      <c r="F45" s="189"/>
      <c r="G45" s="192">
        <f>INDEX('Input_QV Valuation'!$C$5:$Q$83,MATCH($B45,'Input_QV Valuation'!$C$5:$C$83,0),MATCH(G$6,'Input_QV Valuation'!$C$5:$Q$5,0))</f>
        <v>7030107413</v>
      </c>
      <c r="H45" s="192">
        <f>INDEX('Input_QV Valuation'!$C$5:$Q$83,MATCH($B45,'Input_QV Valuation'!$C$5:$C$83,0),MATCH(H$6,'Input_QV Valuation'!$C$5:$Q$5,0))</f>
        <v>4979341105</v>
      </c>
      <c r="I45" s="191">
        <f t="shared" si="1"/>
        <v>0.41185495525516924</v>
      </c>
      <c r="J45" s="189"/>
      <c r="K45" s="192">
        <f>INDEX('Input_QV Valuation'!$C$5:$Q$83,MATCH($B45,'Input_QV Valuation'!$C$5:$C$83,0),MATCH(K$6,'Input_QV Valuation'!$C$5:$Q$5,0))</f>
        <v>12617</v>
      </c>
      <c r="L45" s="192">
        <f>INDEX('Input_QV Valuation'!$C$5:$Q$83,MATCH($B45,'Input_QV Valuation'!$C$5:$C$83,0),MATCH(L$6,'Input_QV Valuation'!$C$5:$Q$5,0))</f>
        <v>12240</v>
      </c>
      <c r="M45" s="191">
        <f t="shared" si="2"/>
        <v>3.0800653594771243E-2</v>
      </c>
      <c r="N45" s="18"/>
    </row>
    <row r="46" spans="2:14" x14ac:dyDescent="0.25">
      <c r="B46" s="189" t="s">
        <v>38</v>
      </c>
      <c r="C46" s="190">
        <f>INDEX(Input_Centreline!$C$5:$J$83,MATCH($B46,Input_Centreline!$C$5:$C$83,0),MATCH(C$6,Input_Centreline!$C$5:$J$5,0))</f>
        <v>255.60000000000002</v>
      </c>
      <c r="D46" s="190">
        <f>INDEX(Input_Centreline!$C$5:$J$83,MATCH($B46,Input_Centreline!$C$5:$C$83,0),MATCH(D$6,Input_Centreline!$C$5:$J$5,0))</f>
        <v>245.3</v>
      </c>
      <c r="E46" s="191">
        <f t="shared" si="0"/>
        <v>4.1989400733795396E-2</v>
      </c>
      <c r="F46" s="189"/>
      <c r="G46" s="192">
        <f>INDEX('Input_QV Valuation'!$C$5:$Q$83,MATCH($B46,'Input_QV Valuation'!$C$5:$C$83,0),MATCH(G$6,'Input_QV Valuation'!$C$5:$Q$5,0))</f>
        <v>13735896914.5</v>
      </c>
      <c r="H46" s="192">
        <f>INDEX('Input_QV Valuation'!$C$5:$Q$83,MATCH($B46,'Input_QV Valuation'!$C$5:$C$83,0),MATCH(H$6,'Input_QV Valuation'!$C$5:$Q$5,0))</f>
        <v>9590251808.5</v>
      </c>
      <c r="I46" s="191">
        <f t="shared" si="1"/>
        <v>0.43227698174991042</v>
      </c>
      <c r="J46" s="189"/>
      <c r="K46" s="192">
        <f>INDEX('Input_QV Valuation'!$C$5:$Q$83,MATCH($B46,'Input_QV Valuation'!$C$5:$C$83,0),MATCH(K$6,'Input_QV Valuation'!$C$5:$Q$5,0))</f>
        <v>19005</v>
      </c>
      <c r="L46" s="192">
        <f>INDEX('Input_QV Valuation'!$C$5:$Q$83,MATCH($B46,'Input_QV Valuation'!$C$5:$C$83,0),MATCH(L$6,'Input_QV Valuation'!$C$5:$Q$5,0))</f>
        <v>18487</v>
      </c>
      <c r="M46" s="191">
        <f t="shared" si="2"/>
        <v>2.8019689511548655E-2</v>
      </c>
      <c r="N46" s="18"/>
    </row>
    <row r="47" spans="2:14" x14ac:dyDescent="0.25">
      <c r="B47" s="189" t="s">
        <v>39</v>
      </c>
      <c r="C47" s="190">
        <f>INDEX(Input_Centreline!$C$5:$J$83,MATCH($B47,Input_Centreline!$C$5:$C$83,0),MATCH(C$6,Input_Centreline!$C$5:$J$5,0))</f>
        <v>669.1</v>
      </c>
      <c r="D47" s="190">
        <f>INDEX(Input_Centreline!$C$5:$J$83,MATCH($B47,Input_Centreline!$C$5:$C$83,0),MATCH(D$6,Input_Centreline!$C$5:$J$5,0))</f>
        <v>666.7</v>
      </c>
      <c r="E47" s="191">
        <f t="shared" si="0"/>
        <v>3.5998200089995156E-3</v>
      </c>
      <c r="F47" s="189"/>
      <c r="G47" s="192">
        <f>INDEX('Input_QV Valuation'!$C$5:$Q$83,MATCH($B47,'Input_QV Valuation'!$C$5:$C$83,0),MATCH(G$6,'Input_QV Valuation'!$C$5:$Q$5,0))</f>
        <v>5287163139</v>
      </c>
      <c r="H47" s="192">
        <f>INDEX('Input_QV Valuation'!$C$5:$Q$83,MATCH($B47,'Input_QV Valuation'!$C$5:$C$83,0),MATCH(H$6,'Input_QV Valuation'!$C$5:$Q$5,0))</f>
        <v>3688799935</v>
      </c>
      <c r="I47" s="191">
        <f t="shared" si="1"/>
        <v>0.43330167863928898</v>
      </c>
      <c r="J47" s="189"/>
      <c r="K47" s="192">
        <f>INDEX('Input_QV Valuation'!$C$5:$Q$83,MATCH($B47,'Input_QV Valuation'!$C$5:$C$83,0),MATCH(K$6,'Input_QV Valuation'!$C$5:$Q$5,0))</f>
        <v>6755</v>
      </c>
      <c r="L47" s="192">
        <f>INDEX('Input_QV Valuation'!$C$5:$Q$83,MATCH($B47,'Input_QV Valuation'!$C$5:$C$83,0),MATCH(L$6,'Input_QV Valuation'!$C$5:$Q$5,0))</f>
        <v>6524</v>
      </c>
      <c r="M47" s="191">
        <f t="shared" si="2"/>
        <v>3.5407725321888413E-2</v>
      </c>
      <c r="N47" s="18"/>
    </row>
    <row r="48" spans="2:14" x14ac:dyDescent="0.25">
      <c r="B48" s="189" t="s">
        <v>40</v>
      </c>
      <c r="C48" s="190">
        <f>INDEX(Input_Centreline!$C$5:$J$83,MATCH($B48,Input_Centreline!$C$5:$C$83,0),MATCH(C$6,Input_Centreline!$C$5:$J$5,0))</f>
        <v>247.7</v>
      </c>
      <c r="D48" s="190">
        <f>INDEX(Input_Centreline!$C$5:$J$83,MATCH($B48,Input_Centreline!$C$5:$C$83,0),MATCH(D$6,Input_Centreline!$C$5:$J$5,0))</f>
        <v>238.29999999999998</v>
      </c>
      <c r="E48" s="191">
        <f t="shared" si="0"/>
        <v>3.9446076374318115E-2</v>
      </c>
      <c r="F48" s="189"/>
      <c r="G48" s="192">
        <f>INDEX('Input_QV Valuation'!$C$5:$Q$83,MATCH($B48,'Input_QV Valuation'!$C$5:$C$83,0),MATCH(G$6,'Input_QV Valuation'!$C$5:$Q$5,0))</f>
        <v>11369090604.4</v>
      </c>
      <c r="H48" s="192">
        <f>INDEX('Input_QV Valuation'!$C$5:$Q$83,MATCH($B48,'Input_QV Valuation'!$C$5:$C$83,0),MATCH(H$6,'Input_QV Valuation'!$C$5:$Q$5,0))</f>
        <v>7853071885</v>
      </c>
      <c r="I48" s="191">
        <f t="shared" si="1"/>
        <v>0.44772526864498446</v>
      </c>
      <c r="J48" s="189"/>
      <c r="K48" s="192">
        <f>INDEX('Input_QV Valuation'!$C$5:$Q$83,MATCH($B48,'Input_QV Valuation'!$C$5:$C$83,0),MATCH(K$6,'Input_QV Valuation'!$C$5:$Q$5,0))</f>
        <v>17131</v>
      </c>
      <c r="L48" s="192">
        <f>INDEX('Input_QV Valuation'!$C$5:$Q$83,MATCH($B48,'Input_QV Valuation'!$C$5:$C$83,0),MATCH(L$6,'Input_QV Valuation'!$C$5:$Q$5,0))</f>
        <v>16619</v>
      </c>
      <c r="M48" s="191">
        <f t="shared" si="2"/>
        <v>3.0808111198026355E-2</v>
      </c>
      <c r="N48" s="18"/>
    </row>
    <row r="49" spans="2:14" x14ac:dyDescent="0.25">
      <c r="B49" s="189" t="s">
        <v>41</v>
      </c>
      <c r="C49" s="190">
        <f>INDEX(Input_Centreline!$C$5:$J$83,MATCH($B49,Input_Centreline!$C$5:$C$83,0),MATCH(C$6,Input_Centreline!$C$5:$J$5,0))</f>
        <v>696.5</v>
      </c>
      <c r="D49" s="190">
        <f>INDEX(Input_Centreline!$C$5:$J$83,MATCH($B49,Input_Centreline!$C$5:$C$83,0),MATCH(D$6,Input_Centreline!$C$5:$J$5,0))</f>
        <v>690.7</v>
      </c>
      <c r="E49" s="191">
        <f t="shared" si="0"/>
        <v>8.3972781236426146E-3</v>
      </c>
      <c r="F49" s="189"/>
      <c r="G49" s="192">
        <f>INDEX('Input_QV Valuation'!$C$5:$Q$83,MATCH($B49,'Input_QV Valuation'!$C$5:$C$83,0),MATCH(G$6,'Input_QV Valuation'!$C$5:$Q$5,0))</f>
        <v>78552259448.600006</v>
      </c>
      <c r="H49" s="192">
        <f>INDEX('Input_QV Valuation'!$C$5:$Q$83,MATCH($B49,'Input_QV Valuation'!$C$5:$C$83,0),MATCH(H$6,'Input_QV Valuation'!$C$5:$Q$5,0))</f>
        <v>61200536408.849998</v>
      </c>
      <c r="I49" s="191">
        <f t="shared" si="1"/>
        <v>0.28352240123896749</v>
      </c>
      <c r="J49" s="189"/>
      <c r="K49" s="192">
        <f>INDEX('Input_QV Valuation'!$C$5:$Q$83,MATCH($B49,'Input_QV Valuation'!$C$5:$C$83,0),MATCH(K$6,'Input_QV Valuation'!$C$5:$Q$5,0))</f>
        <v>78731</v>
      </c>
      <c r="L49" s="192">
        <f>INDEX('Input_QV Valuation'!$C$5:$Q$83,MATCH($B49,'Input_QV Valuation'!$C$5:$C$83,0),MATCH(L$6,'Input_QV Valuation'!$C$5:$Q$5,0))</f>
        <v>77306</v>
      </c>
      <c r="M49" s="191">
        <f t="shared" si="2"/>
        <v>1.8433239334592399E-2</v>
      </c>
      <c r="N49" s="18"/>
    </row>
    <row r="50" spans="2:14" x14ac:dyDescent="0.25">
      <c r="B50" s="189" t="s">
        <v>42</v>
      </c>
      <c r="C50" s="190">
        <f>INDEX(Input_Centreline!$C$5:$J$83,MATCH($B50,Input_Centreline!$C$5:$C$83,0),MATCH(C$6,Input_Centreline!$C$5:$J$5,0))</f>
        <v>184.5</v>
      </c>
      <c r="D50" s="190">
        <f>INDEX(Input_Centreline!$C$5:$J$83,MATCH($B50,Input_Centreline!$C$5:$C$83,0),MATCH(D$6,Input_Centreline!$C$5:$J$5,0))</f>
        <v>204.7</v>
      </c>
      <c r="E50" s="191">
        <f t="shared" si="0"/>
        <v>-9.868099658036146E-2</v>
      </c>
      <c r="F50" s="189"/>
      <c r="G50" s="192">
        <f>INDEX('Input_QV Valuation'!$C$5:$Q$83,MATCH($B50,'Input_QV Valuation'!$C$5:$C$83,0),MATCH(G$6,'Input_QV Valuation'!$C$5:$Q$5,0))</f>
        <v>1692496552.5</v>
      </c>
      <c r="H50" s="192">
        <f>INDEX('Input_QV Valuation'!$C$5:$Q$83,MATCH($B50,'Input_QV Valuation'!$C$5:$C$83,0),MATCH(H$6,'Input_QV Valuation'!$C$5:$Q$5,0))</f>
        <v>1530591343</v>
      </c>
      <c r="I50" s="191">
        <f t="shared" si="1"/>
        <v>0.10577951472184695</v>
      </c>
      <c r="J50" s="189"/>
      <c r="K50" s="192">
        <f>INDEX('Input_QV Valuation'!$C$5:$Q$83,MATCH($B50,'Input_QV Valuation'!$C$5:$C$83,0),MATCH(K$6,'Input_QV Valuation'!$C$5:$Q$5,0))</f>
        <v>2981</v>
      </c>
      <c r="L50" s="192">
        <f>INDEX('Input_QV Valuation'!$C$5:$Q$83,MATCH($B50,'Input_QV Valuation'!$C$5:$C$83,0),MATCH(L$6,'Input_QV Valuation'!$C$5:$Q$5,0))</f>
        <v>2940</v>
      </c>
      <c r="M50" s="191">
        <f t="shared" si="2"/>
        <v>1.3945578231292517E-2</v>
      </c>
      <c r="N50" s="18"/>
    </row>
    <row r="51" spans="2:14" x14ac:dyDescent="0.25">
      <c r="B51" s="189" t="s">
        <v>43</v>
      </c>
      <c r="C51" s="190">
        <f>INDEX(Input_Centreline!$C$5:$J$83,MATCH($B51,Input_Centreline!$C$5:$C$83,0),MATCH(C$6,Input_Centreline!$C$5:$J$5,0))</f>
        <v>1549.1000000000001</v>
      </c>
      <c r="D51" s="190">
        <f>INDEX(Input_Centreline!$C$5:$J$83,MATCH($B51,Input_Centreline!$C$5:$C$83,0),MATCH(D$6,Input_Centreline!$C$5:$J$5,0))</f>
        <v>1531.6000000000001</v>
      </c>
      <c r="E51" s="191">
        <f t="shared" si="0"/>
        <v>1.1425959780621572E-2</v>
      </c>
      <c r="F51" s="189"/>
      <c r="G51" s="192">
        <f>INDEX('Input_QV Valuation'!$C$5:$Q$83,MATCH($B51,'Input_QV Valuation'!$C$5:$C$83,0),MATCH(G$6,'Input_QV Valuation'!$C$5:$Q$5,0))</f>
        <v>21059258484</v>
      </c>
      <c r="H51" s="192">
        <f>INDEX('Input_QV Valuation'!$C$5:$Q$83,MATCH($B51,'Input_QV Valuation'!$C$5:$C$83,0),MATCH(H$6,'Input_QV Valuation'!$C$5:$Q$5,0))</f>
        <v>16794934035</v>
      </c>
      <c r="I51" s="191">
        <f t="shared" si="1"/>
        <v>0.25390540028995118</v>
      </c>
      <c r="J51" s="189"/>
      <c r="K51" s="192">
        <f>INDEX('Input_QV Valuation'!$C$5:$Q$83,MATCH($B51,'Input_QV Valuation'!$C$5:$C$83,0),MATCH(K$6,'Input_QV Valuation'!$C$5:$Q$5,0))</f>
        <v>26478</v>
      </c>
      <c r="L51" s="192">
        <f>INDEX('Input_QV Valuation'!$C$5:$Q$83,MATCH($B51,'Input_QV Valuation'!$C$5:$C$83,0),MATCH(L$6,'Input_QV Valuation'!$C$5:$Q$5,0))</f>
        <v>26261</v>
      </c>
      <c r="M51" s="191">
        <f t="shared" si="2"/>
        <v>8.263203990708656E-3</v>
      </c>
      <c r="N51" s="18"/>
    </row>
    <row r="52" spans="2:14" x14ac:dyDescent="0.25">
      <c r="B52" s="189" t="s">
        <v>44</v>
      </c>
      <c r="C52" s="190">
        <f>INDEX(Input_Centreline!$C$5:$J$83,MATCH($B52,Input_Centreline!$C$5:$C$83,0),MATCH(C$6,Input_Centreline!$C$5:$J$5,0))</f>
        <v>274.39999999999998</v>
      </c>
      <c r="D52" s="190">
        <f>INDEX(Input_Centreline!$C$5:$J$83,MATCH($B52,Input_Centreline!$C$5:$C$83,0),MATCH(D$6,Input_Centreline!$C$5:$J$5,0))</f>
        <v>262.40000000000003</v>
      </c>
      <c r="E52" s="191">
        <f t="shared" si="0"/>
        <v>4.5731707317072948E-2</v>
      </c>
      <c r="F52" s="189"/>
      <c r="G52" s="192">
        <f>INDEX('Input_QV Valuation'!$C$5:$Q$83,MATCH($B52,'Input_QV Valuation'!$C$5:$C$83,0),MATCH(G$6,'Input_QV Valuation'!$C$5:$Q$5,0))</f>
        <v>16167187614.5</v>
      </c>
      <c r="H52" s="192">
        <f>INDEX('Input_QV Valuation'!$C$5:$Q$83,MATCH($B52,'Input_QV Valuation'!$C$5:$C$83,0),MATCH(H$6,'Input_QV Valuation'!$C$5:$Q$5,0))</f>
        <v>11919588699.5</v>
      </c>
      <c r="I52" s="191">
        <f t="shared" si="1"/>
        <v>0.35635448689418092</v>
      </c>
      <c r="J52" s="189"/>
      <c r="K52" s="192">
        <f>INDEX('Input_QV Valuation'!$C$5:$Q$83,MATCH($B52,'Input_QV Valuation'!$C$5:$C$83,0),MATCH(K$6,'Input_QV Valuation'!$C$5:$Q$5,0))</f>
        <v>21960</v>
      </c>
      <c r="L52" s="192">
        <f>INDEX('Input_QV Valuation'!$C$5:$Q$83,MATCH($B52,'Input_QV Valuation'!$C$5:$C$83,0),MATCH(L$6,'Input_QV Valuation'!$C$5:$Q$5,0))</f>
        <v>21522</v>
      </c>
      <c r="M52" s="191">
        <f t="shared" si="2"/>
        <v>2.0351268469473098E-2</v>
      </c>
      <c r="N52" s="18"/>
    </row>
    <row r="53" spans="2:14" x14ac:dyDescent="0.25">
      <c r="B53" s="189" t="s">
        <v>45</v>
      </c>
      <c r="C53" s="190">
        <f>INDEX(Input_Centreline!$C$5:$J$83,MATCH($B53,Input_Centreline!$C$5:$C$83,0),MATCH(C$6,Input_Centreline!$C$5:$J$5,0))</f>
        <v>1750.3999999999999</v>
      </c>
      <c r="D53" s="190">
        <f>INDEX(Input_Centreline!$C$5:$J$83,MATCH($B53,Input_Centreline!$C$5:$C$83,0),MATCH(D$6,Input_Centreline!$C$5:$J$5,0))</f>
        <v>1731.8</v>
      </c>
      <c r="E53" s="191">
        <f t="shared" si="0"/>
        <v>1.0740270239057575E-2</v>
      </c>
      <c r="F53" s="189"/>
      <c r="G53" s="192">
        <f>INDEX('Input_QV Valuation'!$C$5:$Q$83,MATCH($B53,'Input_QV Valuation'!$C$5:$C$83,0),MATCH(G$6,'Input_QV Valuation'!$C$5:$Q$5,0))</f>
        <v>19827835318</v>
      </c>
      <c r="H53" s="192">
        <f>INDEX('Input_QV Valuation'!$C$5:$Q$83,MATCH($B53,'Input_QV Valuation'!$C$5:$C$83,0),MATCH(H$6,'Input_QV Valuation'!$C$5:$Q$5,0))</f>
        <v>14745070545</v>
      </c>
      <c r="I53" s="191">
        <f t="shared" si="1"/>
        <v>0.34470942390462467</v>
      </c>
      <c r="J53" s="189"/>
      <c r="K53" s="192">
        <f>INDEX('Input_QV Valuation'!$C$5:$Q$83,MATCH($B53,'Input_QV Valuation'!$C$5:$C$83,0),MATCH(K$6,'Input_QV Valuation'!$C$5:$Q$5,0))</f>
        <v>24102</v>
      </c>
      <c r="L53" s="192">
        <f>INDEX('Input_QV Valuation'!$C$5:$Q$83,MATCH($B53,'Input_QV Valuation'!$C$5:$C$83,0),MATCH(L$6,'Input_QV Valuation'!$C$5:$Q$5,0))</f>
        <v>23200</v>
      </c>
      <c r="M53" s="191">
        <f t="shared" si="2"/>
        <v>3.8879310344827583E-2</v>
      </c>
      <c r="N53" s="18"/>
    </row>
    <row r="54" spans="2:14" x14ac:dyDescent="0.25">
      <c r="B54" s="189" t="s">
        <v>46</v>
      </c>
      <c r="C54" s="190">
        <f>INDEX(Input_Centreline!$C$5:$J$83,MATCH($B54,Input_Centreline!$C$5:$C$83,0),MATCH(C$6,Input_Centreline!$C$5:$J$5,0))</f>
        <v>2612.6999999999998</v>
      </c>
      <c r="D54" s="190">
        <f>INDEX(Input_Centreline!$C$5:$J$83,MATCH($B54,Input_Centreline!$C$5:$C$83,0),MATCH(D$6,Input_Centreline!$C$5:$J$5,0))</f>
        <v>2659.8999999999996</v>
      </c>
      <c r="E54" s="191">
        <f t="shared" si="0"/>
        <v>-1.7745028008571685E-2</v>
      </c>
      <c r="F54" s="189"/>
      <c r="G54" s="192">
        <f>INDEX('Input_QV Valuation'!$C$5:$Q$83,MATCH($B54,'Input_QV Valuation'!$C$5:$C$83,0),MATCH(G$6,'Input_QV Valuation'!$C$5:$Q$5,0))</f>
        <v>18714448500</v>
      </c>
      <c r="H54" s="192">
        <f>INDEX('Input_QV Valuation'!$C$5:$Q$83,MATCH($B54,'Input_QV Valuation'!$C$5:$C$83,0),MATCH(H$6,'Input_QV Valuation'!$C$5:$Q$5,0))</f>
        <v>17328651858.5</v>
      </c>
      <c r="I54" s="191">
        <f t="shared" si="1"/>
        <v>7.9971405324312239E-2</v>
      </c>
      <c r="J54" s="189"/>
      <c r="K54" s="192">
        <f>INDEX('Input_QV Valuation'!$C$5:$Q$83,MATCH($B54,'Input_QV Valuation'!$C$5:$C$83,0),MATCH(K$6,'Input_QV Valuation'!$C$5:$Q$5,0))</f>
        <v>15370</v>
      </c>
      <c r="L54" s="192">
        <f>INDEX('Input_QV Valuation'!$C$5:$Q$83,MATCH($B54,'Input_QV Valuation'!$C$5:$C$83,0),MATCH(L$6,'Input_QV Valuation'!$C$5:$Q$5,0))</f>
        <v>15187</v>
      </c>
      <c r="M54" s="191">
        <f t="shared" si="2"/>
        <v>1.2049779416606309E-2</v>
      </c>
      <c r="N54" s="18"/>
    </row>
    <row r="55" spans="2:14" x14ac:dyDescent="0.25">
      <c r="B55" s="189" t="s">
        <v>47</v>
      </c>
      <c r="C55" s="190">
        <f>INDEX(Input_Centreline!$C$5:$J$83,MATCH($B55,Input_Centreline!$C$5:$C$83,0),MATCH(C$6,Input_Centreline!$C$5:$J$5,0))</f>
        <v>2408.5</v>
      </c>
      <c r="D55" s="190">
        <f>INDEX(Input_Centreline!$C$5:$J$83,MATCH($B55,Input_Centreline!$C$5:$C$83,0),MATCH(D$6,Input_Centreline!$C$5:$J$5,0))</f>
        <v>2332.4</v>
      </c>
      <c r="E55" s="191">
        <f t="shared" si="0"/>
        <v>3.2627336648945252E-2</v>
      </c>
      <c r="F55" s="189"/>
      <c r="G55" s="192">
        <f>INDEX('Input_QV Valuation'!$C$5:$Q$83,MATCH($B55,'Input_QV Valuation'!$C$5:$C$83,0),MATCH(G$6,'Input_QV Valuation'!$C$5:$Q$5,0))</f>
        <v>111901037773.40001</v>
      </c>
      <c r="H55" s="192">
        <f>INDEX('Input_QV Valuation'!$C$5:$Q$83,MATCH($B55,'Input_QV Valuation'!$C$5:$C$83,0),MATCH(H$6,'Input_QV Valuation'!$C$5:$Q$5,0))</f>
        <v>101295876440</v>
      </c>
      <c r="I55" s="191">
        <f t="shared" si="1"/>
        <v>0.10469489683207098</v>
      </c>
      <c r="J55" s="189"/>
      <c r="K55" s="192">
        <f>INDEX('Input_QV Valuation'!$C$5:$Q$83,MATCH($B55,'Input_QV Valuation'!$C$5:$C$83,0),MATCH(K$6,'Input_QV Valuation'!$C$5:$Q$5,0))</f>
        <v>173406</v>
      </c>
      <c r="L55" s="192">
        <f>INDEX('Input_QV Valuation'!$C$5:$Q$83,MATCH($B55,'Input_QV Valuation'!$C$5:$C$83,0),MATCH(L$6,'Input_QV Valuation'!$C$5:$Q$5,0))</f>
        <v>169606</v>
      </c>
      <c r="M55" s="191">
        <f t="shared" si="2"/>
        <v>2.2404867752320083E-2</v>
      </c>
      <c r="N55" s="18"/>
    </row>
    <row r="56" spans="2:14" x14ac:dyDescent="0.25">
      <c r="B56" s="189" t="s">
        <v>48</v>
      </c>
      <c r="C56" s="190">
        <f>INDEX(Input_Centreline!$C$5:$J$83,MATCH($B56,Input_Centreline!$C$5:$C$83,0),MATCH(C$6,Input_Centreline!$C$5:$J$5,0))</f>
        <v>1459.9</v>
      </c>
      <c r="D56" s="190">
        <f>INDEX(Input_Centreline!$C$5:$J$83,MATCH($B56,Input_Centreline!$C$5:$C$83,0),MATCH(D$6,Input_Centreline!$C$5:$J$5,0))</f>
        <v>1456.6999999999998</v>
      </c>
      <c r="E56" s="191">
        <f t="shared" si="0"/>
        <v>2.1967460698841721E-3</v>
      </c>
      <c r="F56" s="189"/>
      <c r="G56" s="192">
        <f>INDEX('Input_QV Valuation'!$C$5:$Q$83,MATCH($B56,'Input_QV Valuation'!$C$5:$C$83,0),MATCH(G$6,'Input_QV Valuation'!$C$5:$Q$5,0))</f>
        <v>7411766240.749999</v>
      </c>
      <c r="H56" s="192">
        <f>INDEX('Input_QV Valuation'!$C$5:$Q$83,MATCH($B56,'Input_QV Valuation'!$C$5:$C$83,0),MATCH(H$6,'Input_QV Valuation'!$C$5:$Q$5,0))</f>
        <v>6782478160</v>
      </c>
      <c r="I56" s="191">
        <f t="shared" si="1"/>
        <v>9.2781438569350158E-2</v>
      </c>
      <c r="J56" s="189"/>
      <c r="K56" s="192">
        <f>INDEX('Input_QV Valuation'!$C$5:$Q$83,MATCH($B56,'Input_QV Valuation'!$C$5:$C$83,0),MATCH(K$6,'Input_QV Valuation'!$C$5:$Q$5,0))</f>
        <v>8026</v>
      </c>
      <c r="L56" s="192">
        <f>INDEX('Input_QV Valuation'!$C$5:$Q$83,MATCH($B56,'Input_QV Valuation'!$C$5:$C$83,0),MATCH(L$6,'Input_QV Valuation'!$C$5:$Q$5,0))</f>
        <v>7887</v>
      </c>
      <c r="M56" s="191">
        <f t="shared" si="2"/>
        <v>1.7623938126030175E-2</v>
      </c>
      <c r="N56" s="18"/>
    </row>
    <row r="57" spans="2:14" x14ac:dyDescent="0.25">
      <c r="B57" s="189" t="s">
        <v>49</v>
      </c>
      <c r="C57" s="190">
        <f>INDEX(Input_Centreline!$C$5:$J$83,MATCH($B57,Input_Centreline!$C$5:$C$83,0),MATCH(C$6,Input_Centreline!$C$5:$J$5,0))</f>
        <v>739.9</v>
      </c>
      <c r="D57" s="190">
        <f>INDEX(Input_Centreline!$C$5:$J$83,MATCH($B57,Input_Centreline!$C$5:$C$83,0),MATCH(D$6,Input_Centreline!$C$5:$J$5,0))</f>
        <v>713</v>
      </c>
      <c r="E57" s="191">
        <f t="shared" si="0"/>
        <v>3.7727910238429141E-2</v>
      </c>
      <c r="F57" s="189"/>
      <c r="G57" s="192">
        <f>INDEX('Input_QV Valuation'!$C$5:$Q$83,MATCH($B57,'Input_QV Valuation'!$C$5:$C$83,0),MATCH(G$6,'Input_QV Valuation'!$C$5:$Q$5,0))</f>
        <v>4653343640</v>
      </c>
      <c r="H57" s="192">
        <f>INDEX('Input_QV Valuation'!$C$5:$Q$83,MATCH($B57,'Input_QV Valuation'!$C$5:$C$83,0),MATCH(H$6,'Input_QV Valuation'!$C$5:$Q$5,0))</f>
        <v>3627459375.5</v>
      </c>
      <c r="I57" s="191">
        <f t="shared" si="1"/>
        <v>0.28281068326467329</v>
      </c>
      <c r="J57" s="189"/>
      <c r="K57" s="192">
        <f>INDEX('Input_QV Valuation'!$C$5:$Q$83,MATCH($B57,'Input_QV Valuation'!$C$5:$C$83,0),MATCH(K$6,'Input_QV Valuation'!$C$5:$Q$5,0))</f>
        <v>4698</v>
      </c>
      <c r="L57" s="192">
        <f>INDEX('Input_QV Valuation'!$C$5:$Q$83,MATCH($B57,'Input_QV Valuation'!$C$5:$C$83,0),MATCH(L$6,'Input_QV Valuation'!$C$5:$Q$5,0))</f>
        <v>4422</v>
      </c>
      <c r="M57" s="191">
        <f t="shared" si="2"/>
        <v>6.2415196743554953E-2</v>
      </c>
      <c r="N57" s="18"/>
    </row>
    <row r="58" spans="2:14" x14ac:dyDescent="0.25">
      <c r="B58" s="189" t="s">
        <v>50</v>
      </c>
      <c r="C58" s="190">
        <f>INDEX(Input_Centreline!$C$5:$J$83,MATCH($B58,Input_Centreline!$C$5:$C$83,0),MATCH(C$6,Input_Centreline!$C$5:$J$5,0))</f>
        <v>2600.4</v>
      </c>
      <c r="D58" s="190">
        <f>INDEX(Input_Centreline!$C$5:$J$83,MATCH($B58,Input_Centreline!$C$5:$C$83,0),MATCH(D$6,Input_Centreline!$C$5:$J$5,0))</f>
        <v>2491.7999999999997</v>
      </c>
      <c r="E58" s="191">
        <f t="shared" si="0"/>
        <v>4.358295208283184E-2</v>
      </c>
      <c r="F58" s="189"/>
      <c r="G58" s="192">
        <f>INDEX('Input_QV Valuation'!$C$5:$Q$83,MATCH($B58,'Input_QV Valuation'!$C$5:$C$83,0),MATCH(G$6,'Input_QV Valuation'!$C$5:$Q$5,0))</f>
        <v>23505848942</v>
      </c>
      <c r="H58" s="192">
        <f>INDEX('Input_QV Valuation'!$C$5:$Q$83,MATCH($B58,'Input_QV Valuation'!$C$5:$C$83,0),MATCH(H$6,'Input_QV Valuation'!$C$5:$Q$5,0))</f>
        <v>20218384672</v>
      </c>
      <c r="I58" s="191">
        <f t="shared" si="1"/>
        <v>0.16259777046149179</v>
      </c>
      <c r="J58" s="189"/>
      <c r="K58" s="192">
        <f>INDEX('Input_QV Valuation'!$C$5:$Q$83,MATCH($B58,'Input_QV Valuation'!$C$5:$C$83,0),MATCH(K$6,'Input_QV Valuation'!$C$5:$Q$5,0))</f>
        <v>26797</v>
      </c>
      <c r="L58" s="192">
        <f>INDEX('Input_QV Valuation'!$C$5:$Q$83,MATCH($B58,'Input_QV Valuation'!$C$5:$C$83,0),MATCH(L$6,'Input_QV Valuation'!$C$5:$Q$5,0))</f>
        <v>23772</v>
      </c>
      <c r="M58" s="191">
        <f t="shared" si="2"/>
        <v>0.12725054686185427</v>
      </c>
      <c r="N58" s="18"/>
    </row>
    <row r="59" spans="2:14" x14ac:dyDescent="0.25">
      <c r="B59" s="189" t="s">
        <v>51</v>
      </c>
      <c r="C59" s="190">
        <f>INDEX(Input_Centreline!$C$5:$J$83,MATCH($B59,Input_Centreline!$C$5:$C$83,0),MATCH(C$6,Input_Centreline!$C$5:$J$5,0))</f>
        <v>1722.4</v>
      </c>
      <c r="D59" s="190">
        <f>INDEX(Input_Centreline!$C$5:$J$83,MATCH($B59,Input_Centreline!$C$5:$C$83,0),MATCH(D$6,Input_Centreline!$C$5:$J$5,0))</f>
        <v>1716.2</v>
      </c>
      <c r="E59" s="191">
        <f t="shared" si="0"/>
        <v>3.6126325603076828E-3</v>
      </c>
      <c r="F59" s="189"/>
      <c r="G59" s="192">
        <f>INDEX('Input_QV Valuation'!$C$5:$Q$83,MATCH($B59,'Input_QV Valuation'!$C$5:$C$83,0),MATCH(G$6,'Input_QV Valuation'!$C$5:$Q$5,0))</f>
        <v>14155360790</v>
      </c>
      <c r="H59" s="192">
        <f>INDEX('Input_QV Valuation'!$C$5:$Q$83,MATCH($B59,'Input_QV Valuation'!$C$5:$C$83,0),MATCH(H$6,'Input_QV Valuation'!$C$5:$Q$5,0))</f>
        <v>12799769366.5</v>
      </c>
      <c r="I59" s="191">
        <f t="shared" si="1"/>
        <v>0.10590748822770986</v>
      </c>
      <c r="J59" s="189"/>
      <c r="K59" s="192">
        <f>INDEX('Input_QV Valuation'!$C$5:$Q$83,MATCH($B59,'Input_QV Valuation'!$C$5:$C$83,0),MATCH(K$6,'Input_QV Valuation'!$C$5:$Q$5,0))</f>
        <v>22037</v>
      </c>
      <c r="L59" s="192">
        <f>INDEX('Input_QV Valuation'!$C$5:$Q$83,MATCH($B59,'Input_QV Valuation'!$C$5:$C$83,0),MATCH(L$6,'Input_QV Valuation'!$C$5:$Q$5,0))</f>
        <v>21951</v>
      </c>
      <c r="M59" s="191">
        <f t="shared" si="2"/>
        <v>3.9178169559473371E-3</v>
      </c>
      <c r="N59" s="18"/>
    </row>
    <row r="60" spans="2:14" x14ac:dyDescent="0.25">
      <c r="B60" s="189" t="s">
        <v>52</v>
      </c>
      <c r="C60" s="190">
        <f>INDEX(Input_Centreline!$C$5:$J$83,MATCH($B60,Input_Centreline!$C$5:$C$83,0),MATCH(C$6,Input_Centreline!$C$5:$J$5,0))</f>
        <v>1579.8</v>
      </c>
      <c r="D60" s="190">
        <f>INDEX(Input_Centreline!$C$5:$J$83,MATCH($B60,Input_Centreline!$C$5:$C$83,0),MATCH(D$6,Input_Centreline!$C$5:$J$5,0))</f>
        <v>1533.8999999999999</v>
      </c>
      <c r="E60" s="191">
        <f t="shared" si="0"/>
        <v>2.9923723841189187E-2</v>
      </c>
      <c r="F60" s="189"/>
      <c r="G60" s="192">
        <f>INDEX('Input_QV Valuation'!$C$5:$Q$83,MATCH($B60,'Input_QV Valuation'!$C$5:$C$83,0),MATCH(G$6,'Input_QV Valuation'!$C$5:$Q$5,0))</f>
        <v>16285324788</v>
      </c>
      <c r="H60" s="192">
        <f>INDEX('Input_QV Valuation'!$C$5:$Q$83,MATCH($B60,'Input_QV Valuation'!$C$5:$C$83,0),MATCH(H$6,'Input_QV Valuation'!$C$5:$Q$5,0))</f>
        <v>15265172200</v>
      </c>
      <c r="I60" s="191">
        <f t="shared" si="1"/>
        <v>6.6828763844537564E-2</v>
      </c>
      <c r="J60" s="189"/>
      <c r="K60" s="192">
        <f>INDEX('Input_QV Valuation'!$C$5:$Q$83,MATCH($B60,'Input_QV Valuation'!$C$5:$C$83,0),MATCH(K$6,'Input_QV Valuation'!$C$5:$Q$5,0))</f>
        <v>26014</v>
      </c>
      <c r="L60" s="192">
        <f>INDEX('Input_QV Valuation'!$C$5:$Q$83,MATCH($B60,'Input_QV Valuation'!$C$5:$C$83,0),MATCH(L$6,'Input_QV Valuation'!$C$5:$Q$5,0))</f>
        <v>24929</v>
      </c>
      <c r="M60" s="191">
        <f t="shared" si="2"/>
        <v>4.3523607044004972E-2</v>
      </c>
      <c r="N60" s="18"/>
    </row>
    <row r="61" spans="2:14" x14ac:dyDescent="0.25">
      <c r="B61" s="189" t="s">
        <v>53</v>
      </c>
      <c r="C61" s="190">
        <f>INDEX(Input_Centreline!$C$5:$J$83,MATCH($B61,Input_Centreline!$C$5:$C$83,0),MATCH(C$6,Input_Centreline!$C$5:$J$5,0))</f>
        <v>1338.7</v>
      </c>
      <c r="D61" s="190">
        <f>INDEX(Input_Centreline!$C$5:$J$83,MATCH($B61,Input_Centreline!$C$5:$C$83,0),MATCH(D$6,Input_Centreline!$C$5:$J$5,0))</f>
        <v>1335.3999999999999</v>
      </c>
      <c r="E61" s="191">
        <f t="shared" si="0"/>
        <v>2.4711696869853094E-3</v>
      </c>
      <c r="F61" s="189"/>
      <c r="G61" s="192">
        <f>INDEX('Input_QV Valuation'!$C$5:$Q$83,MATCH($B61,'Input_QV Valuation'!$C$5:$C$83,0),MATCH(G$6,'Input_QV Valuation'!$C$5:$Q$5,0))</f>
        <v>4847228650</v>
      </c>
      <c r="H61" s="192">
        <f>INDEX('Input_QV Valuation'!$C$5:$Q$83,MATCH($B61,'Input_QV Valuation'!$C$5:$C$83,0),MATCH(H$6,'Input_QV Valuation'!$C$5:$Q$5,0))</f>
        <v>4672321900</v>
      </c>
      <c r="I61" s="191">
        <f t="shared" si="1"/>
        <v>3.7434653207434186E-2</v>
      </c>
      <c r="J61" s="189"/>
      <c r="K61" s="192">
        <f>INDEX('Input_QV Valuation'!$C$5:$Q$83,MATCH($B61,'Input_QV Valuation'!$C$5:$C$83,0),MATCH(K$6,'Input_QV Valuation'!$C$5:$Q$5,0))</f>
        <v>4286</v>
      </c>
      <c r="L61" s="192">
        <f>INDEX('Input_QV Valuation'!$C$5:$Q$83,MATCH($B61,'Input_QV Valuation'!$C$5:$C$83,0),MATCH(L$6,'Input_QV Valuation'!$C$5:$Q$5,0))</f>
        <v>4271</v>
      </c>
      <c r="M61" s="191">
        <f t="shared" si="2"/>
        <v>3.5120580660266917E-3</v>
      </c>
      <c r="N61" s="18"/>
    </row>
    <row r="62" spans="2:14" x14ac:dyDescent="0.25">
      <c r="B62" s="189" t="s">
        <v>54</v>
      </c>
      <c r="C62" s="190">
        <f>INDEX(Input_Centreline!$C$5:$J$83,MATCH($B62,Input_Centreline!$C$5:$C$83,0),MATCH(C$6,Input_Centreline!$C$5:$J$5,0))</f>
        <v>604.80000000000007</v>
      </c>
      <c r="D62" s="190">
        <f>INDEX(Input_Centreline!$C$5:$J$83,MATCH($B62,Input_Centreline!$C$5:$C$83,0),MATCH(D$6,Input_Centreline!$C$5:$J$5,0))</f>
        <v>601.30000000000007</v>
      </c>
      <c r="E62" s="191">
        <f t="shared" si="0"/>
        <v>5.8207217694994174E-3</v>
      </c>
      <c r="F62" s="189"/>
      <c r="G62" s="192">
        <f>INDEX('Input_QV Valuation'!$C$5:$Q$83,MATCH($B62,'Input_QV Valuation'!$C$5:$C$83,0),MATCH(G$6,'Input_QV Valuation'!$C$5:$Q$5,0))</f>
        <v>2258871380</v>
      </c>
      <c r="H62" s="192">
        <f>INDEX('Input_QV Valuation'!$C$5:$Q$83,MATCH($B62,'Input_QV Valuation'!$C$5:$C$83,0),MATCH(H$6,'Input_QV Valuation'!$C$5:$Q$5,0))</f>
        <v>2222267566.25</v>
      </c>
      <c r="I62" s="191">
        <f t="shared" si="1"/>
        <v>1.6471380092077603E-2</v>
      </c>
      <c r="J62" s="189"/>
      <c r="K62" s="192">
        <f>INDEX('Input_QV Valuation'!$C$5:$Q$83,MATCH($B62,'Input_QV Valuation'!$C$5:$C$83,0),MATCH(K$6,'Input_QV Valuation'!$C$5:$Q$5,0))</f>
        <v>7333</v>
      </c>
      <c r="L62" s="192">
        <f>INDEX('Input_QV Valuation'!$C$5:$Q$83,MATCH($B62,'Input_QV Valuation'!$C$5:$C$83,0),MATCH(L$6,'Input_QV Valuation'!$C$5:$Q$5,0))</f>
        <v>7325</v>
      </c>
      <c r="M62" s="191">
        <f t="shared" si="2"/>
        <v>1.0921501706484642E-3</v>
      </c>
      <c r="N62" s="18"/>
    </row>
    <row r="63" spans="2:14" x14ac:dyDescent="0.25">
      <c r="B63" s="189" t="s">
        <v>55</v>
      </c>
      <c r="C63" s="190">
        <f>INDEX(Input_Centreline!$C$5:$J$83,MATCH($B63,Input_Centreline!$C$5:$C$83,0),MATCH(C$6,Input_Centreline!$C$5:$J$5,0))</f>
        <v>611.70000000000005</v>
      </c>
      <c r="D63" s="190">
        <f>INDEX(Input_Centreline!$C$5:$J$83,MATCH($B63,Input_Centreline!$C$5:$C$83,0),MATCH(D$6,Input_Centreline!$C$5:$J$5,0))</f>
        <v>609.20000000000005</v>
      </c>
      <c r="E63" s="191">
        <f t="shared" si="0"/>
        <v>4.1037426132632957E-3</v>
      </c>
      <c r="F63" s="189"/>
      <c r="G63" s="192">
        <f>INDEX('Input_QV Valuation'!$C$5:$Q$83,MATCH($B63,'Input_QV Valuation'!$C$5:$C$83,0),MATCH(G$6,'Input_QV Valuation'!$C$5:$Q$5,0))</f>
        <v>2645999406</v>
      </c>
      <c r="H63" s="192">
        <f>INDEX('Input_QV Valuation'!$C$5:$Q$83,MATCH($B63,'Input_QV Valuation'!$C$5:$C$83,0),MATCH(H$6,'Input_QV Valuation'!$C$5:$Q$5,0))</f>
        <v>2569982189</v>
      </c>
      <c r="I63" s="191">
        <f t="shared" si="1"/>
        <v>2.9578888649644256E-2</v>
      </c>
      <c r="J63" s="189"/>
      <c r="K63" s="192">
        <f>INDEX('Input_QV Valuation'!$C$5:$Q$83,MATCH($B63,'Input_QV Valuation'!$C$5:$C$83,0),MATCH(K$6,'Input_QV Valuation'!$C$5:$Q$5,0))</f>
        <v>8532</v>
      </c>
      <c r="L63" s="192">
        <f>INDEX('Input_QV Valuation'!$C$5:$Q$83,MATCH($B63,'Input_QV Valuation'!$C$5:$C$83,0),MATCH(L$6,'Input_QV Valuation'!$C$5:$Q$5,0))</f>
        <v>8494</v>
      </c>
      <c r="M63" s="191">
        <f t="shared" si="2"/>
        <v>4.4737461737697198E-3</v>
      </c>
      <c r="N63" s="18"/>
    </row>
    <row r="64" spans="2:14" x14ac:dyDescent="0.25">
      <c r="B64" s="189" t="s">
        <v>56</v>
      </c>
      <c r="C64" s="211">
        <f>INDEX(Input_Centreline!$C$5:$J$83,MATCH($B64,Input_Centreline!$C$5:$C$83,0),MATCH(C$6,Input_Centreline!$C$5:$J$5,0))</f>
        <v>691</v>
      </c>
      <c r="D64" s="211">
        <f>INDEX(Input_Centreline!$C$5:$J$83,MATCH($B64,Input_Centreline!$C$5:$C$83,0),MATCH(D$6,Input_Centreline!$C$5:$J$5,0))</f>
        <v>673.4</v>
      </c>
      <c r="E64" s="212">
        <f t="shared" si="0"/>
        <v>2.6136026136026169E-2</v>
      </c>
      <c r="F64" s="189"/>
      <c r="G64" s="192">
        <f>INDEX('Input_QV Valuation'!$C$5:$Q$83,MATCH($B64,'Input_QV Valuation'!$C$5:$C$83,0),MATCH(G$6,'Input_QV Valuation'!$C$5:$Q$5,0))</f>
        <v>2440060510</v>
      </c>
      <c r="H64" s="192">
        <f>INDEX('Input_QV Valuation'!$C$5:$Q$83,MATCH($B64,'Input_QV Valuation'!$C$5:$C$83,0),MATCH(H$6,'Input_QV Valuation'!$C$5:$Q$5,0))</f>
        <v>2349422142</v>
      </c>
      <c r="I64" s="191">
        <f t="shared" si="1"/>
        <v>3.8579004760226694E-2</v>
      </c>
      <c r="J64" s="189"/>
      <c r="K64" s="192">
        <f>INDEX('Input_QV Valuation'!$C$5:$Q$83,MATCH($B64,'Input_QV Valuation'!$C$5:$C$83,0),MATCH(K$6,'Input_QV Valuation'!$C$5:$Q$5,0))</f>
        <v>6552</v>
      </c>
      <c r="L64" s="192">
        <f>INDEX('Input_QV Valuation'!$C$5:$Q$83,MATCH($B64,'Input_QV Valuation'!$C$5:$C$83,0),MATCH(L$6,'Input_QV Valuation'!$C$5:$Q$5,0))</f>
        <v>6558</v>
      </c>
      <c r="M64" s="191">
        <f t="shared" si="2"/>
        <v>-9.1491308325709062E-4</v>
      </c>
      <c r="N64" s="18"/>
    </row>
    <row r="65" spans="2:14" x14ac:dyDescent="0.25">
      <c r="B65" s="189" t="s">
        <v>57</v>
      </c>
      <c r="C65" s="211">
        <f>INDEX(Input_Centreline!$C$5:$J$83,MATCH($B65,Input_Centreline!$C$5:$C$83,0),MATCH(C$6,Input_Centreline!$C$5:$J$5,0))</f>
        <v>1928.1999999999998</v>
      </c>
      <c r="D65" s="211">
        <f>INDEX(Input_Centreline!$C$5:$J$83,MATCH($B65,Input_Centreline!$C$5:$C$83,0),MATCH(D$6,Input_Centreline!$C$5:$J$5,0))</f>
        <v>1884.6</v>
      </c>
      <c r="E65" s="212">
        <f t="shared" si="0"/>
        <v>2.3134882733736553E-2</v>
      </c>
      <c r="F65" s="189"/>
      <c r="G65" s="192">
        <f>INDEX('Input_QV Valuation'!$C$5:$Q$83,MATCH($B65,'Input_QV Valuation'!$C$5:$C$83,0),MATCH(G$6,'Input_QV Valuation'!$C$5:$Q$5,0))</f>
        <v>12158733965</v>
      </c>
      <c r="H65" s="192">
        <f>INDEX('Input_QV Valuation'!$C$5:$Q$83,MATCH($B65,'Input_QV Valuation'!$C$5:$C$83,0),MATCH(H$6,'Input_QV Valuation'!$C$5:$Q$5,0))</f>
        <v>9009552050</v>
      </c>
      <c r="I65" s="191">
        <f t="shared" si="1"/>
        <v>0.34953812326329808</v>
      </c>
      <c r="J65" s="189"/>
      <c r="K65" s="192">
        <f>INDEX('Input_QV Valuation'!$C$5:$Q$83,MATCH($B65,'Input_QV Valuation'!$C$5:$C$83,0),MATCH(K$6,'Input_QV Valuation'!$C$5:$Q$5,0))</f>
        <v>13825</v>
      </c>
      <c r="L65" s="192">
        <f>INDEX('Input_QV Valuation'!$C$5:$Q$83,MATCH($B65,'Input_QV Valuation'!$C$5:$C$83,0),MATCH(L$6,'Input_QV Valuation'!$C$5:$Q$5,0))</f>
        <v>13277</v>
      </c>
      <c r="M65" s="191">
        <f t="shared" si="2"/>
        <v>4.1274384273555773E-2</v>
      </c>
      <c r="N65" s="18"/>
    </row>
    <row r="66" spans="2:14" x14ac:dyDescent="0.25">
      <c r="B66" s="189" t="s">
        <v>58</v>
      </c>
      <c r="C66" s="190">
        <f>INDEX(Input_Centreline!$C$5:$J$83,MATCH($B66,Input_Centreline!$C$5:$C$83,0),MATCH(C$6,Input_Centreline!$C$5:$J$5,0))</f>
        <v>2898.7000000000003</v>
      </c>
      <c r="D66" s="190">
        <f>INDEX(Input_Centreline!$C$5:$J$83,MATCH($B66,Input_Centreline!$C$5:$C$83,0),MATCH(D$6,Input_Centreline!$C$5:$J$5,0))</f>
        <v>2918.6000000000004</v>
      </c>
      <c r="E66" s="191">
        <f t="shared" si="0"/>
        <v>-6.8183375591037102E-3</v>
      </c>
      <c r="F66" s="189"/>
      <c r="G66" s="192">
        <f>INDEX('Input_QV Valuation'!$C$5:$Q$83,MATCH($B66,'Input_QV Valuation'!$C$5:$C$83,0),MATCH(G$6,'Input_QV Valuation'!$C$5:$Q$5,0))</f>
        <v>8428861506.5</v>
      </c>
      <c r="H66" s="192">
        <f>INDEX('Input_QV Valuation'!$C$5:$Q$83,MATCH($B66,'Input_QV Valuation'!$C$5:$C$83,0),MATCH(H$6,'Input_QV Valuation'!$C$5:$Q$5,0))</f>
        <v>7720522601.5</v>
      </c>
      <c r="I66" s="191">
        <f t="shared" si="1"/>
        <v>9.1747533368062253E-2</v>
      </c>
      <c r="J66" s="189"/>
      <c r="K66" s="192">
        <f>INDEX('Input_QV Valuation'!$C$5:$Q$83,MATCH($B66,'Input_QV Valuation'!$C$5:$C$83,0),MATCH(K$6,'Input_QV Valuation'!$C$5:$Q$5,0))</f>
        <v>11188</v>
      </c>
      <c r="L66" s="192">
        <f>INDEX('Input_QV Valuation'!$C$5:$Q$83,MATCH($B66,'Input_QV Valuation'!$C$5:$C$83,0),MATCH(L$6,'Input_QV Valuation'!$C$5:$Q$5,0))</f>
        <v>11947</v>
      </c>
      <c r="M66" s="191">
        <f t="shared" si="2"/>
        <v>-6.3530593454423703E-2</v>
      </c>
      <c r="N66" s="18"/>
    </row>
    <row r="67" spans="2:14" x14ac:dyDescent="0.25">
      <c r="B67" s="189" t="s">
        <v>59</v>
      </c>
      <c r="C67" s="190">
        <f>INDEX(Input_Centreline!$C$5:$J$83,MATCH($B67,Input_Centreline!$C$5:$C$83,0),MATCH(C$6,Input_Centreline!$C$5:$J$5,0))</f>
        <v>1766.9</v>
      </c>
      <c r="D67" s="190">
        <f>INDEX(Input_Centreline!$C$5:$J$83,MATCH($B67,Input_Centreline!$C$5:$C$83,0),MATCH(D$6,Input_Centreline!$C$5:$J$5,0))</f>
        <v>1767.8</v>
      </c>
      <c r="E67" s="191">
        <f t="shared" si="0"/>
        <v>-5.0910736508647111E-4</v>
      </c>
      <c r="F67" s="189"/>
      <c r="G67" s="192">
        <f>INDEX('Input_QV Valuation'!$C$5:$Q$83,MATCH($B67,'Input_QV Valuation'!$C$5:$C$83,0),MATCH(G$6,'Input_QV Valuation'!$C$5:$Q$5,0))</f>
        <v>30777331275.200005</v>
      </c>
      <c r="H67" s="192">
        <f>INDEX('Input_QV Valuation'!$C$5:$Q$83,MATCH($B67,'Input_QV Valuation'!$C$5:$C$83,0),MATCH(H$6,'Input_QV Valuation'!$C$5:$Q$5,0))</f>
        <v>22567985050</v>
      </c>
      <c r="I67" s="191">
        <f t="shared" si="1"/>
        <v>0.36376070823389722</v>
      </c>
      <c r="J67" s="189"/>
      <c r="K67" s="192">
        <f>INDEX('Input_QV Valuation'!$C$5:$Q$83,MATCH($B67,'Input_QV Valuation'!$C$5:$C$83,0),MATCH(K$6,'Input_QV Valuation'!$C$5:$Q$5,0))</f>
        <v>54477</v>
      </c>
      <c r="L67" s="192">
        <f>INDEX('Input_QV Valuation'!$C$5:$Q$83,MATCH($B67,'Input_QV Valuation'!$C$5:$C$83,0),MATCH(L$6,'Input_QV Valuation'!$C$5:$Q$5,0))</f>
        <v>53811</v>
      </c>
      <c r="M67" s="191">
        <f t="shared" si="2"/>
        <v>1.2376651613982272E-2</v>
      </c>
      <c r="N67" s="18"/>
    </row>
    <row r="68" spans="2:14" x14ac:dyDescent="0.25">
      <c r="B68" s="189" t="s">
        <v>60</v>
      </c>
      <c r="C68" s="190">
        <f>INDEX(Input_Centreline!$C$5:$J$83,MATCH($B68,Input_Centreline!$C$5:$C$83,0),MATCH(C$6,Input_Centreline!$C$5:$J$5,0))</f>
        <v>871</v>
      </c>
      <c r="D68" s="190">
        <f>INDEX(Input_Centreline!$C$5:$J$83,MATCH($B68,Input_Centreline!$C$5:$C$83,0),MATCH(D$6,Input_Centreline!$C$5:$J$5,0))</f>
        <v>818.1</v>
      </c>
      <c r="E68" s="191">
        <f t="shared" si="0"/>
        <v>6.4662021757731294E-2</v>
      </c>
      <c r="F68" s="189"/>
      <c r="G68" s="192">
        <f>INDEX('Input_QV Valuation'!$C$5:$Q$83,MATCH($B68,'Input_QV Valuation'!$C$5:$C$83,0),MATCH(G$6,'Input_QV Valuation'!$C$5:$Q$5,0))</f>
        <v>38717295307</v>
      </c>
      <c r="H68" s="192">
        <f>INDEX('Input_QV Valuation'!$C$5:$Q$83,MATCH($B68,'Input_QV Valuation'!$C$5:$C$83,0),MATCH(H$6,'Input_QV Valuation'!$C$5:$Q$5,0))</f>
        <v>27857104270</v>
      </c>
      <c r="I68" s="191">
        <f t="shared" si="1"/>
        <v>0.38985355160175805</v>
      </c>
      <c r="J68" s="189"/>
      <c r="K68" s="192">
        <f>INDEX('Input_QV Valuation'!$C$5:$Q$83,MATCH($B68,'Input_QV Valuation'!$C$5:$C$83,0),MATCH(K$6,'Input_QV Valuation'!$C$5:$Q$5,0))</f>
        <v>26191</v>
      </c>
      <c r="L68" s="192">
        <f>INDEX('Input_QV Valuation'!$C$5:$Q$83,MATCH($B68,'Input_QV Valuation'!$C$5:$C$83,0),MATCH(L$6,'Input_QV Valuation'!$C$5:$Q$5,0))</f>
        <v>23509</v>
      </c>
      <c r="M68" s="191">
        <f t="shared" si="2"/>
        <v>0.11408396784210302</v>
      </c>
      <c r="N68" s="18"/>
    </row>
    <row r="69" spans="2:14" x14ac:dyDescent="0.25">
      <c r="B69" s="189" t="s">
        <v>61</v>
      </c>
      <c r="C69" s="190">
        <f>INDEX(Input_Centreline!$C$5:$J$83,MATCH($B69,Input_Centreline!$C$5:$C$83,0),MATCH(C$6,Input_Centreline!$C$5:$J$5,0))</f>
        <v>1799.1</v>
      </c>
      <c r="D69" s="190">
        <f>INDEX(Input_Centreline!$C$5:$J$83,MATCH($B69,Input_Centreline!$C$5:$C$83,0),MATCH(D$6,Input_Centreline!$C$5:$J$5,0))</f>
        <v>1809.3</v>
      </c>
      <c r="E69" s="191">
        <f t="shared" si="0"/>
        <v>-5.6375393798706935E-3</v>
      </c>
      <c r="F69" s="189"/>
      <c r="G69" s="192">
        <f>INDEX('Input_QV Valuation'!$C$5:$Q$83,MATCH($B69,'Input_QV Valuation'!$C$5:$C$83,0),MATCH(G$6,'Input_QV Valuation'!$C$5:$Q$5,0))</f>
        <v>9048851127.5</v>
      </c>
      <c r="H69" s="192">
        <f>INDEX('Input_QV Valuation'!$C$5:$Q$83,MATCH($B69,'Input_QV Valuation'!$C$5:$C$83,0),MATCH(H$6,'Input_QV Valuation'!$C$5:$Q$5,0))</f>
        <v>7743324691</v>
      </c>
      <c r="I69" s="191">
        <f t="shared" si="1"/>
        <v>0.16860024454578304</v>
      </c>
      <c r="J69" s="189"/>
      <c r="K69" s="192">
        <f>INDEX('Input_QV Valuation'!$C$5:$Q$83,MATCH($B69,'Input_QV Valuation'!$C$5:$C$83,0),MATCH(K$6,'Input_QV Valuation'!$C$5:$Q$5,0))</f>
        <v>13770</v>
      </c>
      <c r="L69" s="192">
        <f>INDEX('Input_QV Valuation'!$C$5:$Q$83,MATCH($B69,'Input_QV Valuation'!$C$5:$C$83,0),MATCH(L$6,'Input_QV Valuation'!$C$5:$Q$5,0))</f>
        <v>13773</v>
      </c>
      <c r="M69" s="191">
        <f t="shared" si="2"/>
        <v>-2.1781746896101068E-4</v>
      </c>
      <c r="N69" s="18"/>
    </row>
    <row r="70" spans="2:14" x14ac:dyDescent="0.25">
      <c r="B70" s="189" t="s">
        <v>62</v>
      </c>
      <c r="C70" s="190">
        <f>INDEX(Input_Centreline!$C$5:$J$83,MATCH($B70,Input_Centreline!$C$5:$C$83,0),MATCH(C$6,Input_Centreline!$C$5:$J$5,0))</f>
        <v>904</v>
      </c>
      <c r="D70" s="190">
        <f>INDEX(Input_Centreline!$C$5:$J$83,MATCH($B70,Input_Centreline!$C$5:$C$83,0),MATCH(D$6,Input_Centreline!$C$5:$J$5,0))</f>
        <v>894</v>
      </c>
      <c r="E70" s="191">
        <f t="shared" si="0"/>
        <v>1.1185682326621925E-2</v>
      </c>
      <c r="F70" s="189"/>
      <c r="G70" s="192">
        <f>INDEX('Input_QV Valuation'!$C$5:$Q$83,MATCH($B70,'Input_QV Valuation'!$C$5:$C$83,0),MATCH(G$6,'Input_QV Valuation'!$C$5:$Q$5,0))</f>
        <v>3790881427.5</v>
      </c>
      <c r="H70" s="192">
        <f>INDEX('Input_QV Valuation'!$C$5:$Q$83,MATCH($B70,'Input_QV Valuation'!$C$5:$C$83,0),MATCH(H$6,'Input_QV Valuation'!$C$5:$Q$5,0))</f>
        <v>3442477550</v>
      </c>
      <c r="I70" s="191">
        <f t="shared" si="1"/>
        <v>0.10120730562208023</v>
      </c>
      <c r="J70" s="189"/>
      <c r="K70" s="192">
        <f>INDEX('Input_QV Valuation'!$C$5:$Q$83,MATCH($B70,'Input_QV Valuation'!$C$5:$C$83,0),MATCH(K$6,'Input_QV Valuation'!$C$5:$Q$5,0))</f>
        <v>6606</v>
      </c>
      <c r="L70" s="192">
        <f>INDEX('Input_QV Valuation'!$C$5:$Q$83,MATCH($B70,'Input_QV Valuation'!$C$5:$C$83,0),MATCH(L$6,'Input_QV Valuation'!$C$5:$Q$5,0))</f>
        <v>6579</v>
      </c>
      <c r="M70" s="191">
        <f t="shared" si="2"/>
        <v>4.1039671682626538E-3</v>
      </c>
      <c r="N70" s="18"/>
    </row>
    <row r="71" spans="2:14" x14ac:dyDescent="0.25">
      <c r="B71" s="189" t="s">
        <v>63</v>
      </c>
      <c r="C71" s="190">
        <f>INDEX(Input_Centreline!$C$5:$J$83,MATCH($B71,Input_Centreline!$C$5:$C$83,0),MATCH(C$6,Input_Centreline!$C$5:$J$5,0))</f>
        <v>583.4</v>
      </c>
      <c r="D71" s="190">
        <f>INDEX(Input_Centreline!$C$5:$J$83,MATCH($B71,Input_Centreline!$C$5:$C$83,0),MATCH(D$6,Input_Centreline!$C$5:$J$5,0))</f>
        <v>597.20000000000005</v>
      </c>
      <c r="E71" s="191">
        <f t="shared" si="0"/>
        <v>-2.3107836570663207E-2</v>
      </c>
      <c r="F71" s="189"/>
      <c r="G71" s="192">
        <f>INDEX('Input_QV Valuation'!$C$5:$Q$83,MATCH($B71,'Input_QV Valuation'!$C$5:$C$83,0),MATCH(G$6,'Input_QV Valuation'!$C$5:$Q$5,0))</f>
        <v>10663056665</v>
      </c>
      <c r="H71" s="192">
        <f>INDEX('Input_QV Valuation'!$C$5:$Q$83,MATCH($B71,'Input_QV Valuation'!$C$5:$C$83,0),MATCH(H$6,'Input_QV Valuation'!$C$5:$Q$5,0))</f>
        <v>7740848681.46</v>
      </c>
      <c r="I71" s="191">
        <f t="shared" si="1"/>
        <v>0.37750485816095852</v>
      </c>
      <c r="J71" s="189"/>
      <c r="K71" s="192">
        <f>INDEX('Input_QV Valuation'!$C$5:$Q$83,MATCH($B71,'Input_QV Valuation'!$C$5:$C$83,0),MATCH(K$6,'Input_QV Valuation'!$C$5:$Q$5,0))</f>
        <v>25311</v>
      </c>
      <c r="L71" s="192">
        <f>INDEX('Input_QV Valuation'!$C$5:$Q$83,MATCH($B71,'Input_QV Valuation'!$C$5:$C$83,0),MATCH(L$6,'Input_QV Valuation'!$C$5:$Q$5,0))</f>
        <v>25185</v>
      </c>
      <c r="M71" s="191">
        <f t="shared" si="2"/>
        <v>5.0029779630732579E-3</v>
      </c>
      <c r="N71" s="18"/>
    </row>
    <row r="72" spans="2:14" x14ac:dyDescent="0.25">
      <c r="B72" s="189" t="s">
        <v>64</v>
      </c>
      <c r="C72" s="190">
        <f>INDEX(Input_Centreline!$C$5:$J$83,MATCH($B72,Input_Centreline!$C$5:$C$83,0),MATCH(C$6,Input_Centreline!$C$5:$J$5,0))</f>
        <v>4971.1000000000004</v>
      </c>
      <c r="D72" s="190">
        <f>INDEX(Input_Centreline!$C$5:$J$83,MATCH($B72,Input_Centreline!$C$5:$C$83,0),MATCH(D$6,Input_Centreline!$C$5:$J$5,0))</f>
        <v>4968.8999999999996</v>
      </c>
      <c r="E72" s="191">
        <f t="shared" ref="E72:E84" si="3">(C72-D72)/D72</f>
        <v>4.4275392944127025E-4</v>
      </c>
      <c r="F72" s="189"/>
      <c r="G72" s="192">
        <f>INDEX('Input_QV Valuation'!$C$5:$Q$83,MATCH($B72,'Input_QV Valuation'!$C$5:$C$83,0),MATCH(G$6,'Input_QV Valuation'!$C$5:$Q$5,0))</f>
        <v>22854361748.5</v>
      </c>
      <c r="H72" s="192">
        <f>INDEX('Input_QV Valuation'!$C$5:$Q$83,MATCH($B72,'Input_QV Valuation'!$C$5:$C$83,0),MATCH(H$6,'Input_QV Valuation'!$C$5:$Q$5,0))</f>
        <v>20078423612.5</v>
      </c>
      <c r="I72" s="191">
        <f t="shared" ref="I72:I84" si="4">(G72-H72)/H72</f>
        <v>0.13825478481646414</v>
      </c>
      <c r="J72" s="189"/>
      <c r="K72" s="192">
        <f>INDEX('Input_QV Valuation'!$C$5:$Q$83,MATCH($B72,'Input_QV Valuation'!$C$5:$C$83,0),MATCH(K$6,'Input_QV Valuation'!$C$5:$Q$5,0))</f>
        <v>18897</v>
      </c>
      <c r="L72" s="192">
        <f>INDEX('Input_QV Valuation'!$C$5:$Q$83,MATCH($B72,'Input_QV Valuation'!$C$5:$C$83,0),MATCH(L$6,'Input_QV Valuation'!$C$5:$Q$5,0))</f>
        <v>18827</v>
      </c>
      <c r="M72" s="191">
        <f t="shared" ref="M72:M84" si="5">(K72-L72)/L72</f>
        <v>3.718064481861157E-3</v>
      </c>
      <c r="N72" s="18"/>
    </row>
    <row r="73" spans="2:14" x14ac:dyDescent="0.25">
      <c r="B73" s="189" t="s">
        <v>65</v>
      </c>
      <c r="C73" s="190">
        <f>INDEX(Input_Centreline!$C$5:$J$83,MATCH($B73,Input_Centreline!$C$5:$C$83,0),MATCH(C$6,Input_Centreline!$C$5:$J$5,0))</f>
        <v>178.4</v>
      </c>
      <c r="D73" s="190">
        <f>INDEX(Input_Centreline!$C$5:$J$83,MATCH($B73,Input_Centreline!$C$5:$C$83,0),MATCH(D$6,Input_Centreline!$C$5:$J$5,0))</f>
        <v>178.79999999999998</v>
      </c>
      <c r="E73" s="191">
        <f t="shared" si="3"/>
        <v>-2.2371364653242577E-3</v>
      </c>
      <c r="F73" s="189"/>
      <c r="G73" s="192">
        <f>INDEX('Input_QV Valuation'!$C$5:$Q$83,MATCH($B73,'Input_QV Valuation'!$C$5:$C$83,0),MATCH(G$6,'Input_QV Valuation'!$C$5:$Q$5,0))</f>
        <v>161610350</v>
      </c>
      <c r="H73" s="192">
        <f>INDEX('Input_QV Valuation'!$C$5:$Q$83,MATCH($B73,'Input_QV Valuation'!$C$5:$C$83,0),MATCH(H$6,'Input_QV Valuation'!$C$5:$Q$5,0))</f>
        <v>143247905</v>
      </c>
      <c r="I73" s="191">
        <f t="shared" si="4"/>
        <v>0.12818648202917871</v>
      </c>
      <c r="J73" s="189"/>
      <c r="K73" s="192">
        <f>INDEX('Input_QV Valuation'!$C$5:$Q$83,MATCH($B73,'Input_QV Valuation'!$C$5:$C$83,0),MATCH(K$6,'Input_QV Valuation'!$C$5:$Q$5,0))</f>
        <v>562</v>
      </c>
      <c r="L73" s="192">
        <f>INDEX('Input_QV Valuation'!$C$5:$Q$83,MATCH($B73,'Input_QV Valuation'!$C$5:$C$83,0),MATCH(L$6,'Input_QV Valuation'!$C$5:$Q$5,0))</f>
        <v>557</v>
      </c>
      <c r="M73" s="191">
        <f t="shared" si="5"/>
        <v>8.9766606822262122E-3</v>
      </c>
      <c r="N73" s="18"/>
    </row>
    <row r="74" spans="2:14" x14ac:dyDescent="0.25">
      <c r="B74" s="189" t="s">
        <v>66</v>
      </c>
      <c r="C74" s="190">
        <f>INDEX(Input_Centreline!$C$5:$J$83,MATCH($B74,Input_Centreline!$C$5:$C$83,0),MATCH(C$6,Input_Centreline!$C$5:$J$5,0))</f>
        <v>5828.0999999999995</v>
      </c>
      <c r="D74" s="190">
        <f>INDEX(Input_Centreline!$C$5:$J$83,MATCH($B74,Input_Centreline!$C$5:$C$83,0),MATCH(D$6,Input_Centreline!$C$5:$J$5,0))</f>
        <v>5890.5</v>
      </c>
      <c r="E74" s="191">
        <f t="shared" si="3"/>
        <v>-1.0593328240387157E-2</v>
      </c>
      <c r="F74" s="189"/>
      <c r="G74" s="192">
        <f>INDEX('Input_QV Valuation'!$C$5:$Q$83,MATCH($B74,'Input_QV Valuation'!$C$5:$C$83,0),MATCH(G$6,'Input_QV Valuation'!$C$5:$Q$5,0))</f>
        <v>60980480176.330002</v>
      </c>
      <c r="H74" s="192">
        <f>INDEX('Input_QV Valuation'!$C$5:$Q$83,MATCH($B74,'Input_QV Valuation'!$C$5:$C$83,0),MATCH(H$6,'Input_QV Valuation'!$C$5:$Q$5,0))</f>
        <v>44366044525.584702</v>
      </c>
      <c r="I74" s="191">
        <f t="shared" si="4"/>
        <v>0.37448539369256151</v>
      </c>
      <c r="J74" s="189"/>
      <c r="K74" s="192">
        <f>INDEX('Input_QV Valuation'!$C$5:$Q$83,MATCH($B74,'Input_QV Valuation'!$C$5:$C$83,0),MATCH(K$6,'Input_QV Valuation'!$C$5:$Q$5,0))</f>
        <v>96426</v>
      </c>
      <c r="L74" s="192">
        <f>INDEX('Input_QV Valuation'!$C$5:$Q$83,MATCH($B74,'Input_QV Valuation'!$C$5:$C$83,0),MATCH(L$6,'Input_QV Valuation'!$C$5:$Q$5,0))</f>
        <v>91570</v>
      </c>
      <c r="M74" s="191">
        <f t="shared" si="5"/>
        <v>5.3030468494048272E-2</v>
      </c>
      <c r="N74" s="18"/>
    </row>
    <row r="75" spans="2:14" x14ac:dyDescent="0.25">
      <c r="B75" s="189" t="s">
        <v>67</v>
      </c>
      <c r="C75" s="190">
        <f>INDEX(Input_Centreline!$C$5:$J$83,MATCH($B75,Input_Centreline!$C$5:$C$83,0),MATCH(C$6,Input_Centreline!$C$5:$J$5,0))</f>
        <v>9727.1</v>
      </c>
      <c r="D75" s="190">
        <f>INDEX(Input_Centreline!$C$5:$J$83,MATCH($B75,Input_Centreline!$C$5:$C$83,0),MATCH(D$6,Input_Centreline!$C$5:$J$5,0))</f>
        <v>9590.2000000000007</v>
      </c>
      <c r="E75" s="191">
        <f t="shared" si="3"/>
        <v>1.4274989051323187E-2</v>
      </c>
      <c r="F75" s="189"/>
      <c r="G75" s="192">
        <f>INDEX('Input_QV Valuation'!$C$5:$Q$83,MATCH($B75,'Input_QV Valuation'!$C$5:$C$83,0),MATCH(G$6,'Input_QV Valuation'!$C$5:$Q$5,0))</f>
        <v>179794054862.22757</v>
      </c>
      <c r="H75" s="192">
        <f>INDEX('Input_QV Valuation'!$C$5:$Q$83,MATCH($B75,'Input_QV Valuation'!$C$5:$C$83,0),MATCH(H$6,'Input_QV Valuation'!$C$5:$Q$5,0))</f>
        <v>145020835595.85001</v>
      </c>
      <c r="I75" s="191">
        <f t="shared" si="4"/>
        <v>0.23978085027233598</v>
      </c>
      <c r="J75" s="189"/>
      <c r="K75" s="192">
        <f>INDEX('Input_QV Valuation'!$C$5:$Q$83,MATCH($B75,'Input_QV Valuation'!$C$5:$C$83,0),MATCH(K$6,'Input_QV Valuation'!$C$5:$Q$5,0))</f>
        <v>212402</v>
      </c>
      <c r="L75" s="192">
        <f>INDEX('Input_QV Valuation'!$C$5:$Q$83,MATCH($B75,'Input_QV Valuation'!$C$5:$C$83,0),MATCH(L$6,'Input_QV Valuation'!$C$5:$Q$5,0))</f>
        <v>204182</v>
      </c>
      <c r="M75" s="191">
        <f t="shared" si="5"/>
        <v>4.0258201016739964E-2</v>
      </c>
      <c r="N75" s="18"/>
    </row>
    <row r="76" spans="2:14" x14ac:dyDescent="0.25">
      <c r="B76" s="189" t="s">
        <v>68</v>
      </c>
      <c r="C76" s="190">
        <f>INDEX(Input_Centreline!$C$5:$J$83,MATCH($B76,Input_Centreline!$C$5:$C$83,0),MATCH(C$6,Input_Centreline!$C$5:$J$5,0))</f>
        <v>3944.3</v>
      </c>
      <c r="D76" s="190">
        <f>INDEX(Input_Centreline!$C$5:$J$83,MATCH($B76,Input_Centreline!$C$5:$C$83,0),MATCH(D$6,Input_Centreline!$C$5:$J$5,0))</f>
        <v>3849.3</v>
      </c>
      <c r="E76" s="191">
        <f t="shared" si="3"/>
        <v>2.4679811913854467E-2</v>
      </c>
      <c r="F76" s="189"/>
      <c r="G76" s="192">
        <f>INDEX('Input_QV Valuation'!$C$5:$Q$83,MATCH($B76,'Input_QV Valuation'!$C$5:$C$83,0),MATCH(G$6,'Input_QV Valuation'!$C$5:$Q$5,0))</f>
        <v>116677898018.10001</v>
      </c>
      <c r="H76" s="192">
        <f>INDEX('Input_QV Valuation'!$C$5:$Q$83,MATCH($B76,'Input_QV Valuation'!$C$5:$C$83,0),MATCH(H$6,'Input_QV Valuation'!$C$5:$Q$5,0))</f>
        <v>88157802696.5</v>
      </c>
      <c r="I76" s="191">
        <f t="shared" si="4"/>
        <v>0.3235118667803672</v>
      </c>
      <c r="J76" s="189"/>
      <c r="K76" s="192">
        <f>INDEX('Input_QV Valuation'!$C$5:$Q$83,MATCH($B76,'Input_QV Valuation'!$C$5:$C$83,0),MATCH(K$6,'Input_QV Valuation'!$C$5:$Q$5,0))</f>
        <v>136926</v>
      </c>
      <c r="L76" s="192">
        <f>INDEX('Input_QV Valuation'!$C$5:$Q$83,MATCH($B76,'Input_QV Valuation'!$C$5:$C$83,0),MATCH(L$6,'Input_QV Valuation'!$C$5:$Q$5,0))</f>
        <v>131192</v>
      </c>
      <c r="M76" s="191">
        <f t="shared" si="5"/>
        <v>4.3706933349594489E-2</v>
      </c>
      <c r="N76" s="18"/>
    </row>
    <row r="77" spans="2:14" x14ac:dyDescent="0.25">
      <c r="B77" s="189" t="s">
        <v>69</v>
      </c>
      <c r="C77" s="190">
        <f>INDEX(Input_Centreline!$C$5:$J$83,MATCH($B77,Input_Centreline!$C$5:$C$83,0),MATCH(C$6,Input_Centreline!$C$5:$J$5,0))</f>
        <v>4177.9000000000005</v>
      </c>
      <c r="D77" s="190">
        <f>INDEX(Input_Centreline!$C$5:$J$83,MATCH($B77,Input_Centreline!$C$5:$C$83,0),MATCH(D$6,Input_Centreline!$C$5:$J$5,0))</f>
        <v>4146.4000000000005</v>
      </c>
      <c r="E77" s="191">
        <f t="shared" si="3"/>
        <v>7.5969515724483884E-3</v>
      </c>
      <c r="F77" s="189"/>
      <c r="G77" s="192">
        <f>INDEX('Input_QV Valuation'!$C$5:$Q$83,MATCH($B77,'Input_QV Valuation'!$C$5:$C$83,0),MATCH(G$6,'Input_QV Valuation'!$C$5:$Q$5,0))</f>
        <v>53681653202.850006</v>
      </c>
      <c r="H77" s="192">
        <f>INDEX('Input_QV Valuation'!$C$5:$Q$83,MATCH($B77,'Input_QV Valuation'!$C$5:$C$83,0),MATCH(H$6,'Input_QV Valuation'!$C$5:$Q$5,0))</f>
        <v>36699880466.5</v>
      </c>
      <c r="I77" s="191">
        <f t="shared" si="4"/>
        <v>0.46272011026987214</v>
      </c>
      <c r="J77" s="189"/>
      <c r="K77" s="192">
        <f>INDEX('Input_QV Valuation'!$C$5:$Q$83,MATCH($B77,'Input_QV Valuation'!$C$5:$C$83,0),MATCH(K$6,'Input_QV Valuation'!$C$5:$Q$5,0))</f>
        <v>71072</v>
      </c>
      <c r="L77" s="192">
        <f>INDEX('Input_QV Valuation'!$C$5:$Q$83,MATCH($B77,'Input_QV Valuation'!$C$5:$C$83,0),MATCH(L$6,'Input_QV Valuation'!$C$5:$Q$5,0))</f>
        <v>69883</v>
      </c>
      <c r="M77" s="191">
        <f t="shared" si="5"/>
        <v>1.7014152225863229E-2</v>
      </c>
      <c r="N77" s="18"/>
    </row>
    <row r="78" spans="2:14" x14ac:dyDescent="0.25">
      <c r="B78" s="189" t="s">
        <v>70</v>
      </c>
      <c r="C78" s="190">
        <f>INDEX(Input_Centreline!$C$5:$J$83,MATCH($B78,Input_Centreline!$C$5:$C$83,0),MATCH(C$6,Input_Centreline!$C$5:$J$5,0))</f>
        <v>3536.6</v>
      </c>
      <c r="D78" s="190">
        <f>INDEX(Input_Centreline!$C$5:$J$83,MATCH($B78,Input_Centreline!$C$5:$C$83,0),MATCH(D$6,Input_Centreline!$C$5:$J$5,0))</f>
        <v>3500.7000000000003</v>
      </c>
      <c r="E78" s="191">
        <f t="shared" si="3"/>
        <v>1.0255091838774997E-2</v>
      </c>
      <c r="F78" s="189"/>
      <c r="G78" s="192">
        <f>INDEX('Input_QV Valuation'!$C$5:$Q$83,MATCH($B78,'Input_QV Valuation'!$C$5:$C$83,0),MATCH(G$6,'Input_QV Valuation'!$C$5:$Q$5,0))</f>
        <v>37826435697.800003</v>
      </c>
      <c r="H78" s="192">
        <f>INDEX('Input_QV Valuation'!$C$5:$Q$83,MATCH($B78,'Input_QV Valuation'!$C$5:$C$83,0),MATCH(H$6,'Input_QV Valuation'!$C$5:$Q$5,0))</f>
        <v>33305798252.5</v>
      </c>
      <c r="I78" s="191">
        <f t="shared" si="4"/>
        <v>0.13573124448265325</v>
      </c>
      <c r="J78" s="189"/>
      <c r="K78" s="192">
        <f>INDEX('Input_QV Valuation'!$C$5:$Q$83,MATCH($B78,'Input_QV Valuation'!$C$5:$C$83,0),MATCH(K$6,'Input_QV Valuation'!$C$5:$Q$5,0))</f>
        <v>54774</v>
      </c>
      <c r="L78" s="192">
        <f>INDEX('Input_QV Valuation'!$C$5:$Q$83,MATCH($B78,'Input_QV Valuation'!$C$5:$C$83,0),MATCH(L$6,'Input_QV Valuation'!$C$5:$Q$5,0))</f>
        <v>53855</v>
      </c>
      <c r="M78" s="191">
        <f t="shared" si="5"/>
        <v>1.7064339429950795E-2</v>
      </c>
      <c r="N78" s="18"/>
    </row>
    <row r="79" spans="2:14" x14ac:dyDescent="0.25">
      <c r="B79" s="189" t="s">
        <v>71</v>
      </c>
      <c r="C79" s="190">
        <f>INDEX(Input_Centreline!$C$5:$J$83,MATCH($B79,Input_Centreline!$C$5:$C$83,0),MATCH(C$6,Input_Centreline!$C$5:$J$5,0))</f>
        <v>7843.5999999999995</v>
      </c>
      <c r="D79" s="190">
        <f>INDEX(Input_Centreline!$C$5:$J$83,MATCH($B79,Input_Centreline!$C$5:$C$83,0),MATCH(D$6,Input_Centreline!$C$5:$J$5,0))</f>
        <v>7881.5999999999995</v>
      </c>
      <c r="E79" s="191">
        <f t="shared" si="3"/>
        <v>-4.8213560698335363E-3</v>
      </c>
      <c r="F79" s="189"/>
      <c r="G79" s="192">
        <f>INDEX('Input_QV Valuation'!$C$5:$Q$83,MATCH($B79,'Input_QV Valuation'!$C$5:$C$83,0),MATCH(G$6,'Input_QV Valuation'!$C$5:$Q$5,0))</f>
        <v>67267383268.339996</v>
      </c>
      <c r="H79" s="192">
        <f>INDEX('Input_QV Valuation'!$C$5:$Q$83,MATCH($B79,'Input_QV Valuation'!$C$5:$C$83,0),MATCH(H$6,'Input_QV Valuation'!$C$5:$Q$5,0))</f>
        <v>48393220381.900002</v>
      </c>
      <c r="I79" s="191">
        <f t="shared" si="4"/>
        <v>0.39001667459806616</v>
      </c>
      <c r="J79" s="189"/>
      <c r="K79" s="192">
        <f>INDEX('Input_QV Valuation'!$C$5:$Q$83,MATCH($B79,'Input_QV Valuation'!$C$5:$C$83,0),MATCH(K$6,'Input_QV Valuation'!$C$5:$Q$5,0))</f>
        <v>112215</v>
      </c>
      <c r="L79" s="192">
        <f>INDEX('Input_QV Valuation'!$C$5:$Q$83,MATCH($B79,'Input_QV Valuation'!$C$5:$C$83,0),MATCH(L$6,'Input_QV Valuation'!$C$5:$Q$5,0))</f>
        <v>111611</v>
      </c>
      <c r="M79" s="191">
        <f t="shared" si="5"/>
        <v>5.4116529732732436E-3</v>
      </c>
      <c r="N79" s="18"/>
    </row>
    <row r="80" spans="2:14" x14ac:dyDescent="0.25">
      <c r="B80" s="189" t="s">
        <v>72</v>
      </c>
      <c r="C80" s="190">
        <f>INDEX(Input_Centreline!$C$5:$J$83,MATCH($B80,Input_Centreline!$C$5:$C$83,0),MATCH(C$6,Input_Centreline!$C$5:$J$5,0))</f>
        <v>4044.7</v>
      </c>
      <c r="D80" s="190">
        <f>INDEX(Input_Centreline!$C$5:$J$83,MATCH($B80,Input_Centreline!$C$5:$C$83,0),MATCH(D$6,Input_Centreline!$C$5:$J$5,0))</f>
        <v>3965.7</v>
      </c>
      <c r="E80" s="191">
        <f t="shared" si="3"/>
        <v>1.9920821040421616E-2</v>
      </c>
      <c r="F80" s="189"/>
      <c r="G80" s="192">
        <f>INDEX('Input_QV Valuation'!$C$5:$Q$83,MATCH($B80,'Input_QV Valuation'!$C$5:$C$83,0),MATCH(G$6,'Input_QV Valuation'!$C$5:$Q$5,0))</f>
        <v>157173323124.5</v>
      </c>
      <c r="H80" s="192">
        <f>INDEX('Input_QV Valuation'!$C$5:$Q$83,MATCH($B80,'Input_QV Valuation'!$C$5:$C$83,0),MATCH(H$6,'Input_QV Valuation'!$C$5:$Q$5,0))</f>
        <v>123161568442.35001</v>
      </c>
      <c r="I80" s="191">
        <f t="shared" si="4"/>
        <v>0.27615558255959011</v>
      </c>
      <c r="J80" s="189"/>
      <c r="K80" s="192">
        <f>INDEX('Input_QV Valuation'!$C$5:$Q$83,MATCH($B80,'Input_QV Valuation'!$C$5:$C$83,0),MATCH(K$6,'Input_QV Valuation'!$C$5:$Q$5,0))</f>
        <v>203850</v>
      </c>
      <c r="L80" s="192">
        <f>INDEX('Input_QV Valuation'!$C$5:$Q$83,MATCH($B80,'Input_QV Valuation'!$C$5:$C$83,0),MATCH(L$6,'Input_QV Valuation'!$C$5:$Q$5,0))</f>
        <v>200061</v>
      </c>
      <c r="M80" s="191">
        <f t="shared" si="5"/>
        <v>1.893922353682127E-2</v>
      </c>
      <c r="N80" s="18"/>
    </row>
    <row r="81" spans="2:14" x14ac:dyDescent="0.25">
      <c r="B81" s="189" t="s">
        <v>73</v>
      </c>
      <c r="C81" s="190">
        <f>INDEX(Input_Centreline!$C$5:$J$83,MATCH($B81,Input_Centreline!$C$5:$C$83,0),MATCH(C$6,Input_Centreline!$C$5:$J$5,0))</f>
        <v>1907.5</v>
      </c>
      <c r="D81" s="190">
        <f>INDEX(Input_Centreline!$C$5:$J$83,MATCH($B81,Input_Centreline!$C$5:$C$83,0),MATCH(D$6,Input_Centreline!$C$5:$J$5,0))</f>
        <v>1883.9</v>
      </c>
      <c r="E81" s="191">
        <f t="shared" si="3"/>
        <v>1.2527204204044752E-2</v>
      </c>
      <c r="F81" s="189"/>
      <c r="G81" s="192">
        <f>INDEX('Input_QV Valuation'!$C$5:$Q$83,MATCH($B81,'Input_QV Valuation'!$C$5:$C$83,0),MATCH(G$6,'Input_QV Valuation'!$C$5:$Q$5,0))</f>
        <v>7344931296</v>
      </c>
      <c r="H81" s="192">
        <f>INDEX('Input_QV Valuation'!$C$5:$Q$83,MATCH($B81,'Input_QV Valuation'!$C$5:$C$83,0),MATCH(H$6,'Input_QV Valuation'!$C$5:$Q$5,0))</f>
        <v>7141671897.25</v>
      </c>
      <c r="I81" s="191">
        <f t="shared" si="4"/>
        <v>2.8461038489918287E-2</v>
      </c>
      <c r="J81" s="189"/>
      <c r="K81" s="192">
        <f>INDEX('Input_QV Valuation'!$C$5:$Q$83,MATCH($B81,'Input_QV Valuation'!$C$5:$C$83,0),MATCH(K$6,'Input_QV Valuation'!$C$5:$Q$5,0))</f>
        <v>22417</v>
      </c>
      <c r="L81" s="192">
        <f>INDEX('Input_QV Valuation'!$C$5:$Q$83,MATCH($B81,'Input_QV Valuation'!$C$5:$C$83,0),MATCH(L$6,'Input_QV Valuation'!$C$5:$Q$5,0))</f>
        <v>22377</v>
      </c>
      <c r="M81" s="191">
        <f t="shared" si="5"/>
        <v>1.7875497162264825E-3</v>
      </c>
      <c r="N81" s="18"/>
    </row>
    <row r="82" spans="2:14" x14ac:dyDescent="0.25">
      <c r="B82" s="189" t="s">
        <v>74</v>
      </c>
      <c r="C82" s="190">
        <f>INDEX(Input_Centreline!$C$5:$J$83,MATCH($B82,Input_Centreline!$C$5:$C$83,0),MATCH(C$6,Input_Centreline!$C$5:$J$5,0))</f>
        <v>14646.8</v>
      </c>
      <c r="D82" s="190">
        <f>INDEX(Input_Centreline!$C$5:$J$83,MATCH($B82,Input_Centreline!$C$5:$C$83,0),MATCH(D$6,Input_Centreline!$C$5:$J$5,0))</f>
        <v>14443.999999999998</v>
      </c>
      <c r="E82" s="191">
        <f t="shared" si="3"/>
        <v>1.4040432013292794E-2</v>
      </c>
      <c r="F82" s="189"/>
      <c r="G82" s="192">
        <f>INDEX('Input_QV Valuation'!$C$5:$Q$83,MATCH($B82,'Input_QV Valuation'!$C$5:$C$83,0),MATCH(G$6,'Input_QV Valuation'!$C$5:$Q$5,0))</f>
        <v>203166855876.65002</v>
      </c>
      <c r="H82" s="192">
        <f>INDEX('Input_QV Valuation'!$C$5:$Q$83,MATCH($B82,'Input_QV Valuation'!$C$5:$C$83,0),MATCH(H$6,'Input_QV Valuation'!$C$5:$Q$5,0))</f>
        <v>183520705315.5</v>
      </c>
      <c r="I82" s="191">
        <f t="shared" si="4"/>
        <v>0.10705141159617551</v>
      </c>
      <c r="J82" s="189"/>
      <c r="K82" s="192">
        <f>INDEX('Input_QV Valuation'!$C$5:$Q$83,MATCH($B82,'Input_QV Valuation'!$C$5:$C$83,0),MATCH(K$6,'Input_QV Valuation'!$C$5:$Q$5,0))</f>
        <v>283615</v>
      </c>
      <c r="L82" s="192">
        <f>INDEX('Input_QV Valuation'!$C$5:$Q$83,MATCH($B82,'Input_QV Valuation'!$C$5:$C$83,0),MATCH(L$6,'Input_QV Valuation'!$C$5:$Q$5,0))</f>
        <v>274965</v>
      </c>
      <c r="M82" s="191">
        <f t="shared" si="5"/>
        <v>3.1458549269907078E-2</v>
      </c>
      <c r="N82" s="18"/>
    </row>
    <row r="83" spans="2:14" x14ac:dyDescent="0.25">
      <c r="B83" s="189" t="s">
        <v>75</v>
      </c>
      <c r="C83" s="190">
        <f>INDEX(Input_Centreline!$C$5:$J$83,MATCH($B83,Input_Centreline!$C$5:$C$83,0),MATCH(C$6,Input_Centreline!$C$5:$J$5,0))</f>
        <v>9263.9</v>
      </c>
      <c r="D83" s="190">
        <f>INDEX(Input_Centreline!$C$5:$J$83,MATCH($B83,Input_Centreline!$C$5:$C$83,0),MATCH(D$6,Input_Centreline!$C$5:$J$5,0))</f>
        <v>9198.4000000000015</v>
      </c>
      <c r="E83" s="191">
        <f t="shared" si="3"/>
        <v>7.1208036180203261E-3</v>
      </c>
      <c r="F83" s="189"/>
      <c r="G83" s="192">
        <f>INDEX('Input_QV Valuation'!$C$5:$Q$83,MATCH($B83,'Input_QV Valuation'!$C$5:$C$83,0),MATCH(G$6,'Input_QV Valuation'!$C$5:$Q$5,0))</f>
        <v>99131073181.200012</v>
      </c>
      <c r="H83" s="192">
        <f>INDEX('Input_QV Valuation'!$C$5:$Q$83,MATCH($B83,'Input_QV Valuation'!$C$5:$C$83,0),MATCH(H$6,'Input_QV Valuation'!$C$5:$Q$5,0))</f>
        <v>74898488662.5</v>
      </c>
      <c r="I83" s="191">
        <f t="shared" si="4"/>
        <v>0.32353903198093137</v>
      </c>
      <c r="J83" s="189"/>
      <c r="K83" s="192">
        <f>INDEX('Input_QV Valuation'!$C$5:$Q$83,MATCH($B83,'Input_QV Valuation'!$C$5:$C$83,0),MATCH(K$6,'Input_QV Valuation'!$C$5:$Q$5,0))</f>
        <v>119451</v>
      </c>
      <c r="L83" s="192">
        <f>INDEX('Input_QV Valuation'!$C$5:$Q$83,MATCH($B83,'Input_QV Valuation'!$C$5:$C$83,0),MATCH(L$6,'Input_QV Valuation'!$C$5:$Q$5,0))</f>
        <v>116317</v>
      </c>
      <c r="M83" s="191">
        <f t="shared" si="5"/>
        <v>2.6943610994093727E-2</v>
      </c>
      <c r="N83" s="18"/>
    </row>
    <row r="84" spans="2:14" x14ac:dyDescent="0.25">
      <c r="B84" s="189" t="s">
        <v>76</v>
      </c>
      <c r="C84" s="190">
        <f>INDEX(Input_Centreline!$C$5:$J$83,MATCH($B84,Input_Centreline!$C$5:$C$83,0),MATCH(C$6,Input_Centreline!$C$5:$J$5,0))</f>
        <v>6458.5</v>
      </c>
      <c r="D84" s="190">
        <f>INDEX(Input_Centreline!$C$5:$J$83,MATCH($B84,Input_Centreline!$C$5:$C$83,0),MATCH(D$6,Input_Centreline!$C$5:$J$5,0))</f>
        <v>6460.0999999999995</v>
      </c>
      <c r="E84" s="191">
        <f t="shared" si="3"/>
        <v>-2.4767418461006088E-4</v>
      </c>
      <c r="F84" s="189"/>
      <c r="G84" s="192">
        <f>INDEX('Input_QV Valuation'!$C$5:$Q$83,MATCH($B84,'Input_QV Valuation'!$C$5:$C$83,0),MATCH(G$6,'Input_QV Valuation'!$C$5:$Q$5,0))</f>
        <v>37308299841</v>
      </c>
      <c r="H84" s="192">
        <f>INDEX('Input_QV Valuation'!$C$5:$Q$83,MATCH($B84,'Input_QV Valuation'!$C$5:$C$83,0),MATCH(H$6,'Input_QV Valuation'!$C$5:$Q$5,0))</f>
        <v>31261749843.959999</v>
      </c>
      <c r="I84" s="191">
        <f t="shared" si="4"/>
        <v>0.1934168761256414</v>
      </c>
      <c r="J84" s="189"/>
      <c r="K84" s="192">
        <f>INDEX('Input_QV Valuation'!$C$5:$Q$83,MATCH($B84,'Input_QV Valuation'!$C$5:$C$83,0),MATCH(K$6,'Input_QV Valuation'!$C$5:$Q$5,0))</f>
        <v>50814</v>
      </c>
      <c r="L84" s="192">
        <f>INDEX('Input_QV Valuation'!$C$5:$Q$83,MATCH($B84,'Input_QV Valuation'!$C$5:$C$83,0),MATCH(L$6,'Input_QV Valuation'!$C$5:$Q$5,0))</f>
        <v>50591</v>
      </c>
      <c r="M84" s="191">
        <f t="shared" si="5"/>
        <v>4.4078986380976853E-3</v>
      </c>
      <c r="N84" s="18"/>
    </row>
    <row r="85" spans="2:14" x14ac:dyDescent="0.25">
      <c r="I85" s="99"/>
    </row>
    <row r="86" spans="2:14" x14ac:dyDescent="0.25">
      <c r="B86" s="7" t="s">
        <v>115</v>
      </c>
      <c r="E86" s="99">
        <f>AVERAGE(E7:E84)</f>
        <v>1.1365310246973539E-2</v>
      </c>
      <c r="I86" s="99">
        <f>AVERAGE(I7:I84)</f>
        <v>0.26926754352000798</v>
      </c>
      <c r="M86" s="99">
        <f>AVERAGE(M7:M84)</f>
        <v>2.0710134064879499E-2</v>
      </c>
      <c r="N86" s="99"/>
    </row>
    <row r="87" spans="2:14" x14ac:dyDescent="0.25"/>
    <row r="88" spans="2:14" x14ac:dyDescent="0.25">
      <c r="B88" s="20" t="s">
        <v>323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</row>
    <row r="89" spans="2:14" x14ac:dyDescent="0.25"/>
    <row r="90" spans="2:14" hidden="1" x14ac:dyDescent="0.25"/>
    <row r="91" spans="2:14" hidden="1" x14ac:dyDescent="0.25"/>
    <row r="92" spans="2:14" hidden="1" x14ac:dyDescent="0.25"/>
    <row r="93" spans="2:14" hidden="1" x14ac:dyDescent="0.25"/>
    <row r="94" spans="2:14" hidden="1" x14ac:dyDescent="0.25"/>
    <row r="95" spans="2:14" hidden="1" x14ac:dyDescent="0.25"/>
    <row r="96" spans="2:14" hidden="1" x14ac:dyDescent="0.25"/>
    <row r="97" hidden="1" x14ac:dyDescent="0.25"/>
    <row r="98" hidden="1" x14ac:dyDescent="0.25"/>
    <row r="99" hidden="1" x14ac:dyDescent="0.25"/>
    <row r="100" hidden="1" x14ac:dyDescent="0.25"/>
  </sheetData>
  <pageMargins left="0.7" right="0.7" top="0.75" bottom="0.75" header="0.3" footer="0.3"/>
  <pageSetup orientation="portrait" horizontalDpi="0" verticalDpi="0" r:id="rId1"/>
  <headerFooter>
    <oddHeader>&amp;L&amp;16&amp;F&amp;R&amp;G</oddHead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FA1C2C1-CB7F-4D97-85EE-FBA446D3EF61}">
          <x14:formula1>
            <xm:f>Model_Info!$C$163:$C$165</xm:f>
          </x14:formula1>
          <xm:sqref>G6:H6</xm:sqref>
        </x14:dataValidation>
        <x14:dataValidation type="list" allowBlank="1" showInputMessage="1" showErrorMessage="1" xr:uid="{B91453C8-1BA1-426B-8307-9D1DCE6CFBE4}">
          <x14:formula1>
            <xm:f>Model_Info!$C$168:$C$170</xm:f>
          </x14:formula1>
          <xm:sqref>K6:L6</xm:sqref>
        </x14:dataValidation>
        <x14:dataValidation type="list" allowBlank="1" showInputMessage="1" showErrorMessage="1" xr:uid="{784C9055-0BB2-4B4F-B947-792B4F3D7A33}">
          <x14:formula1>
            <xm:f>Model_Info!$C$154:$C$160</xm:f>
          </x14:formula1>
          <xm:sqref>C6:D6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E1C10-CF53-4108-A86E-94AF0ED55ED1}">
  <sheetPr>
    <tabColor theme="5" tint="-0.249977111117893"/>
  </sheetPr>
  <dimension ref="A2:L199"/>
  <sheetViews>
    <sheetView showGridLines="0" zoomScaleNormal="100" workbookViewId="0">
      <selection activeCell="J178" sqref="J178"/>
    </sheetView>
  </sheetViews>
  <sheetFormatPr defaultColWidth="0" defaultRowHeight="13.2" x14ac:dyDescent="0.25"/>
  <cols>
    <col min="1" max="1" width="2.81640625" style="10" customWidth="1"/>
    <col min="2" max="2" width="4.81640625" style="10" customWidth="1"/>
    <col min="3" max="3" width="9" style="10" customWidth="1"/>
    <col min="4" max="4" width="3.1796875" style="10" customWidth="1"/>
    <col min="5" max="12" width="9" style="10" customWidth="1"/>
    <col min="13" max="16384" width="9" style="10" hidden="1"/>
  </cols>
  <sheetData>
    <row r="2" spans="2:11" x14ac:dyDescent="0.25">
      <c r="B2" s="20" t="s">
        <v>276</v>
      </c>
      <c r="C2" s="20"/>
      <c r="D2" s="29"/>
      <c r="E2" s="29"/>
      <c r="F2" s="29"/>
      <c r="G2" s="29"/>
      <c r="H2" s="29"/>
      <c r="I2" s="29"/>
      <c r="J2" s="29"/>
      <c r="K2" s="29"/>
    </row>
    <row r="3" spans="2:11" x14ac:dyDescent="0.25">
      <c r="B3" s="20" t="s">
        <v>332</v>
      </c>
      <c r="C3" s="11"/>
      <c r="D3" s="29"/>
      <c r="E3" s="29"/>
      <c r="F3" s="29"/>
      <c r="G3" s="29"/>
      <c r="H3" s="29"/>
      <c r="I3" s="29"/>
      <c r="J3" s="29"/>
      <c r="K3" s="29"/>
    </row>
    <row r="5" spans="2:11" x14ac:dyDescent="0.25">
      <c r="B5" s="174" t="s">
        <v>345</v>
      </c>
      <c r="C5" s="29"/>
      <c r="D5" s="29"/>
      <c r="E5" s="29"/>
      <c r="F5" s="29"/>
      <c r="G5" s="29"/>
      <c r="H5" s="29"/>
      <c r="I5" s="29"/>
      <c r="J5" s="29"/>
      <c r="K5" s="29"/>
    </row>
    <row r="7" spans="2:11" x14ac:dyDescent="0.25">
      <c r="B7" s="53" t="s">
        <v>346</v>
      </c>
    </row>
    <row r="8" spans="2:11" x14ac:dyDescent="0.25">
      <c r="C8" s="167"/>
      <c r="E8" s="162" t="s">
        <v>333</v>
      </c>
    </row>
    <row r="9" spans="2:11" x14ac:dyDescent="0.25">
      <c r="C9" s="169"/>
      <c r="E9" s="162" t="s">
        <v>378</v>
      </c>
    </row>
    <row r="10" spans="2:11" x14ac:dyDescent="0.25">
      <c r="C10" s="168"/>
      <c r="E10" s="162" t="s">
        <v>339</v>
      </c>
    </row>
    <row r="11" spans="2:11" x14ac:dyDescent="0.25">
      <c r="C11" s="199"/>
      <c r="E11" s="162" t="s">
        <v>377</v>
      </c>
    </row>
    <row r="12" spans="2:11" x14ac:dyDescent="0.25">
      <c r="C12" s="163"/>
      <c r="E12" s="162" t="s">
        <v>340</v>
      </c>
    </row>
    <row r="13" spans="2:11" x14ac:dyDescent="0.25">
      <c r="C13" s="164"/>
      <c r="E13" s="162" t="s">
        <v>341</v>
      </c>
    </row>
    <row r="15" spans="2:11" x14ac:dyDescent="0.25">
      <c r="B15" s="53" t="s">
        <v>347</v>
      </c>
    </row>
    <row r="16" spans="2:11" x14ac:dyDescent="0.25">
      <c r="C16" s="15">
        <v>100</v>
      </c>
      <c r="E16" s="162" t="s">
        <v>342</v>
      </c>
    </row>
    <row r="17" spans="2:11" x14ac:dyDescent="0.25">
      <c r="C17" s="172">
        <v>100</v>
      </c>
      <c r="E17" s="162" t="s">
        <v>379</v>
      </c>
    </row>
    <row r="18" spans="2:11" x14ac:dyDescent="0.25">
      <c r="C18" s="242">
        <v>0.78</v>
      </c>
      <c r="E18" s="162" t="s">
        <v>380</v>
      </c>
    </row>
    <row r="19" spans="2:11" x14ac:dyDescent="0.25">
      <c r="C19" s="173"/>
      <c r="E19" s="162" t="s">
        <v>334</v>
      </c>
    </row>
    <row r="20" spans="2:11" x14ac:dyDescent="0.25">
      <c r="C20" s="165" t="s">
        <v>336</v>
      </c>
      <c r="E20" s="162" t="s">
        <v>335</v>
      </c>
    </row>
    <row r="21" spans="2:11" x14ac:dyDescent="0.25">
      <c r="C21" s="198"/>
      <c r="E21" s="162" t="s">
        <v>361</v>
      </c>
    </row>
    <row r="22" spans="2:11" x14ac:dyDescent="0.25">
      <c r="C22" s="166" t="s">
        <v>338</v>
      </c>
      <c r="E22" s="162" t="s">
        <v>337</v>
      </c>
    </row>
    <row r="23" spans="2:11" x14ac:dyDescent="0.25">
      <c r="C23" s="195">
        <v>0.75</v>
      </c>
      <c r="E23" s="162" t="s">
        <v>343</v>
      </c>
    </row>
    <row r="24" spans="2:11" x14ac:dyDescent="0.25">
      <c r="C24" s="196">
        <v>0.56000000000000005</v>
      </c>
      <c r="E24" s="162" t="s">
        <v>344</v>
      </c>
    </row>
    <row r="25" spans="2:11" ht="14.4" x14ac:dyDescent="0.3">
      <c r="C25" s="197" t="s">
        <v>359</v>
      </c>
      <c r="E25" s="162" t="s">
        <v>360</v>
      </c>
    </row>
    <row r="27" spans="2:11" x14ac:dyDescent="0.25">
      <c r="B27" s="174" t="s">
        <v>351</v>
      </c>
      <c r="C27" s="29"/>
      <c r="D27" s="29"/>
      <c r="E27" s="29"/>
      <c r="F27" s="29"/>
      <c r="G27" s="29"/>
      <c r="H27" s="29"/>
      <c r="I27" s="29"/>
      <c r="J27" s="29"/>
      <c r="K27" s="29"/>
    </row>
    <row r="76" spans="2:11" x14ac:dyDescent="0.25">
      <c r="B76" s="174" t="s">
        <v>348</v>
      </c>
      <c r="C76" s="29"/>
      <c r="D76" s="29"/>
      <c r="E76" s="29"/>
      <c r="F76" s="29"/>
      <c r="G76" s="29"/>
      <c r="H76" s="29"/>
      <c r="I76" s="29"/>
      <c r="J76" s="29"/>
      <c r="K76" s="29"/>
    </row>
    <row r="93" spans="2:11" x14ac:dyDescent="0.25">
      <c r="B93" s="174" t="s">
        <v>349</v>
      </c>
      <c r="C93" s="29"/>
      <c r="D93" s="29"/>
      <c r="E93" s="29"/>
      <c r="F93" s="29"/>
      <c r="G93" s="29"/>
      <c r="H93" s="29"/>
      <c r="I93" s="29"/>
      <c r="J93" s="29"/>
      <c r="K93" s="29"/>
    </row>
    <row r="122" spans="2:11" x14ac:dyDescent="0.25">
      <c r="B122" s="174" t="s">
        <v>350</v>
      </c>
      <c r="C122" s="29"/>
      <c r="D122" s="29"/>
      <c r="E122" s="29"/>
      <c r="F122" s="29"/>
      <c r="G122" s="29"/>
      <c r="H122" s="29"/>
      <c r="I122" s="29"/>
      <c r="J122" s="29"/>
      <c r="K122" s="29"/>
    </row>
    <row r="144" spans="2:11" x14ac:dyDescent="0.25">
      <c r="B144" s="174" t="s">
        <v>352</v>
      </c>
      <c r="C144" s="29"/>
      <c r="D144" s="29"/>
      <c r="E144" s="29"/>
      <c r="F144" s="29"/>
      <c r="G144" s="29"/>
      <c r="H144" s="29"/>
      <c r="I144" s="29"/>
      <c r="J144" s="29"/>
      <c r="K144" s="29"/>
    </row>
    <row r="151" spans="2:11" x14ac:dyDescent="0.25">
      <c r="B151" s="174" t="s">
        <v>353</v>
      </c>
      <c r="C151" s="29"/>
      <c r="D151" s="29"/>
      <c r="E151" s="29"/>
      <c r="F151" s="29"/>
      <c r="G151" s="29"/>
      <c r="H151" s="29"/>
      <c r="I151" s="29"/>
      <c r="J151" s="29"/>
      <c r="K151" s="29"/>
    </row>
    <row r="153" spans="2:11" x14ac:dyDescent="0.25">
      <c r="C153" s="53" t="s">
        <v>354</v>
      </c>
    </row>
    <row r="154" spans="2:11" x14ac:dyDescent="0.25">
      <c r="C154" s="175" t="s">
        <v>226</v>
      </c>
    </row>
    <row r="155" spans="2:11" x14ac:dyDescent="0.25">
      <c r="C155" s="175" t="s">
        <v>227</v>
      </c>
    </row>
    <row r="156" spans="2:11" x14ac:dyDescent="0.25">
      <c r="C156" s="175" t="s">
        <v>228</v>
      </c>
    </row>
    <row r="157" spans="2:11" x14ac:dyDescent="0.25">
      <c r="C157" s="175" t="s">
        <v>229</v>
      </c>
    </row>
    <row r="158" spans="2:11" x14ac:dyDescent="0.25">
      <c r="C158" s="175" t="s">
        <v>297</v>
      </c>
    </row>
    <row r="159" spans="2:11" x14ac:dyDescent="0.25">
      <c r="C159" s="175" t="s">
        <v>298</v>
      </c>
    </row>
    <row r="160" spans="2:11" x14ac:dyDescent="0.25">
      <c r="C160" s="175" t="s">
        <v>299</v>
      </c>
    </row>
    <row r="161" spans="3:3" x14ac:dyDescent="0.25">
      <c r="C161" s="175"/>
    </row>
    <row r="162" spans="3:3" x14ac:dyDescent="0.25">
      <c r="C162" s="53" t="s">
        <v>77</v>
      </c>
    </row>
    <row r="163" spans="3:3" x14ac:dyDescent="0.25">
      <c r="C163" s="175" t="s">
        <v>202</v>
      </c>
    </row>
    <row r="164" spans="3:3" x14ac:dyDescent="0.25">
      <c r="C164" s="175" t="s">
        <v>207</v>
      </c>
    </row>
    <row r="165" spans="3:3" x14ac:dyDescent="0.25">
      <c r="C165" s="175" t="s">
        <v>305</v>
      </c>
    </row>
    <row r="166" spans="3:3" x14ac:dyDescent="0.25">
      <c r="C166" s="175"/>
    </row>
    <row r="167" spans="3:3" x14ac:dyDescent="0.25">
      <c r="C167" s="53" t="s">
        <v>355</v>
      </c>
    </row>
    <row r="168" spans="3:3" x14ac:dyDescent="0.25">
      <c r="C168" s="175" t="s">
        <v>199</v>
      </c>
    </row>
    <row r="169" spans="3:3" x14ac:dyDescent="0.25">
      <c r="C169" s="175" t="s">
        <v>204</v>
      </c>
    </row>
    <row r="170" spans="3:3" x14ac:dyDescent="0.25">
      <c r="C170" s="175" t="s">
        <v>302</v>
      </c>
    </row>
    <row r="171" spans="3:3" x14ac:dyDescent="0.25">
      <c r="C171" s="175"/>
    </row>
    <row r="172" spans="3:3" x14ac:dyDescent="0.25">
      <c r="C172" s="53" t="s">
        <v>259</v>
      </c>
    </row>
    <row r="173" spans="3:3" x14ac:dyDescent="0.25">
      <c r="C173" s="175" t="s">
        <v>260</v>
      </c>
    </row>
    <row r="174" spans="3:3" x14ac:dyDescent="0.25">
      <c r="C174" s="175" t="s">
        <v>261</v>
      </c>
    </row>
    <row r="175" spans="3:3" x14ac:dyDescent="0.25">
      <c r="C175" s="175" t="s">
        <v>262</v>
      </c>
    </row>
    <row r="176" spans="3:3" x14ac:dyDescent="0.25">
      <c r="C176" s="175" t="s">
        <v>263</v>
      </c>
    </row>
    <row r="177" spans="2:11" x14ac:dyDescent="0.25">
      <c r="C177" s="175" t="s">
        <v>225</v>
      </c>
    </row>
    <row r="178" spans="2:11" x14ac:dyDescent="0.25">
      <c r="C178" s="175" t="s">
        <v>264</v>
      </c>
    </row>
    <row r="179" spans="2:11" x14ac:dyDescent="0.25">
      <c r="C179" s="175" t="s">
        <v>265</v>
      </c>
    </row>
    <row r="180" spans="2:11" x14ac:dyDescent="0.25">
      <c r="C180" s="175"/>
    </row>
    <row r="181" spans="2:11" x14ac:dyDescent="0.25">
      <c r="C181" s="53" t="s">
        <v>356</v>
      </c>
    </row>
    <row r="182" spans="2:11" x14ac:dyDescent="0.25">
      <c r="C182" s="175" t="s">
        <v>300</v>
      </c>
    </row>
    <row r="183" spans="2:11" x14ac:dyDescent="0.25">
      <c r="C183" s="175" t="s">
        <v>301</v>
      </c>
    </row>
    <row r="184" spans="2:11" x14ac:dyDescent="0.25">
      <c r="C184" s="28"/>
    </row>
    <row r="185" spans="2:11" x14ac:dyDescent="0.25">
      <c r="C185" s="53" t="s">
        <v>357</v>
      </c>
    </row>
    <row r="186" spans="2:11" x14ac:dyDescent="0.25">
      <c r="C186" s="175" t="s">
        <v>362</v>
      </c>
    </row>
    <row r="187" spans="2:11" x14ac:dyDescent="0.25">
      <c r="C187" s="175" t="s">
        <v>363</v>
      </c>
    </row>
    <row r="188" spans="2:11" x14ac:dyDescent="0.25">
      <c r="C188" s="175" t="s">
        <v>368</v>
      </c>
    </row>
    <row r="189" spans="2:11" x14ac:dyDescent="0.25">
      <c r="C189" s="175"/>
    </row>
    <row r="190" spans="2:11" x14ac:dyDescent="0.25">
      <c r="B190" s="174" t="s">
        <v>382</v>
      </c>
      <c r="C190" s="29"/>
      <c r="D190" s="29"/>
      <c r="E190" s="29"/>
      <c r="F190" s="29"/>
      <c r="G190" s="29"/>
      <c r="H190" s="29"/>
      <c r="I190" s="29"/>
      <c r="J190" s="29"/>
      <c r="K190" s="29"/>
    </row>
    <row r="191" spans="2:11" x14ac:dyDescent="0.25">
      <c r="C191" s="175"/>
    </row>
    <row r="192" spans="2:11" x14ac:dyDescent="0.25">
      <c r="C192" s="175" t="s">
        <v>383</v>
      </c>
    </row>
    <row r="193" spans="2:11" x14ac:dyDescent="0.25">
      <c r="C193" s="175" t="s">
        <v>384</v>
      </c>
    </row>
    <row r="194" spans="2:11" x14ac:dyDescent="0.25">
      <c r="C194" s="175" t="s">
        <v>385</v>
      </c>
    </row>
    <row r="195" spans="2:11" x14ac:dyDescent="0.25">
      <c r="C195" s="175" t="s">
        <v>386</v>
      </c>
    </row>
    <row r="196" spans="2:11" x14ac:dyDescent="0.25">
      <c r="C196" s="175" t="s">
        <v>387</v>
      </c>
    </row>
    <row r="199" spans="2:11" x14ac:dyDescent="0.25">
      <c r="B199" s="174" t="s">
        <v>323</v>
      </c>
      <c r="C199" s="29"/>
      <c r="D199" s="29"/>
      <c r="E199" s="29"/>
      <c r="F199" s="29"/>
      <c r="G199" s="29"/>
      <c r="H199" s="29"/>
      <c r="I199" s="29"/>
      <c r="J199" s="29"/>
      <c r="K199" s="29"/>
    </row>
  </sheetData>
  <pageMargins left="0.7" right="0.7" top="0.75" bottom="0.75" header="0.3" footer="0.3"/>
  <pageSetup orientation="portrait" horizontalDpi="0" verticalDpi="0" r:id="rId1"/>
  <headerFooter>
    <oddHeader>&amp;L&amp;16&amp;F&amp;R&amp;G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C1D94-29C0-4B96-AAD1-2BFC5D6505EC}">
  <sheetPr>
    <tabColor theme="7" tint="-0.249977111117893"/>
  </sheetPr>
  <dimension ref="A1:K86"/>
  <sheetViews>
    <sheetView showGridLines="0" zoomScale="87" zoomScaleNormal="87" workbookViewId="0">
      <selection activeCell="E19" sqref="E19"/>
    </sheetView>
  </sheetViews>
  <sheetFormatPr defaultColWidth="0" defaultRowHeight="13.2" zeroHeight="1" x14ac:dyDescent="0.25"/>
  <cols>
    <col min="1" max="1" width="3.81640625" style="10" customWidth="1"/>
    <col min="2" max="2" width="8.90625" style="45" customWidth="1"/>
    <col min="3" max="3" width="28.6328125" style="7" customWidth="1"/>
    <col min="4" max="7" width="13.90625" style="7" customWidth="1"/>
    <col min="8" max="10" width="13.90625" style="10" customWidth="1"/>
    <col min="11" max="11" width="8.90625" style="10" customWidth="1"/>
    <col min="12" max="16384" width="8.90625" style="10" hidden="1"/>
  </cols>
  <sheetData>
    <row r="1" spans="2:10" x14ac:dyDescent="0.25"/>
    <row r="2" spans="2:10" x14ac:dyDescent="0.25">
      <c r="B2" s="20" t="s">
        <v>276</v>
      </c>
      <c r="C2" s="20"/>
      <c r="D2" s="20"/>
      <c r="E2" s="20"/>
      <c r="F2" s="20"/>
      <c r="G2" s="20"/>
      <c r="H2" s="20"/>
      <c r="I2" s="20"/>
      <c r="J2" s="20"/>
    </row>
    <row r="3" spans="2:10" x14ac:dyDescent="0.25">
      <c r="B3" s="20" t="s">
        <v>326</v>
      </c>
      <c r="C3" s="11"/>
      <c r="D3" s="11"/>
      <c r="E3" s="11"/>
      <c r="F3" s="11"/>
      <c r="G3" s="11"/>
      <c r="H3" s="20"/>
      <c r="I3" s="11"/>
      <c r="J3" s="11"/>
    </row>
    <row r="4" spans="2:10" x14ac:dyDescent="0.25">
      <c r="B4" s="33"/>
      <c r="C4" s="9"/>
      <c r="D4" s="34"/>
      <c r="E4" s="34"/>
      <c r="F4" s="34"/>
      <c r="G4" s="34"/>
    </row>
    <row r="5" spans="2:10" ht="29.4" customHeight="1" x14ac:dyDescent="0.25">
      <c r="B5" s="12" t="s">
        <v>127</v>
      </c>
      <c r="C5" s="35" t="s">
        <v>217</v>
      </c>
      <c r="D5" s="36" t="s">
        <v>226</v>
      </c>
      <c r="E5" s="36" t="s">
        <v>227</v>
      </c>
      <c r="F5" s="36" t="s">
        <v>228</v>
      </c>
      <c r="G5" s="36" t="s">
        <v>229</v>
      </c>
      <c r="H5" s="36" t="s">
        <v>297</v>
      </c>
      <c r="I5" s="36" t="s">
        <v>298</v>
      </c>
      <c r="J5" s="36" t="s">
        <v>299</v>
      </c>
    </row>
    <row r="6" spans="2:10" x14ac:dyDescent="0.25">
      <c r="B6" s="14">
        <f>INDEX(Table_Mapping!$B$5:$D$83,MATCH(C6,Table_Mapping!$C$5:$C$83,0),MATCH(B$5,Table_Mapping!$B$5:$D$5,0))</f>
        <v>91</v>
      </c>
      <c r="C6" s="170" t="s">
        <v>46</v>
      </c>
      <c r="D6" s="37">
        <v>2659.8999999999996</v>
      </c>
      <c r="E6" s="37">
        <v>2669.3</v>
      </c>
      <c r="F6" s="37">
        <v>2646.1</v>
      </c>
      <c r="G6" s="38">
        <v>2617.6999999999998</v>
      </c>
      <c r="H6" s="38">
        <v>2619.9</v>
      </c>
      <c r="I6" s="38">
        <v>2615.3999999999996</v>
      </c>
      <c r="J6" s="38">
        <v>2612.6999999999998</v>
      </c>
    </row>
    <row r="7" spans="2:10" x14ac:dyDescent="0.25">
      <c r="B7" s="14">
        <f>INDEX(Table_Mapping!$B$5:$D$83,MATCH(C7,Table_Mapping!$C$5:$C$83,0),MATCH(B$5,Table_Mapping!$B$5:$D$5,0))</f>
        <v>4</v>
      </c>
      <c r="C7" s="159" t="s">
        <v>3</v>
      </c>
      <c r="D7" s="39">
        <v>7221.1</v>
      </c>
      <c r="E7" s="39">
        <v>7289.7</v>
      </c>
      <c r="F7" s="39">
        <v>7418.2999999999993</v>
      </c>
      <c r="G7" s="40">
        <v>7344.2</v>
      </c>
      <c r="H7" s="40">
        <v>7446.3</v>
      </c>
      <c r="I7" s="40">
        <v>7473.7000000000007</v>
      </c>
      <c r="J7" s="40">
        <v>7550.3</v>
      </c>
    </row>
    <row r="8" spans="2:10" x14ac:dyDescent="0.25">
      <c r="B8" s="14">
        <f>INDEX(Table_Mapping!$B$5:$D$83,MATCH(C8,Table_Mapping!$C$5:$C$83,0),MATCH(B$5,Table_Mapping!$B$5:$D$5,0))</f>
        <v>90</v>
      </c>
      <c r="C8" s="159" t="s">
        <v>54</v>
      </c>
      <c r="D8" s="39">
        <v>601.30000000000007</v>
      </c>
      <c r="E8" s="39">
        <v>604.80000000000007</v>
      </c>
      <c r="F8" s="39">
        <v>604.80000000000007</v>
      </c>
      <c r="G8" s="40">
        <v>604.80000000000007</v>
      </c>
      <c r="H8" s="40">
        <v>604.80000000000007</v>
      </c>
      <c r="I8" s="40">
        <v>604.80000000000007</v>
      </c>
      <c r="J8" s="40">
        <v>604.80000000000007</v>
      </c>
    </row>
    <row r="9" spans="2:10" x14ac:dyDescent="0.25">
      <c r="B9" s="14">
        <f>INDEX(Table_Mapping!$B$5:$D$83,MATCH(C9,Table_Mapping!$C$5:$C$83,0),MATCH(B$5,Table_Mapping!$B$5:$D$5,0))</f>
        <v>89</v>
      </c>
      <c r="C9" s="159" t="s">
        <v>34</v>
      </c>
      <c r="D9" s="39">
        <v>443.3</v>
      </c>
      <c r="E9" s="39">
        <v>444.8</v>
      </c>
      <c r="F9" s="39">
        <v>446</v>
      </c>
      <c r="G9" s="40">
        <v>447.4</v>
      </c>
      <c r="H9" s="40">
        <v>447.1</v>
      </c>
      <c r="I9" s="40">
        <v>447.8</v>
      </c>
      <c r="J9" s="40">
        <v>468.40000000000003</v>
      </c>
    </row>
    <row r="10" spans="2:10" x14ac:dyDescent="0.25">
      <c r="B10" s="14">
        <f>INDEX(Table_Mapping!$B$5:$D$83,MATCH(C10,Table_Mapping!$C$5:$C$83,0),MATCH(B$5,Table_Mapping!$B$5:$D$5,0))</f>
        <v>86</v>
      </c>
      <c r="C10" s="159" t="s">
        <v>20</v>
      </c>
      <c r="D10" s="39">
        <v>1263.1000000000001</v>
      </c>
      <c r="E10" s="39">
        <v>1263.1000000000001</v>
      </c>
      <c r="F10" s="39">
        <v>1252.5</v>
      </c>
      <c r="G10" s="40">
        <v>1252.5</v>
      </c>
      <c r="H10" s="40">
        <v>1252.5</v>
      </c>
      <c r="I10" s="40">
        <v>1252.8</v>
      </c>
      <c r="J10" s="40">
        <v>1265.5</v>
      </c>
    </row>
    <row r="11" spans="2:10" x14ac:dyDescent="0.25">
      <c r="B11" s="14">
        <f>INDEX(Table_Mapping!$B$5:$D$83,MATCH(C11,Table_Mapping!$C$5:$C$83,0),MATCH(B$5,Table_Mapping!$B$5:$D$5,0))</f>
        <v>93</v>
      </c>
      <c r="C11" s="159" t="s">
        <v>57</v>
      </c>
      <c r="D11" s="39">
        <v>1884.6</v>
      </c>
      <c r="E11" s="39">
        <v>1886.6</v>
      </c>
      <c r="F11" s="39">
        <v>1890.8999999999999</v>
      </c>
      <c r="G11" s="40">
        <v>1893.3000000000002</v>
      </c>
      <c r="H11" s="40">
        <v>1897.2</v>
      </c>
      <c r="I11" s="40">
        <v>1897.3999999999999</v>
      </c>
      <c r="J11" s="40">
        <v>1928.1999999999998</v>
      </c>
    </row>
    <row r="12" spans="2:10" x14ac:dyDescent="0.25">
      <c r="B12" s="14">
        <f>INDEX(Table_Mapping!$B$5:$D$83,MATCH(C12,Table_Mapping!$C$5:$C$83,0),MATCH(B$5,Table_Mapping!$B$5:$D$5,0))</f>
        <v>74</v>
      </c>
      <c r="C12" s="159" t="s">
        <v>219</v>
      </c>
      <c r="D12" s="39">
        <v>178.79999999999998</v>
      </c>
      <c r="E12" s="39">
        <v>178.9</v>
      </c>
      <c r="F12" s="39">
        <v>178.9</v>
      </c>
      <c r="G12" s="40">
        <v>178.9</v>
      </c>
      <c r="H12" s="40">
        <v>178.9</v>
      </c>
      <c r="I12" s="40">
        <v>178.4</v>
      </c>
      <c r="J12" s="40">
        <v>178.4</v>
      </c>
    </row>
    <row r="13" spans="2:10" x14ac:dyDescent="0.25">
      <c r="B13" s="14">
        <f>INDEX(Table_Mapping!$B$5:$D$83,MATCH(C13,Table_Mapping!$C$5:$C$83,0),MATCH(B$5,Table_Mapping!$B$5:$D$5,0))</f>
        <v>91</v>
      </c>
      <c r="C13" s="159" t="s">
        <v>47</v>
      </c>
      <c r="D13" s="39">
        <v>2332.4</v>
      </c>
      <c r="E13" s="39">
        <v>2341.8000000000002</v>
      </c>
      <c r="F13" s="39">
        <v>2360</v>
      </c>
      <c r="G13" s="40">
        <v>2379.3000000000002</v>
      </c>
      <c r="H13" s="40">
        <v>2392.8999999999996</v>
      </c>
      <c r="I13" s="40">
        <v>2400.3000000000002</v>
      </c>
      <c r="J13" s="40">
        <v>2408.5</v>
      </c>
    </row>
    <row r="14" spans="2:10" x14ac:dyDescent="0.25">
      <c r="B14" s="14">
        <f>INDEX(Table_Mapping!$B$5:$D$83,MATCH(C14,Table_Mapping!$C$5:$C$83,0),MATCH(B$5,Table_Mapping!$B$5:$D$5,0))</f>
        <v>93</v>
      </c>
      <c r="C14" s="159" t="s">
        <v>58</v>
      </c>
      <c r="D14" s="39">
        <v>2918.6000000000004</v>
      </c>
      <c r="E14" s="39">
        <v>2917.2</v>
      </c>
      <c r="F14" s="39">
        <v>2897.8</v>
      </c>
      <c r="G14" s="40">
        <v>2897.8</v>
      </c>
      <c r="H14" s="40">
        <v>2897.9</v>
      </c>
      <c r="I14" s="40">
        <v>2898.8</v>
      </c>
      <c r="J14" s="40">
        <v>2898.7000000000003</v>
      </c>
    </row>
    <row r="15" spans="2:10" x14ac:dyDescent="0.25">
      <c r="B15" s="14">
        <f>INDEX(Table_Mapping!$B$5:$D$83,MATCH(C15,Table_Mapping!$C$5:$C$83,0),MATCH(B$5,Table_Mapping!$B$5:$D$5,0))</f>
        <v>93</v>
      </c>
      <c r="C15" s="159" t="s">
        <v>59</v>
      </c>
      <c r="D15" s="39">
        <v>1767.8</v>
      </c>
      <c r="E15" s="39">
        <v>1762.4</v>
      </c>
      <c r="F15" s="39">
        <v>1759.6</v>
      </c>
      <c r="G15" s="40">
        <v>1764.2</v>
      </c>
      <c r="H15" s="40">
        <v>1764.3</v>
      </c>
      <c r="I15" s="40">
        <v>1765.6000000000001</v>
      </c>
      <c r="J15" s="40">
        <v>1766.9</v>
      </c>
    </row>
    <row r="16" spans="2:10" x14ac:dyDescent="0.25">
      <c r="B16" s="14">
        <f>INDEX(Table_Mapping!$B$5:$D$83,MATCH(C16,Table_Mapping!$C$5:$C$83,0),MATCH(B$5,Table_Mapping!$B$5:$D$5,0))</f>
        <v>81</v>
      </c>
      <c r="C16" s="159" t="s">
        <v>0</v>
      </c>
      <c r="D16" s="39">
        <v>2544.5</v>
      </c>
      <c r="E16" s="39">
        <v>2542.4</v>
      </c>
      <c r="F16" s="39">
        <v>2547</v>
      </c>
      <c r="G16" s="40">
        <v>2544</v>
      </c>
      <c r="H16" s="40">
        <v>2507.1999999999998</v>
      </c>
      <c r="I16" s="40">
        <v>2509</v>
      </c>
      <c r="J16" s="40">
        <v>2508.2999999999997</v>
      </c>
    </row>
    <row r="17" spans="2:10" x14ac:dyDescent="0.25">
      <c r="B17" s="14">
        <f>INDEX(Table_Mapping!$B$5:$D$83,MATCH(C17,Table_Mapping!$C$5:$C$83,0),MATCH(B$5,Table_Mapping!$B$5:$D$5,0))</f>
        <v>27</v>
      </c>
      <c r="C17" s="159" t="s">
        <v>19</v>
      </c>
      <c r="D17" s="39">
        <v>1892.6</v>
      </c>
      <c r="E17" s="39">
        <v>1894</v>
      </c>
      <c r="F17" s="39">
        <v>1894.3</v>
      </c>
      <c r="G17" s="40">
        <v>1896.7</v>
      </c>
      <c r="H17" s="40">
        <v>1889.3999999999999</v>
      </c>
      <c r="I17" s="40">
        <v>1888.3999999999999</v>
      </c>
      <c r="J17" s="40">
        <v>1867</v>
      </c>
    </row>
    <row r="18" spans="2:10" x14ac:dyDescent="0.25">
      <c r="B18" s="14">
        <f>INDEX(Table_Mapping!$B$5:$D$83,MATCH(C18,Table_Mapping!$C$5:$C$83,0),MATCH(B$5,Table_Mapping!$B$5:$D$5,0))</f>
        <v>94</v>
      </c>
      <c r="C18" s="159" t="s">
        <v>62</v>
      </c>
      <c r="D18" s="39">
        <v>894</v>
      </c>
      <c r="E18" s="39">
        <v>894</v>
      </c>
      <c r="F18" s="39">
        <v>894</v>
      </c>
      <c r="G18" s="40">
        <v>904</v>
      </c>
      <c r="H18" s="40">
        <v>904</v>
      </c>
      <c r="I18" s="40">
        <v>904</v>
      </c>
      <c r="J18" s="40">
        <v>904</v>
      </c>
    </row>
    <row r="19" spans="2:10" x14ac:dyDescent="0.25">
      <c r="B19" s="14">
        <f>INDEX(Table_Mapping!$B$5:$D$83,MATCH(C19,Table_Mapping!$C$5:$C$83,0),MATCH(B$5,Table_Mapping!$B$5:$D$5,0))</f>
        <v>90</v>
      </c>
      <c r="C19" s="159" t="s">
        <v>55</v>
      </c>
      <c r="D19" s="39">
        <v>609.20000000000005</v>
      </c>
      <c r="E19" s="39">
        <v>609.20000000000005</v>
      </c>
      <c r="F19" s="39">
        <v>609.20000000000005</v>
      </c>
      <c r="G19" s="40">
        <v>609.20000000000005</v>
      </c>
      <c r="H19" s="40">
        <v>609.20000000000005</v>
      </c>
      <c r="I19" s="40">
        <v>628.70000000000005</v>
      </c>
      <c r="J19" s="40">
        <v>611.70000000000005</v>
      </c>
    </row>
    <row r="20" spans="2:10" x14ac:dyDescent="0.25">
      <c r="B20" s="14">
        <f>INDEX(Table_Mapping!$B$5:$D$83,MATCH(C20,Table_Mapping!$C$5:$C$83,0),MATCH(B$5,Table_Mapping!$B$5:$D$5,0))</f>
        <v>83</v>
      </c>
      <c r="C20" s="159" t="s">
        <v>4</v>
      </c>
      <c r="D20" s="39">
        <v>636.09999999999991</v>
      </c>
      <c r="E20" s="39">
        <v>642.70000000000005</v>
      </c>
      <c r="F20" s="39">
        <v>659.5</v>
      </c>
      <c r="G20" s="40">
        <v>662.6</v>
      </c>
      <c r="H20" s="40">
        <v>676.8</v>
      </c>
      <c r="I20" s="40">
        <v>679.2</v>
      </c>
      <c r="J20" s="40">
        <v>683.59999999999991</v>
      </c>
    </row>
    <row r="21" spans="2:10" x14ac:dyDescent="0.25">
      <c r="B21" s="14">
        <f>INDEX(Table_Mapping!$B$5:$D$83,MATCH(C21,Table_Mapping!$C$5:$C$83,0),MATCH(B$5,Table_Mapping!$B$5:$D$5,0))</f>
        <v>86</v>
      </c>
      <c r="C21" s="159" t="s">
        <v>21</v>
      </c>
      <c r="D21" s="39">
        <v>1629.3</v>
      </c>
      <c r="E21" s="39">
        <v>1635.5</v>
      </c>
      <c r="F21" s="39">
        <v>1637.7</v>
      </c>
      <c r="G21" s="40">
        <v>1639.3000000000002</v>
      </c>
      <c r="H21" s="40">
        <v>1639.8</v>
      </c>
      <c r="I21" s="40">
        <v>1639.4</v>
      </c>
      <c r="J21" s="40">
        <v>1646.5</v>
      </c>
    </row>
    <row r="22" spans="2:10" x14ac:dyDescent="0.25">
      <c r="B22" s="14">
        <f>INDEX(Table_Mapping!$B$5:$D$83,MATCH(C22,Table_Mapping!$C$5:$C$83,0),MATCH(B$5,Table_Mapping!$B$5:$D$5,0))</f>
        <v>83</v>
      </c>
      <c r="C22" s="159" t="s">
        <v>5</v>
      </c>
      <c r="D22" s="39">
        <v>642.9</v>
      </c>
      <c r="E22" s="39">
        <v>643.79999999999995</v>
      </c>
      <c r="F22" s="39">
        <v>632.4</v>
      </c>
      <c r="G22" s="40">
        <v>634.4</v>
      </c>
      <c r="H22" s="40">
        <v>634.9</v>
      </c>
      <c r="I22" s="40">
        <v>634.9</v>
      </c>
      <c r="J22" s="40">
        <v>631.9</v>
      </c>
    </row>
    <row r="23" spans="2:10" x14ac:dyDescent="0.25">
      <c r="B23" s="14">
        <f>INDEX(Table_Mapping!$B$5:$D$83,MATCH(C23,Table_Mapping!$C$5:$C$83,0),MATCH(B$5,Table_Mapping!$B$5:$D$5,0))</f>
        <v>88</v>
      </c>
      <c r="C23" s="159" t="s">
        <v>27</v>
      </c>
      <c r="D23" s="39">
        <v>579.90000000000009</v>
      </c>
      <c r="E23" s="39">
        <v>576.5</v>
      </c>
      <c r="F23" s="39">
        <v>576.5</v>
      </c>
      <c r="G23" s="40">
        <v>576.5</v>
      </c>
      <c r="H23" s="40">
        <v>576.5</v>
      </c>
      <c r="I23" s="40">
        <v>581.1</v>
      </c>
      <c r="J23" s="40">
        <v>580.6</v>
      </c>
    </row>
    <row r="24" spans="2:10" x14ac:dyDescent="0.25">
      <c r="B24" s="14">
        <f>INDEX(Table_Mapping!$B$5:$D$83,MATCH(C24,Table_Mapping!$C$5:$C$83,0),MATCH(B$5,Table_Mapping!$B$5:$D$5,0))</f>
        <v>91</v>
      </c>
      <c r="C24" s="159" t="s">
        <v>48</v>
      </c>
      <c r="D24" s="39">
        <v>1456.6999999999998</v>
      </c>
      <c r="E24" s="39">
        <v>1456.6999999999998</v>
      </c>
      <c r="F24" s="39">
        <v>1458.3999999999999</v>
      </c>
      <c r="G24" s="40">
        <v>1460.6999999999998</v>
      </c>
      <c r="H24" s="40">
        <v>1459.9</v>
      </c>
      <c r="I24" s="40">
        <v>1459.9</v>
      </c>
      <c r="J24" s="40">
        <v>1459.9</v>
      </c>
    </row>
    <row r="25" spans="2:10" x14ac:dyDescent="0.25">
      <c r="B25" s="14">
        <f>INDEX(Table_Mapping!$B$5:$D$83,MATCH(C25,Table_Mapping!$C$5:$C$83,0),MATCH(B$5,Table_Mapping!$B$5:$D$5,0))</f>
        <v>89</v>
      </c>
      <c r="C25" s="159" t="s">
        <v>220</v>
      </c>
      <c r="D25" s="39">
        <v>481</v>
      </c>
      <c r="E25" s="39">
        <v>481.09999999999997</v>
      </c>
      <c r="F25" s="39">
        <v>482.5</v>
      </c>
      <c r="G25" s="40">
        <v>483.5</v>
      </c>
      <c r="H25" s="40">
        <v>484.8</v>
      </c>
      <c r="I25" s="40">
        <v>485.2</v>
      </c>
      <c r="J25" s="40">
        <v>485.2</v>
      </c>
    </row>
    <row r="26" spans="2:10" x14ac:dyDescent="0.25">
      <c r="B26" s="14">
        <f>INDEX(Table_Mapping!$B$5:$D$83,MATCH(C26,Table_Mapping!$C$5:$C$83,0),MATCH(B$5,Table_Mapping!$B$5:$D$5,0))</f>
        <v>94</v>
      </c>
      <c r="C26" s="159" t="s">
        <v>63</v>
      </c>
      <c r="D26" s="39">
        <v>597.20000000000005</v>
      </c>
      <c r="E26" s="39">
        <v>596.6</v>
      </c>
      <c r="F26" s="39">
        <v>596.59999999999991</v>
      </c>
      <c r="G26" s="40">
        <v>597</v>
      </c>
      <c r="H26" s="40">
        <v>583.9</v>
      </c>
      <c r="I26" s="40">
        <v>583.9</v>
      </c>
      <c r="J26" s="40">
        <v>583.4</v>
      </c>
    </row>
    <row r="27" spans="2:10" x14ac:dyDescent="0.25">
      <c r="B27" s="14">
        <f>INDEX(Table_Mapping!$B$5:$D$83,MATCH(C27,Table_Mapping!$C$5:$C$83,0),MATCH(B$5,Table_Mapping!$B$5:$D$5,0))</f>
        <v>91</v>
      </c>
      <c r="C27" s="159" t="s">
        <v>42</v>
      </c>
      <c r="D27" s="39">
        <v>204.7</v>
      </c>
      <c r="E27" s="39">
        <v>208.1</v>
      </c>
      <c r="F27" s="39">
        <v>208.1</v>
      </c>
      <c r="G27" s="40">
        <v>208.1</v>
      </c>
      <c r="H27" s="40">
        <v>211.9</v>
      </c>
      <c r="I27" s="40">
        <v>184.5</v>
      </c>
      <c r="J27" s="40">
        <v>184.5</v>
      </c>
    </row>
    <row r="28" spans="2:10" x14ac:dyDescent="0.25">
      <c r="B28" s="14">
        <f>INDEX(Table_Mapping!$B$5:$D$83,MATCH(C28,Table_Mapping!$C$5:$C$83,0),MATCH(B$5,Table_Mapping!$B$5:$D$5,0))</f>
        <v>81</v>
      </c>
      <c r="C28" s="159" t="s">
        <v>1</v>
      </c>
      <c r="D28" s="39">
        <v>1567.1</v>
      </c>
      <c r="E28" s="39">
        <v>1571.2</v>
      </c>
      <c r="F28" s="39">
        <v>1572.1000000000001</v>
      </c>
      <c r="G28" s="40">
        <v>1572.8999999999999</v>
      </c>
      <c r="H28" s="40">
        <v>1564.4</v>
      </c>
      <c r="I28" s="40">
        <v>1570.1999999999998</v>
      </c>
      <c r="J28" s="40">
        <v>1572.1</v>
      </c>
    </row>
    <row r="29" spans="2:10" x14ac:dyDescent="0.25">
      <c r="B29" s="14">
        <f>INDEX(Table_Mapping!$B$5:$D$83,MATCH(C29,Table_Mapping!$C$5:$C$83,0),MATCH(B$5,Table_Mapping!$B$5:$D$5,0))</f>
        <v>89</v>
      </c>
      <c r="C29" s="159" t="s">
        <v>35</v>
      </c>
      <c r="D29" s="39">
        <v>397</v>
      </c>
      <c r="E29" s="39">
        <v>402.70000000000005</v>
      </c>
      <c r="F29" s="39">
        <v>404.6</v>
      </c>
      <c r="G29" s="40">
        <v>407.8</v>
      </c>
      <c r="H29" s="40">
        <v>412.4</v>
      </c>
      <c r="I29" s="40">
        <v>414.1</v>
      </c>
      <c r="J29" s="40">
        <v>414.9</v>
      </c>
    </row>
    <row r="30" spans="2:10" x14ac:dyDescent="0.25">
      <c r="B30" s="14">
        <f>INDEX(Table_Mapping!$B$5:$D$83,MATCH(C30,Table_Mapping!$C$5:$C$83,0),MATCH(B$5,Table_Mapping!$B$5:$D$5,0))</f>
        <v>84</v>
      </c>
      <c r="C30" s="159" t="s">
        <v>14</v>
      </c>
      <c r="D30" s="39">
        <v>39.6</v>
      </c>
      <c r="E30" s="39">
        <v>39.6</v>
      </c>
      <c r="F30" s="39">
        <v>39.6</v>
      </c>
      <c r="G30" s="40">
        <v>39.6</v>
      </c>
      <c r="H30" s="40">
        <v>39.6</v>
      </c>
      <c r="I30" s="40">
        <v>39.6</v>
      </c>
      <c r="J30" s="40">
        <v>41</v>
      </c>
    </row>
    <row r="31" spans="2:10" x14ac:dyDescent="0.25">
      <c r="B31" s="14">
        <f>INDEX(Table_Mapping!$B$5:$D$83,MATCH(C31,Table_Mapping!$C$5:$C$83,0),MATCH(B$5,Table_Mapping!$B$5:$D$5,0))</f>
        <v>91</v>
      </c>
      <c r="C31" s="159" t="s">
        <v>218</v>
      </c>
      <c r="D31" s="39">
        <v>713</v>
      </c>
      <c r="E31" s="39">
        <v>713.8</v>
      </c>
      <c r="F31" s="39">
        <v>717</v>
      </c>
      <c r="G31" s="40">
        <v>727.4</v>
      </c>
      <c r="H31" s="40">
        <v>732.2</v>
      </c>
      <c r="I31" s="40">
        <v>734.1</v>
      </c>
      <c r="J31" s="40">
        <v>739.9</v>
      </c>
    </row>
    <row r="32" spans="2:10" x14ac:dyDescent="0.25">
      <c r="B32" s="14">
        <f>INDEX(Table_Mapping!$B$5:$D$83,MATCH(C32,Table_Mapping!$C$5:$C$83,0),MATCH(B$5,Table_Mapping!$B$5:$D$5,0))</f>
        <v>88</v>
      </c>
      <c r="C32" s="159" t="s">
        <v>28</v>
      </c>
      <c r="D32" s="39">
        <v>1359.4</v>
      </c>
      <c r="E32" s="39">
        <v>1364.5</v>
      </c>
      <c r="F32" s="39">
        <v>1364.5</v>
      </c>
      <c r="G32" s="40">
        <v>1369.6000000000001</v>
      </c>
      <c r="H32" s="40">
        <v>1369.6</v>
      </c>
      <c r="I32" s="40">
        <v>1370.4</v>
      </c>
      <c r="J32" s="40">
        <v>1371.9</v>
      </c>
    </row>
    <row r="33" spans="2:10" x14ac:dyDescent="0.25">
      <c r="B33" s="14">
        <f>INDEX(Table_Mapping!$B$5:$D$83,MATCH(C33,Table_Mapping!$C$5:$C$83,0),MATCH(B$5,Table_Mapping!$B$5:$D$5,0))</f>
        <v>51</v>
      </c>
      <c r="C33" s="159" t="s">
        <v>43</v>
      </c>
      <c r="D33" s="39">
        <v>1531.6000000000001</v>
      </c>
      <c r="E33" s="39">
        <v>1529.5</v>
      </c>
      <c r="F33" s="39">
        <v>1535</v>
      </c>
      <c r="G33" s="40">
        <v>1535.2</v>
      </c>
      <c r="H33" s="40">
        <v>1547.3</v>
      </c>
      <c r="I33" s="40">
        <v>1531.6</v>
      </c>
      <c r="J33" s="40">
        <v>1549.1000000000001</v>
      </c>
    </row>
    <row r="34" spans="2:10" x14ac:dyDescent="0.25">
      <c r="B34" s="14">
        <f>INDEX(Table_Mapping!$B$5:$D$83,MATCH(C34,Table_Mapping!$C$5:$C$83,0),MATCH(B$5,Table_Mapping!$B$5:$D$5,0))</f>
        <v>89</v>
      </c>
      <c r="C34" s="159" t="s">
        <v>37</v>
      </c>
      <c r="D34" s="39">
        <v>803.4</v>
      </c>
      <c r="E34" s="39">
        <v>804.1</v>
      </c>
      <c r="F34" s="39">
        <v>804.2</v>
      </c>
      <c r="G34" s="40">
        <v>804.2</v>
      </c>
      <c r="H34" s="40">
        <v>804.7</v>
      </c>
      <c r="I34" s="40">
        <v>805.80000000000007</v>
      </c>
      <c r="J34" s="40">
        <v>807.30000000000007</v>
      </c>
    </row>
    <row r="35" spans="2:10" x14ac:dyDescent="0.25">
      <c r="B35" s="14">
        <f>INDEX(Table_Mapping!$B$5:$D$83,MATCH(C35,Table_Mapping!$C$5:$C$83,0),MATCH(B$5,Table_Mapping!$B$5:$D$5,0))</f>
        <v>83</v>
      </c>
      <c r="C35" s="159" t="s">
        <v>6</v>
      </c>
      <c r="D35" s="39">
        <v>995.7</v>
      </c>
      <c r="E35" s="39">
        <v>996</v>
      </c>
      <c r="F35" s="39">
        <v>997.8</v>
      </c>
      <c r="G35" s="40">
        <v>997.8</v>
      </c>
      <c r="H35" s="40">
        <v>1008</v>
      </c>
      <c r="I35" s="40">
        <v>1008</v>
      </c>
      <c r="J35" s="40">
        <v>1010</v>
      </c>
    </row>
    <row r="36" spans="2:10" x14ac:dyDescent="0.25">
      <c r="B36" s="14">
        <f>INDEX(Table_Mapping!$B$5:$D$83,MATCH(C36,Table_Mapping!$C$5:$C$83,0),MATCH(B$5,Table_Mapping!$B$5:$D$5,0))</f>
        <v>86</v>
      </c>
      <c r="C36" s="159" t="s">
        <v>22</v>
      </c>
      <c r="D36" s="39">
        <v>356.4</v>
      </c>
      <c r="E36" s="39">
        <v>356.4</v>
      </c>
      <c r="F36" s="39">
        <v>356.4</v>
      </c>
      <c r="G36" s="40">
        <v>363.1</v>
      </c>
      <c r="H36" s="40">
        <v>366.8</v>
      </c>
      <c r="I36" s="40">
        <v>366.5</v>
      </c>
      <c r="J36" s="40">
        <v>368.3</v>
      </c>
    </row>
    <row r="37" spans="2:10" x14ac:dyDescent="0.25">
      <c r="B37" s="14">
        <f>INDEX(Table_Mapping!$B$5:$D$83,MATCH(C37,Table_Mapping!$C$5:$C$83,0),MATCH(B$5,Table_Mapping!$B$5:$D$5,0))</f>
        <v>52</v>
      </c>
      <c r="C37" s="159" t="s">
        <v>44</v>
      </c>
      <c r="D37" s="39">
        <v>262.40000000000003</v>
      </c>
      <c r="E37" s="39">
        <v>262.7</v>
      </c>
      <c r="F37" s="39">
        <v>264.39999999999998</v>
      </c>
      <c r="G37" s="40">
        <v>268</v>
      </c>
      <c r="H37" s="40">
        <v>312.10000000000002</v>
      </c>
      <c r="I37" s="40">
        <v>313.60000000000002</v>
      </c>
      <c r="J37" s="40">
        <v>274.39999999999998</v>
      </c>
    </row>
    <row r="38" spans="2:10" x14ac:dyDescent="0.25">
      <c r="B38" s="14">
        <f>INDEX(Table_Mapping!$B$5:$D$83,MATCH(C38,Table_Mapping!$C$5:$C$83,0),MATCH(B$5,Table_Mapping!$B$5:$D$5,0))</f>
        <v>87</v>
      </c>
      <c r="C38" s="159" t="s">
        <v>24</v>
      </c>
      <c r="D38" s="39">
        <v>1278.5</v>
      </c>
      <c r="E38" s="39">
        <v>1282.8</v>
      </c>
      <c r="F38" s="39">
        <v>1284.3</v>
      </c>
      <c r="G38" s="40">
        <v>1286.7</v>
      </c>
      <c r="H38" s="40">
        <v>1287.5</v>
      </c>
      <c r="I38" s="40">
        <v>1290.7</v>
      </c>
      <c r="J38" s="40">
        <v>1291.8</v>
      </c>
    </row>
    <row r="39" spans="2:10" x14ac:dyDescent="0.25">
      <c r="B39" s="14">
        <f>INDEX(Table_Mapping!$B$5:$D$83,MATCH(C39,Table_Mapping!$C$5:$C$83,0),MATCH(B$5,Table_Mapping!$B$5:$D$5,0))</f>
        <v>84</v>
      </c>
      <c r="C39" s="159" t="s">
        <v>15</v>
      </c>
      <c r="D39" s="39">
        <v>336.6</v>
      </c>
      <c r="E39" s="39">
        <v>335.9</v>
      </c>
      <c r="F39" s="39">
        <v>335.9</v>
      </c>
      <c r="G39" s="40">
        <v>335.9</v>
      </c>
      <c r="H39" s="40">
        <v>336.7</v>
      </c>
      <c r="I39" s="40">
        <v>336.7</v>
      </c>
      <c r="J39" s="40">
        <v>336.9</v>
      </c>
    </row>
    <row r="40" spans="2:10" x14ac:dyDescent="0.25">
      <c r="B40" s="14">
        <f>INDEX(Table_Mapping!$B$5:$D$83,MATCH(C40,Table_Mapping!$C$5:$C$83,0),MATCH(B$5,Table_Mapping!$B$5:$D$5,0))</f>
        <v>83</v>
      </c>
      <c r="C40" s="159" t="s">
        <v>7</v>
      </c>
      <c r="D40" s="39">
        <v>803.9</v>
      </c>
      <c r="E40" s="39">
        <v>806.30000000000007</v>
      </c>
      <c r="F40" s="39">
        <v>806.30000000000007</v>
      </c>
      <c r="G40" s="40">
        <v>806.30000000000007</v>
      </c>
      <c r="H40" s="40">
        <v>806.30000000000007</v>
      </c>
      <c r="I40" s="40">
        <v>803.8</v>
      </c>
      <c r="J40" s="40">
        <v>803.9</v>
      </c>
    </row>
    <row r="41" spans="2:10" x14ac:dyDescent="0.25">
      <c r="B41" s="14">
        <f>INDEX(Table_Mapping!$B$5:$D$83,MATCH(C41,Table_Mapping!$C$5:$C$83,0),MATCH(B$5,Table_Mapping!$B$5:$D$5,0))</f>
        <v>88</v>
      </c>
      <c r="C41" s="159" t="s">
        <v>29</v>
      </c>
      <c r="D41" s="39">
        <v>584.5</v>
      </c>
      <c r="E41" s="39">
        <v>555.79999999999995</v>
      </c>
      <c r="F41" s="39">
        <v>556</v>
      </c>
      <c r="G41" s="40">
        <v>566.59999999999991</v>
      </c>
      <c r="H41" s="40">
        <v>567.09999999999991</v>
      </c>
      <c r="I41" s="40">
        <v>565.79999999999995</v>
      </c>
      <c r="J41" s="40">
        <v>554.4</v>
      </c>
    </row>
    <row r="42" spans="2:10" x14ac:dyDescent="0.25">
      <c r="B42" s="14">
        <f>INDEX(Table_Mapping!$B$5:$D$83,MATCH(C42,Table_Mapping!$C$5:$C$83,0),MATCH(B$5,Table_Mapping!$B$5:$D$5,0))</f>
        <v>89</v>
      </c>
      <c r="C42" s="159" t="s">
        <v>38</v>
      </c>
      <c r="D42" s="39">
        <v>245.3</v>
      </c>
      <c r="E42" s="39">
        <v>247</v>
      </c>
      <c r="F42" s="39">
        <v>247</v>
      </c>
      <c r="G42" s="40">
        <v>255.4</v>
      </c>
      <c r="H42" s="40">
        <v>255.60000000000002</v>
      </c>
      <c r="I42" s="40">
        <v>255.60000000000002</v>
      </c>
      <c r="J42" s="40">
        <v>255.60000000000002</v>
      </c>
    </row>
    <row r="43" spans="2:10" x14ac:dyDescent="0.25">
      <c r="B43" s="14">
        <f>INDEX(Table_Mapping!$B$5:$D$83,MATCH(C43,Table_Mapping!$C$5:$C$83,0),MATCH(B$5,Table_Mapping!$B$5:$D$5,0))</f>
        <v>93</v>
      </c>
      <c r="C43" s="159" t="s">
        <v>60</v>
      </c>
      <c r="D43" s="39">
        <v>818.1</v>
      </c>
      <c r="E43" s="39">
        <v>823.2</v>
      </c>
      <c r="F43" s="39">
        <v>826.5</v>
      </c>
      <c r="G43" s="40">
        <v>835.5</v>
      </c>
      <c r="H43" s="40">
        <v>845.4</v>
      </c>
      <c r="I43" s="40">
        <v>856.9</v>
      </c>
      <c r="J43" s="40">
        <v>871</v>
      </c>
    </row>
    <row r="44" spans="2:10" x14ac:dyDescent="0.25">
      <c r="B44" s="14">
        <f>INDEX(Table_Mapping!$B$5:$D$83,MATCH(C44,Table_Mapping!$C$5:$C$83,0),MATCH(B$5,Table_Mapping!$B$5:$D$5,0))</f>
        <v>88</v>
      </c>
      <c r="C44" s="159" t="s">
        <v>30</v>
      </c>
      <c r="D44" s="39">
        <v>1224</v>
      </c>
      <c r="E44" s="39">
        <v>1225</v>
      </c>
      <c r="F44" s="39">
        <v>1225.7</v>
      </c>
      <c r="G44" s="40">
        <v>1225.7</v>
      </c>
      <c r="H44" s="40">
        <v>1225.7</v>
      </c>
      <c r="I44" s="40">
        <v>1225.7</v>
      </c>
      <c r="J44" s="40">
        <v>1243</v>
      </c>
    </row>
    <row r="45" spans="2:10" x14ac:dyDescent="0.25">
      <c r="B45" s="14">
        <f>INDEX(Table_Mapping!$B$5:$D$83,MATCH(C45,Table_Mapping!$C$5:$C$83,0),MATCH(B$5,Table_Mapping!$B$5:$D$5,0))</f>
        <v>84</v>
      </c>
      <c r="C45" s="159" t="s">
        <v>16</v>
      </c>
      <c r="D45" s="39">
        <v>1004.3</v>
      </c>
      <c r="E45" s="39">
        <v>1003.0999999999999</v>
      </c>
      <c r="F45" s="39">
        <v>1003.0999999999999</v>
      </c>
      <c r="G45" s="40">
        <v>1003.3</v>
      </c>
      <c r="H45" s="40">
        <v>1003.4000000000001</v>
      </c>
      <c r="I45" s="40">
        <v>1004.3000000000001</v>
      </c>
      <c r="J45" s="40">
        <v>1003</v>
      </c>
    </row>
    <row r="46" spans="2:10" x14ac:dyDescent="0.25">
      <c r="B46" s="14">
        <f>INDEX(Table_Mapping!$B$5:$D$83,MATCH(C46,Table_Mapping!$C$5:$C$83,0),MATCH(B$5,Table_Mapping!$B$5:$D$5,0))</f>
        <v>88</v>
      </c>
      <c r="C46" s="159" t="s">
        <v>31</v>
      </c>
      <c r="D46" s="39">
        <v>1336.8999999999999</v>
      </c>
      <c r="E46" s="39">
        <v>1337.6</v>
      </c>
      <c r="F46" s="39">
        <v>1339.2</v>
      </c>
      <c r="G46" s="40">
        <v>1339.2</v>
      </c>
      <c r="H46" s="40">
        <v>1339.2</v>
      </c>
      <c r="I46" s="40">
        <v>1339.3999999999999</v>
      </c>
      <c r="J46" s="40">
        <v>1340</v>
      </c>
    </row>
    <row r="47" spans="2:10" x14ac:dyDescent="0.25">
      <c r="B47" s="14">
        <f>INDEX(Table_Mapping!$B$5:$D$83,MATCH(C47,Table_Mapping!$C$5:$C$83,0),MATCH(B$5,Table_Mapping!$B$5:$D$5,0))</f>
        <v>91</v>
      </c>
      <c r="C47" s="159" t="s">
        <v>50</v>
      </c>
      <c r="D47" s="39">
        <v>2491.7999999999997</v>
      </c>
      <c r="E47" s="39">
        <v>2504.8999999999996</v>
      </c>
      <c r="F47" s="39">
        <v>2527.6</v>
      </c>
      <c r="G47" s="40">
        <v>2571.6999999999998</v>
      </c>
      <c r="H47" s="40">
        <v>2586.2999999999997</v>
      </c>
      <c r="I47" s="40">
        <v>2597.1</v>
      </c>
      <c r="J47" s="40">
        <v>2600.4</v>
      </c>
    </row>
    <row r="48" spans="2:10" x14ac:dyDescent="0.25">
      <c r="B48" s="14">
        <f>INDEX(Table_Mapping!$B$5:$D$83,MATCH(C48,Table_Mapping!$C$5:$C$83,0),MATCH(B$5,Table_Mapping!$B$5:$D$5,0))</f>
        <v>87</v>
      </c>
      <c r="C48" s="159" t="s">
        <v>25</v>
      </c>
      <c r="D48" s="39">
        <v>1624.4</v>
      </c>
      <c r="E48" s="39">
        <v>1609.8000000000002</v>
      </c>
      <c r="F48" s="39">
        <v>1629.6</v>
      </c>
      <c r="G48" s="40">
        <v>1633</v>
      </c>
      <c r="H48" s="40">
        <v>1630.8999999999999</v>
      </c>
      <c r="I48" s="40">
        <v>1632.8</v>
      </c>
      <c r="J48" s="40">
        <v>1632.8</v>
      </c>
    </row>
    <row r="49" spans="2:10" x14ac:dyDescent="0.25">
      <c r="B49" s="14">
        <f>INDEX(Table_Mapping!$B$5:$D$83,MATCH(C49,Table_Mapping!$C$5:$C$83,0),MATCH(B$5,Table_Mapping!$B$5:$D$5,0))</f>
        <v>83</v>
      </c>
      <c r="C49" s="159" t="s">
        <v>8</v>
      </c>
      <c r="D49" s="39">
        <v>508.9</v>
      </c>
      <c r="E49" s="39">
        <v>502.9</v>
      </c>
      <c r="F49" s="39">
        <v>509.4</v>
      </c>
      <c r="G49" s="40">
        <v>507.8</v>
      </c>
      <c r="H49" s="40">
        <v>507.8</v>
      </c>
      <c r="I49" s="40">
        <v>516.20000000000005</v>
      </c>
      <c r="J49" s="40">
        <v>516.30000000000007</v>
      </c>
    </row>
    <row r="50" spans="2:10" x14ac:dyDescent="0.25">
      <c r="B50" s="14">
        <f>INDEX(Table_Mapping!$B$5:$D$83,MATCH(C50,Table_Mapping!$C$5:$C$83,0),MATCH(B$5,Table_Mapping!$B$5:$D$5,0))</f>
        <v>89</v>
      </c>
      <c r="C50" s="159" t="s">
        <v>39</v>
      </c>
      <c r="D50" s="39">
        <v>666.7</v>
      </c>
      <c r="E50" s="39">
        <v>666.6</v>
      </c>
      <c r="F50" s="39">
        <v>666.6</v>
      </c>
      <c r="G50" s="40">
        <v>668.5</v>
      </c>
      <c r="H50" s="40">
        <v>668.5</v>
      </c>
      <c r="I50" s="40">
        <v>668.5</v>
      </c>
      <c r="J50" s="40">
        <v>669.1</v>
      </c>
    </row>
    <row r="51" spans="2:10" x14ac:dyDescent="0.25">
      <c r="B51" s="14">
        <f>INDEX(Table_Mapping!$B$5:$D$83,MATCH(C51,Table_Mapping!$C$5:$C$83,0),MATCH(B$5,Table_Mapping!$B$5:$D$5,0))</f>
        <v>94</v>
      </c>
      <c r="C51" s="159" t="s">
        <v>64</v>
      </c>
      <c r="D51" s="39">
        <v>4968.8999999999996</v>
      </c>
      <c r="E51" s="39">
        <v>4957.5</v>
      </c>
      <c r="F51" s="39">
        <v>4970.7</v>
      </c>
      <c r="G51" s="40">
        <v>4970.6000000000004</v>
      </c>
      <c r="H51" s="40">
        <v>4970.3</v>
      </c>
      <c r="I51" s="40">
        <v>4970.8999999999996</v>
      </c>
      <c r="J51" s="40">
        <v>4971.1000000000004</v>
      </c>
    </row>
    <row r="52" spans="2:10" x14ac:dyDescent="0.25">
      <c r="B52" s="14">
        <f>INDEX(Table_Mapping!$B$5:$D$83,MATCH(C52,Table_Mapping!$C$5:$C$83,0),MATCH(B$5,Table_Mapping!$B$5:$D$5,0))</f>
        <v>87</v>
      </c>
      <c r="C52" s="159" t="s">
        <v>26</v>
      </c>
      <c r="D52" s="39">
        <v>597.80000000000007</v>
      </c>
      <c r="E52" s="39">
        <v>597.80000000000007</v>
      </c>
      <c r="F52" s="39">
        <v>612.80000000000007</v>
      </c>
      <c r="G52" s="40">
        <v>612.80000000000007</v>
      </c>
      <c r="H52" s="40">
        <v>612.90000000000009</v>
      </c>
      <c r="I52" s="40">
        <v>612.00000000000011</v>
      </c>
      <c r="J52" s="40">
        <v>612.00000000000011</v>
      </c>
    </row>
    <row r="53" spans="2:10" x14ac:dyDescent="0.25">
      <c r="B53" s="14">
        <f>INDEX(Table_Mapping!$B$5:$D$83,MATCH(C53,Table_Mapping!$C$5:$C$83,0),MATCH(B$5,Table_Mapping!$B$5:$D$5,0))</f>
        <v>88</v>
      </c>
      <c r="C53" s="159" t="s">
        <v>32</v>
      </c>
      <c r="D53" s="39">
        <v>1956</v>
      </c>
      <c r="E53" s="39">
        <v>1956.1999999999998</v>
      </c>
      <c r="F53" s="39">
        <v>1960.3</v>
      </c>
      <c r="G53" s="40">
        <v>1960.3</v>
      </c>
      <c r="H53" s="40">
        <v>1958</v>
      </c>
      <c r="I53" s="40">
        <v>1958</v>
      </c>
      <c r="J53" s="40">
        <v>1905.9</v>
      </c>
    </row>
    <row r="54" spans="2:10" x14ac:dyDescent="0.25">
      <c r="B54" s="14">
        <f>INDEX(Table_Mapping!$B$5:$D$83,MATCH(C54,Table_Mapping!$C$5:$C$83,0),MATCH(B$5,Table_Mapping!$B$5:$D$5,0))</f>
        <v>53</v>
      </c>
      <c r="C54" s="159" t="s">
        <v>45</v>
      </c>
      <c r="D54" s="39">
        <v>1731.8</v>
      </c>
      <c r="E54" s="39">
        <v>1741.2</v>
      </c>
      <c r="F54" s="39">
        <v>1736.5</v>
      </c>
      <c r="G54" s="40">
        <v>1759.5</v>
      </c>
      <c r="H54" s="40">
        <v>1750.6000000000001</v>
      </c>
      <c r="I54" s="40">
        <v>1756.2</v>
      </c>
      <c r="J54" s="40">
        <v>1750.3999999999999</v>
      </c>
    </row>
    <row r="55" spans="2:10" x14ac:dyDescent="0.25">
      <c r="B55" s="14">
        <f>INDEX(Table_Mapping!$B$5:$D$83,MATCH(C55,Table_Mapping!$C$5:$C$83,0),MATCH(B$5,Table_Mapping!$B$5:$D$5,0))</f>
        <v>83</v>
      </c>
      <c r="C55" s="159" t="s">
        <v>9</v>
      </c>
      <c r="D55" s="39">
        <v>761.30000000000007</v>
      </c>
      <c r="E55" s="39">
        <v>763.19999999999993</v>
      </c>
      <c r="F55" s="39">
        <v>763.69999999999993</v>
      </c>
      <c r="G55" s="40">
        <v>780.4</v>
      </c>
      <c r="H55" s="40">
        <v>783.19999999999993</v>
      </c>
      <c r="I55" s="40">
        <v>792.4</v>
      </c>
      <c r="J55" s="40">
        <v>795.69999999999993</v>
      </c>
    </row>
    <row r="56" spans="2:10" x14ac:dyDescent="0.25">
      <c r="B56" s="14">
        <f>INDEX(Table_Mapping!$B$5:$D$83,MATCH(C56,Table_Mapping!$C$5:$C$83,0),MATCH(B$5,Table_Mapping!$B$5:$D$5,0))</f>
        <v>84</v>
      </c>
      <c r="C56" s="159" t="s">
        <v>17</v>
      </c>
      <c r="D56" s="39">
        <v>536</v>
      </c>
      <c r="E56" s="39">
        <v>541.79999999999995</v>
      </c>
      <c r="F56" s="39">
        <v>546.20000000000005</v>
      </c>
      <c r="G56" s="40">
        <v>552.5</v>
      </c>
      <c r="H56" s="40">
        <v>563.6</v>
      </c>
      <c r="I56" s="40">
        <v>575.5</v>
      </c>
      <c r="J56" s="40">
        <v>593.5</v>
      </c>
    </row>
    <row r="57" spans="2:10" x14ac:dyDescent="0.25">
      <c r="B57" s="14">
        <f>INDEX(Table_Mapping!$B$5:$D$83,MATCH(C57,Table_Mapping!$C$5:$C$83,0),MATCH(B$5,Table_Mapping!$B$5:$D$5,0))</f>
        <v>83</v>
      </c>
      <c r="C57" s="159" t="s">
        <v>10</v>
      </c>
      <c r="D57" s="39">
        <v>685.6</v>
      </c>
      <c r="E57" s="39">
        <v>686.09999999999991</v>
      </c>
      <c r="F57" s="39">
        <v>693.9</v>
      </c>
      <c r="G57" s="40">
        <v>694.8</v>
      </c>
      <c r="H57" s="40">
        <v>696.6</v>
      </c>
      <c r="I57" s="40">
        <v>700.7</v>
      </c>
      <c r="J57" s="40">
        <v>701.3</v>
      </c>
    </row>
    <row r="58" spans="2:10" x14ac:dyDescent="0.25">
      <c r="B58" s="14">
        <f>INDEX(Table_Mapping!$B$5:$D$83,MATCH(C58,Table_Mapping!$C$5:$C$83,0),MATCH(B$5,Table_Mapping!$B$5:$D$5,0))</f>
        <v>91</v>
      </c>
      <c r="C58" s="159" t="s">
        <v>51</v>
      </c>
      <c r="D58" s="39">
        <v>1716.2</v>
      </c>
      <c r="E58" s="39">
        <v>1713.3</v>
      </c>
      <c r="F58" s="39">
        <v>1715.1</v>
      </c>
      <c r="G58" s="40">
        <v>1718.2</v>
      </c>
      <c r="H58" s="40">
        <v>1722.6</v>
      </c>
      <c r="I58" s="40">
        <v>1722.8</v>
      </c>
      <c r="J58" s="40">
        <v>1722.4</v>
      </c>
    </row>
    <row r="59" spans="2:10" x14ac:dyDescent="0.25">
      <c r="B59" s="14">
        <f>INDEX(Table_Mapping!$B$5:$D$83,MATCH(C59,Table_Mapping!$C$5:$C$83,0),MATCH(B$5,Table_Mapping!$B$5:$D$5,0))</f>
        <v>89</v>
      </c>
      <c r="C59" s="159" t="s">
        <v>40</v>
      </c>
      <c r="D59" s="39">
        <v>238.29999999999998</v>
      </c>
      <c r="E59" s="39">
        <v>238.9</v>
      </c>
      <c r="F59" s="39">
        <v>240</v>
      </c>
      <c r="G59" s="40">
        <v>241.6</v>
      </c>
      <c r="H59" s="40">
        <v>245.29999999999998</v>
      </c>
      <c r="I59" s="40">
        <v>245.29999999999998</v>
      </c>
      <c r="J59" s="40">
        <v>247.7</v>
      </c>
    </row>
    <row r="60" spans="2:10" x14ac:dyDescent="0.25">
      <c r="B60" s="14">
        <f>INDEX(Table_Mapping!$B$5:$D$83,MATCH(C60,Table_Mapping!$C$5:$C$83,0),MATCH(B$5,Table_Mapping!$B$5:$D$5,0))</f>
        <v>83</v>
      </c>
      <c r="C60" s="159" t="s">
        <v>11</v>
      </c>
      <c r="D60" s="39">
        <v>2414.2999999999997</v>
      </c>
      <c r="E60" s="39">
        <v>2416.9</v>
      </c>
      <c r="F60" s="39">
        <v>2422.7000000000003</v>
      </c>
      <c r="G60" s="40">
        <v>2433.8000000000002</v>
      </c>
      <c r="H60" s="40">
        <v>2454.1</v>
      </c>
      <c r="I60" s="40">
        <v>2436</v>
      </c>
      <c r="J60" s="40">
        <v>2464.5</v>
      </c>
    </row>
    <row r="61" spans="2:10" x14ac:dyDescent="0.25">
      <c r="B61" s="14">
        <f>INDEX(Table_Mapping!$B$5:$D$83,MATCH(C61,Table_Mapping!$C$5:$C$83,0),MATCH(B$5,Table_Mapping!$B$5:$D$5,0))</f>
        <v>91</v>
      </c>
      <c r="C61" s="159" t="s">
        <v>52</v>
      </c>
      <c r="D61" s="39">
        <v>1533.8999999999999</v>
      </c>
      <c r="E61" s="39">
        <v>1545.6</v>
      </c>
      <c r="F61" s="39">
        <v>1557.7</v>
      </c>
      <c r="G61" s="40">
        <v>1563.7</v>
      </c>
      <c r="H61" s="40">
        <v>1566</v>
      </c>
      <c r="I61" s="40">
        <v>1575.5</v>
      </c>
      <c r="J61" s="40">
        <v>1579.8</v>
      </c>
    </row>
    <row r="62" spans="2:10" x14ac:dyDescent="0.25">
      <c r="B62" s="14">
        <f>INDEX(Table_Mapping!$B$5:$D$83,MATCH(C62,Table_Mapping!$C$5:$C$83,0),MATCH(B$5,Table_Mapping!$B$5:$D$5,0))</f>
        <v>91</v>
      </c>
      <c r="C62" s="159" t="s">
        <v>53</v>
      </c>
      <c r="D62" s="39">
        <v>1335.3999999999999</v>
      </c>
      <c r="E62" s="39">
        <v>1336.1</v>
      </c>
      <c r="F62" s="39">
        <v>1336.7</v>
      </c>
      <c r="G62" s="40">
        <v>1335.7</v>
      </c>
      <c r="H62" s="40">
        <v>1337.2</v>
      </c>
      <c r="I62" s="40">
        <v>1337.3</v>
      </c>
      <c r="J62" s="40">
        <v>1338.7</v>
      </c>
    </row>
    <row r="63" spans="2:10" x14ac:dyDescent="0.25">
      <c r="B63" s="14">
        <f>INDEX(Table_Mapping!$B$5:$D$83,MATCH(C63,Table_Mapping!$C$5:$C$83,0),MATCH(B$5,Table_Mapping!$B$5:$D$5,0))</f>
        <v>83</v>
      </c>
      <c r="C63" s="159" t="s">
        <v>12</v>
      </c>
      <c r="D63" s="39">
        <v>1070.5</v>
      </c>
      <c r="E63" s="39">
        <v>1074</v>
      </c>
      <c r="F63" s="39">
        <v>1074.8999999999999</v>
      </c>
      <c r="G63" s="40">
        <v>1095</v>
      </c>
      <c r="H63" s="40">
        <v>1095.7</v>
      </c>
      <c r="I63" s="40">
        <v>1100.7</v>
      </c>
      <c r="J63" s="40">
        <v>1105.5</v>
      </c>
    </row>
    <row r="64" spans="2:10" x14ac:dyDescent="0.25">
      <c r="B64" s="14">
        <f>INDEX(Table_Mapping!$B$5:$D$83,MATCH(C64,Table_Mapping!$C$5:$C$83,0),MATCH(B$5,Table_Mapping!$B$5:$D$5,0))</f>
        <v>86</v>
      </c>
      <c r="C64" s="159" t="s">
        <v>23</v>
      </c>
      <c r="D64" s="39">
        <v>897.60000000000014</v>
      </c>
      <c r="E64" s="39">
        <v>897.60000000000014</v>
      </c>
      <c r="F64" s="39">
        <v>897.60000000000014</v>
      </c>
      <c r="G64" s="40">
        <v>897.60000000000014</v>
      </c>
      <c r="H64" s="40">
        <v>897.60000000000014</v>
      </c>
      <c r="I64" s="40">
        <v>897.60000000000014</v>
      </c>
      <c r="J64" s="40">
        <v>897.60000000000014</v>
      </c>
    </row>
    <row r="65" spans="2:10" x14ac:dyDescent="0.25">
      <c r="B65" s="14">
        <f>INDEX(Table_Mapping!$B$5:$D$83,MATCH(C65,Table_Mapping!$C$5:$C$83,0),MATCH(B$5,Table_Mapping!$B$5:$D$5,0))</f>
        <v>93</v>
      </c>
      <c r="C65" s="159" t="s">
        <v>61</v>
      </c>
      <c r="D65" s="39">
        <v>1809.3</v>
      </c>
      <c r="E65" s="39">
        <v>1822.1000000000001</v>
      </c>
      <c r="F65" s="39">
        <v>1817.4</v>
      </c>
      <c r="G65" s="40">
        <v>1811.3999999999999</v>
      </c>
      <c r="H65" s="40">
        <v>1802.1</v>
      </c>
      <c r="I65" s="40">
        <v>1799.3</v>
      </c>
      <c r="J65" s="40">
        <v>1799.1</v>
      </c>
    </row>
    <row r="66" spans="2:10" x14ac:dyDescent="0.25">
      <c r="B66" s="14">
        <f>INDEX(Table_Mapping!$B$5:$D$83,MATCH(C66,Table_Mapping!$C$5:$C$83,0),MATCH(B$5,Table_Mapping!$B$5:$D$5,0))</f>
        <v>83</v>
      </c>
      <c r="C66" s="159" t="s">
        <v>13</v>
      </c>
      <c r="D66" s="39">
        <v>1071</v>
      </c>
      <c r="E66" s="39">
        <v>1014.4</v>
      </c>
      <c r="F66" s="39">
        <v>1014.4</v>
      </c>
      <c r="G66" s="40">
        <v>1014.4</v>
      </c>
      <c r="H66" s="40">
        <v>1014.8</v>
      </c>
      <c r="I66" s="40">
        <v>1014.4</v>
      </c>
      <c r="J66" s="40">
        <v>1014.4</v>
      </c>
    </row>
    <row r="67" spans="2:10" x14ac:dyDescent="0.25">
      <c r="B67" s="14">
        <f>INDEX(Table_Mapping!$B$5:$D$83,MATCH(C67,Table_Mapping!$C$5:$C$83,0),MATCH(B$5,Table_Mapping!$B$5:$D$5,0))</f>
        <v>89</v>
      </c>
      <c r="C67" s="159" t="s">
        <v>41</v>
      </c>
      <c r="D67" s="39">
        <v>690.7</v>
      </c>
      <c r="E67" s="39">
        <v>690.40000000000009</v>
      </c>
      <c r="F67" s="39">
        <v>692.5</v>
      </c>
      <c r="G67" s="40">
        <v>694.5</v>
      </c>
      <c r="H67" s="40">
        <v>696.30000000000007</v>
      </c>
      <c r="I67" s="40">
        <v>696.3</v>
      </c>
      <c r="J67" s="40">
        <v>696.5</v>
      </c>
    </row>
    <row r="68" spans="2:10" x14ac:dyDescent="0.25">
      <c r="B68" s="14">
        <f>INDEX(Table_Mapping!$B$5:$D$83,MATCH(C68,Table_Mapping!$C$5:$C$83,0),MATCH(B$5,Table_Mapping!$B$5:$D$5,0))</f>
        <v>84</v>
      </c>
      <c r="C68" s="159" t="s">
        <v>18</v>
      </c>
      <c r="D68" s="39">
        <v>1029.8</v>
      </c>
      <c r="E68" s="39">
        <v>1028.5</v>
      </c>
      <c r="F68" s="39">
        <v>1034.3</v>
      </c>
      <c r="G68" s="40">
        <v>1052.5999999999999</v>
      </c>
      <c r="H68" s="40">
        <v>1054.0999999999999</v>
      </c>
      <c r="I68" s="40">
        <v>1055.8</v>
      </c>
      <c r="J68" s="40">
        <v>1061.2</v>
      </c>
    </row>
    <row r="69" spans="2:10" x14ac:dyDescent="0.25">
      <c r="B69" s="14">
        <f>INDEX(Table_Mapping!$B$5:$D$83,MATCH(C69,Table_Mapping!$C$5:$C$83,0),MATCH(B$5,Table_Mapping!$B$5:$D$5,0))</f>
        <v>90</v>
      </c>
      <c r="C69" s="159" t="s">
        <v>56</v>
      </c>
      <c r="D69" s="39">
        <v>673.4</v>
      </c>
      <c r="E69" s="39">
        <v>673.4</v>
      </c>
      <c r="F69" s="39">
        <v>673.4</v>
      </c>
      <c r="G69" s="40">
        <v>673.4</v>
      </c>
      <c r="H69" s="40">
        <v>673.4</v>
      </c>
      <c r="I69" s="40">
        <v>673.4</v>
      </c>
      <c r="J69" s="40">
        <v>691</v>
      </c>
    </row>
    <row r="70" spans="2:10" x14ac:dyDescent="0.25">
      <c r="B70" s="14">
        <f>INDEX(Table_Mapping!$B$5:$D$83,MATCH(C70,Table_Mapping!$C$5:$C$83,0),MATCH(B$5,Table_Mapping!$B$5:$D$5,0))</f>
        <v>84</v>
      </c>
      <c r="C70" s="159" t="s">
        <v>216</v>
      </c>
      <c r="D70" s="39">
        <v>903</v>
      </c>
      <c r="E70" s="39">
        <v>904.1</v>
      </c>
      <c r="F70" s="39">
        <v>904.7</v>
      </c>
      <c r="G70" s="40">
        <v>907.9</v>
      </c>
      <c r="H70" s="40">
        <v>907.3</v>
      </c>
      <c r="I70" s="40">
        <v>907.3</v>
      </c>
      <c r="J70" s="40">
        <v>908.69999999999993</v>
      </c>
    </row>
    <row r="71" spans="2:10" x14ac:dyDescent="0.25">
      <c r="B71" s="14">
        <f>INDEX(Table_Mapping!$B$5:$D$83,MATCH(C71,Table_Mapping!$C$5:$C$83,0),MATCH(B$5,Table_Mapping!$B$5:$D$5,0))</f>
        <v>88</v>
      </c>
      <c r="C71" s="159" t="s">
        <v>33</v>
      </c>
      <c r="D71" s="39">
        <v>840.9</v>
      </c>
      <c r="E71" s="39">
        <v>842.19999999999993</v>
      </c>
      <c r="F71" s="39">
        <v>842.19999999999993</v>
      </c>
      <c r="G71" s="40">
        <v>842.8</v>
      </c>
      <c r="H71" s="40">
        <v>843.4</v>
      </c>
      <c r="I71" s="40">
        <v>843.4</v>
      </c>
      <c r="J71" s="40">
        <v>847.8</v>
      </c>
    </row>
    <row r="72" spans="2:10" x14ac:dyDescent="0.25">
      <c r="B72" s="14">
        <f>INDEX(Table_Mapping!$B$5:$D$83,MATCH(C72,Table_Mapping!$C$5:$C$83,0),MATCH(B$5,Table_Mapping!$B$5:$D$5,0))</f>
        <v>81</v>
      </c>
      <c r="C72" s="159" t="s">
        <v>2</v>
      </c>
      <c r="D72" s="39">
        <v>1778.8999999999999</v>
      </c>
      <c r="E72" s="39">
        <v>1780.3</v>
      </c>
      <c r="F72" s="39">
        <v>1780.2</v>
      </c>
      <c r="G72" s="40">
        <v>1784.3</v>
      </c>
      <c r="H72" s="40">
        <v>1730.5</v>
      </c>
      <c r="I72" s="40">
        <v>1732.8999999999999</v>
      </c>
      <c r="J72" s="40">
        <v>1747.7</v>
      </c>
    </row>
    <row r="73" spans="2:10" x14ac:dyDescent="0.25">
      <c r="B73" s="14">
        <f>Parameter!B87</f>
        <v>81</v>
      </c>
      <c r="C73" s="159" t="str">
        <f>Parameter!C87</f>
        <v>Northland Regional</v>
      </c>
      <c r="D73" s="44">
        <f t="shared" ref="D73:J83" si="0">SUMIF($B$6:$B$72,$B73,D$6:D$72)</f>
        <v>5890.5</v>
      </c>
      <c r="E73" s="44">
        <f t="shared" si="0"/>
        <v>5893.9000000000005</v>
      </c>
      <c r="F73" s="44">
        <f t="shared" si="0"/>
        <v>5899.3</v>
      </c>
      <c r="G73" s="44">
        <f t="shared" si="0"/>
        <v>5901.2</v>
      </c>
      <c r="H73" s="44">
        <f t="shared" si="0"/>
        <v>5802.1</v>
      </c>
      <c r="I73" s="44">
        <f t="shared" si="0"/>
        <v>5812.0999999999995</v>
      </c>
      <c r="J73" s="44">
        <f t="shared" si="0"/>
        <v>5828.0999999999995</v>
      </c>
    </row>
    <row r="74" spans="2:10" x14ac:dyDescent="0.25">
      <c r="B74" s="14">
        <f>Parameter!B88</f>
        <v>83</v>
      </c>
      <c r="C74" s="159" t="str">
        <f>Parameter!C88</f>
        <v>Waikato Regional</v>
      </c>
      <c r="D74" s="44">
        <f t="shared" si="0"/>
        <v>9590.2000000000007</v>
      </c>
      <c r="E74" s="44">
        <f t="shared" si="0"/>
        <v>9546.2999999999993</v>
      </c>
      <c r="F74" s="44">
        <f t="shared" si="0"/>
        <v>9575</v>
      </c>
      <c r="G74" s="44">
        <f t="shared" si="0"/>
        <v>9627.3000000000011</v>
      </c>
      <c r="H74" s="44">
        <f t="shared" si="0"/>
        <v>9678.2000000000007</v>
      </c>
      <c r="I74" s="44">
        <f t="shared" si="0"/>
        <v>9686.2999999999993</v>
      </c>
      <c r="J74" s="44">
        <f t="shared" si="0"/>
        <v>9727.1</v>
      </c>
    </row>
    <row r="75" spans="2:10" x14ac:dyDescent="0.25">
      <c r="B75" s="14">
        <f>Parameter!B89</f>
        <v>84</v>
      </c>
      <c r="C75" s="159" t="str">
        <f>Parameter!C89</f>
        <v>Bay of Plenty Regional</v>
      </c>
      <c r="D75" s="44">
        <f t="shared" si="0"/>
        <v>3849.3</v>
      </c>
      <c r="E75" s="44">
        <f t="shared" si="0"/>
        <v>3852.9999999999995</v>
      </c>
      <c r="F75" s="44">
        <f t="shared" si="0"/>
        <v>3863.8</v>
      </c>
      <c r="G75" s="44">
        <f t="shared" si="0"/>
        <v>3891.7999999999997</v>
      </c>
      <c r="H75" s="44">
        <f t="shared" si="0"/>
        <v>3904.7</v>
      </c>
      <c r="I75" s="44">
        <f t="shared" si="0"/>
        <v>3919.2</v>
      </c>
      <c r="J75" s="44">
        <f t="shared" si="0"/>
        <v>3944.3</v>
      </c>
    </row>
    <row r="76" spans="2:10" x14ac:dyDescent="0.25">
      <c r="B76" s="14">
        <f>Parameter!B90</f>
        <v>86</v>
      </c>
      <c r="C76" s="159" t="str">
        <f>Parameter!C90</f>
        <v>Hawkes Bay Regional</v>
      </c>
      <c r="D76" s="44">
        <f t="shared" si="0"/>
        <v>4146.4000000000005</v>
      </c>
      <c r="E76" s="44">
        <f t="shared" si="0"/>
        <v>4152.6000000000004</v>
      </c>
      <c r="F76" s="44">
        <f t="shared" si="0"/>
        <v>4144.2</v>
      </c>
      <c r="G76" s="44">
        <f t="shared" si="0"/>
        <v>4152.5</v>
      </c>
      <c r="H76" s="44">
        <f t="shared" si="0"/>
        <v>4156.7000000000007</v>
      </c>
      <c r="I76" s="44">
        <f t="shared" si="0"/>
        <v>4156.3</v>
      </c>
      <c r="J76" s="44">
        <f t="shared" si="0"/>
        <v>4177.9000000000005</v>
      </c>
    </row>
    <row r="77" spans="2:10" x14ac:dyDescent="0.25">
      <c r="B77" s="14">
        <f>Parameter!B91</f>
        <v>87</v>
      </c>
      <c r="C77" s="159" t="str">
        <f>Parameter!C91</f>
        <v>Taranaki Regional</v>
      </c>
      <c r="D77" s="44">
        <f t="shared" si="0"/>
        <v>3500.7000000000003</v>
      </c>
      <c r="E77" s="44">
        <f t="shared" si="0"/>
        <v>3490.4000000000005</v>
      </c>
      <c r="F77" s="44">
        <f t="shared" si="0"/>
        <v>3526.7</v>
      </c>
      <c r="G77" s="44">
        <f t="shared" si="0"/>
        <v>3532.5</v>
      </c>
      <c r="H77" s="44">
        <f t="shared" si="0"/>
        <v>3531.2999999999997</v>
      </c>
      <c r="I77" s="44">
        <f t="shared" si="0"/>
        <v>3535.5</v>
      </c>
      <c r="J77" s="44">
        <f t="shared" si="0"/>
        <v>3536.6</v>
      </c>
    </row>
    <row r="78" spans="2:10" x14ac:dyDescent="0.25">
      <c r="B78" s="14">
        <f>Parameter!B92</f>
        <v>88</v>
      </c>
      <c r="C78" s="159" t="str">
        <f>Parameter!C92</f>
        <v>Manawatu-Wanganui Regional</v>
      </c>
      <c r="D78" s="44">
        <f t="shared" si="0"/>
        <v>7881.5999999999995</v>
      </c>
      <c r="E78" s="44">
        <f t="shared" si="0"/>
        <v>7857.7999999999993</v>
      </c>
      <c r="F78" s="44">
        <f t="shared" si="0"/>
        <v>7864.4</v>
      </c>
      <c r="G78" s="44">
        <f t="shared" si="0"/>
        <v>7880.7</v>
      </c>
      <c r="H78" s="44">
        <f t="shared" si="0"/>
        <v>7879.4999999999991</v>
      </c>
      <c r="I78" s="44">
        <f t="shared" si="0"/>
        <v>7883.7999999999993</v>
      </c>
      <c r="J78" s="44">
        <f t="shared" si="0"/>
        <v>7843.5999999999995</v>
      </c>
    </row>
    <row r="79" spans="2:10" x14ac:dyDescent="0.25">
      <c r="B79" s="14">
        <f>Parameter!B93</f>
        <v>89</v>
      </c>
      <c r="C79" s="159" t="str">
        <f>Parameter!C93</f>
        <v>Wellington Regional</v>
      </c>
      <c r="D79" s="44">
        <f t="shared" si="0"/>
        <v>3965.7</v>
      </c>
      <c r="E79" s="44">
        <f t="shared" si="0"/>
        <v>3975.6</v>
      </c>
      <c r="F79" s="44">
        <f t="shared" si="0"/>
        <v>3983.4</v>
      </c>
      <c r="G79" s="44">
        <f t="shared" si="0"/>
        <v>4002.9</v>
      </c>
      <c r="H79" s="44">
        <f t="shared" si="0"/>
        <v>4014.7000000000003</v>
      </c>
      <c r="I79" s="44">
        <f t="shared" si="0"/>
        <v>4018.6000000000004</v>
      </c>
      <c r="J79" s="44">
        <f t="shared" si="0"/>
        <v>4044.7</v>
      </c>
    </row>
    <row r="80" spans="2:10" x14ac:dyDescent="0.25">
      <c r="B80" s="14">
        <f>Parameter!B94</f>
        <v>90</v>
      </c>
      <c r="C80" s="159" t="str">
        <f>Parameter!C94</f>
        <v>West Coast Regional</v>
      </c>
      <c r="D80" s="44">
        <f t="shared" si="0"/>
        <v>1883.9</v>
      </c>
      <c r="E80" s="44">
        <f t="shared" si="0"/>
        <v>1887.4</v>
      </c>
      <c r="F80" s="44">
        <f t="shared" si="0"/>
        <v>1887.4</v>
      </c>
      <c r="G80" s="44">
        <f t="shared" si="0"/>
        <v>1887.4</v>
      </c>
      <c r="H80" s="44">
        <f t="shared" si="0"/>
        <v>1887.4</v>
      </c>
      <c r="I80" s="44">
        <f t="shared" si="0"/>
        <v>1906.9</v>
      </c>
      <c r="J80" s="44">
        <f t="shared" si="0"/>
        <v>1907.5</v>
      </c>
    </row>
    <row r="81" spans="2:10" x14ac:dyDescent="0.25">
      <c r="B81" s="14">
        <f>Parameter!B95</f>
        <v>91</v>
      </c>
      <c r="C81" s="159" t="str">
        <f>Parameter!C95</f>
        <v>Canterbury Regional</v>
      </c>
      <c r="D81" s="44">
        <f t="shared" si="0"/>
        <v>14443.999999999998</v>
      </c>
      <c r="E81" s="44">
        <f t="shared" si="0"/>
        <v>14489.6</v>
      </c>
      <c r="F81" s="44">
        <f t="shared" si="0"/>
        <v>14526.700000000003</v>
      </c>
      <c r="G81" s="44">
        <f t="shared" si="0"/>
        <v>14582.500000000002</v>
      </c>
      <c r="H81" s="44">
        <f t="shared" si="0"/>
        <v>14628.9</v>
      </c>
      <c r="I81" s="44">
        <f t="shared" si="0"/>
        <v>14626.9</v>
      </c>
      <c r="J81" s="44">
        <f t="shared" si="0"/>
        <v>14646.8</v>
      </c>
    </row>
    <row r="82" spans="2:10" x14ac:dyDescent="0.25">
      <c r="B82" s="14">
        <f>Parameter!B96</f>
        <v>93</v>
      </c>
      <c r="C82" s="159" t="str">
        <f>Parameter!C96</f>
        <v>Otago Regional</v>
      </c>
      <c r="D82" s="44">
        <f t="shared" si="0"/>
        <v>9198.4000000000015</v>
      </c>
      <c r="E82" s="44">
        <f t="shared" si="0"/>
        <v>9211.4999999999982</v>
      </c>
      <c r="F82" s="44">
        <f t="shared" si="0"/>
        <v>9192.1999999999989</v>
      </c>
      <c r="G82" s="44">
        <f t="shared" si="0"/>
        <v>9202.2000000000007</v>
      </c>
      <c r="H82" s="44">
        <f t="shared" si="0"/>
        <v>9206.9</v>
      </c>
      <c r="I82" s="44">
        <f t="shared" si="0"/>
        <v>9218</v>
      </c>
      <c r="J82" s="44">
        <f t="shared" si="0"/>
        <v>9263.9</v>
      </c>
    </row>
    <row r="83" spans="2:10" x14ac:dyDescent="0.25">
      <c r="B83" s="14">
        <f>Parameter!B97</f>
        <v>94</v>
      </c>
      <c r="C83" s="159" t="str">
        <f>Parameter!C97</f>
        <v>Southland Regional</v>
      </c>
      <c r="D83" s="44">
        <f t="shared" si="0"/>
        <v>6460.0999999999995</v>
      </c>
      <c r="E83" s="44">
        <f t="shared" si="0"/>
        <v>6448.1</v>
      </c>
      <c r="F83" s="44">
        <f t="shared" si="0"/>
        <v>6461.2999999999993</v>
      </c>
      <c r="G83" s="44">
        <f t="shared" si="0"/>
        <v>6471.6</v>
      </c>
      <c r="H83" s="44">
        <f t="shared" si="0"/>
        <v>6458.2000000000007</v>
      </c>
      <c r="I83" s="44">
        <f t="shared" si="0"/>
        <v>6458.7999999999993</v>
      </c>
      <c r="J83" s="44">
        <f t="shared" si="0"/>
        <v>6458.5</v>
      </c>
    </row>
    <row r="84" spans="2:10" x14ac:dyDescent="0.25"/>
    <row r="85" spans="2:10" x14ac:dyDescent="0.25">
      <c r="B85" s="20" t="s">
        <v>323</v>
      </c>
      <c r="C85" s="26"/>
      <c r="D85" s="26"/>
      <c r="E85" s="26"/>
      <c r="F85" s="26"/>
      <c r="G85" s="26"/>
      <c r="H85" s="26"/>
      <c r="I85" s="26"/>
      <c r="J85" s="26"/>
    </row>
    <row r="86" spans="2:10" x14ac:dyDescent="0.25"/>
  </sheetData>
  <autoFilter ref="B5:J83" xr:uid="{DB154679-2646-4098-9CF9-99576ABF6F9F}"/>
  <pageMargins left="0.7" right="0.7" top="0.75" bottom="0.75" header="0.3" footer="0.3"/>
  <pageSetup orientation="portrait" r:id="rId1"/>
  <headerFooter>
    <oddHeader>&amp;L&amp;16&amp;F&amp;R&amp;G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1FCDF-E3BB-4161-9E26-D7EC7AAAC378}">
  <sheetPr>
    <tabColor theme="7" tint="-0.249977111117893"/>
    <pageSetUpPr fitToPage="1"/>
  </sheetPr>
  <dimension ref="A1:R85"/>
  <sheetViews>
    <sheetView showGridLines="0" zoomScale="86" zoomScaleNormal="86" workbookViewId="0">
      <selection activeCell="E29" sqref="E29"/>
    </sheetView>
  </sheetViews>
  <sheetFormatPr defaultColWidth="0" defaultRowHeight="13.2" zeroHeight="1" x14ac:dyDescent="0.25"/>
  <cols>
    <col min="1" max="1" width="3.81640625" style="7" customWidth="1"/>
    <col min="2" max="2" width="8.90625" style="7" customWidth="1"/>
    <col min="3" max="3" width="30.6328125" style="7" customWidth="1"/>
    <col min="4" max="4" width="12.453125" style="7" customWidth="1"/>
    <col min="5" max="5" width="14.1796875" style="7" bestFit="1" customWidth="1"/>
    <col min="6" max="6" width="12.453125" style="7" customWidth="1"/>
    <col min="7" max="7" width="14.1796875" style="7" bestFit="1" customWidth="1"/>
    <col min="8" max="9" width="12.453125" style="7" customWidth="1"/>
    <col min="10" max="10" width="14.1796875" style="7" bestFit="1" customWidth="1"/>
    <col min="11" max="11" width="12.453125" style="7" customWidth="1"/>
    <col min="12" max="12" width="14.1796875" style="7" bestFit="1" customWidth="1"/>
    <col min="13" max="14" width="12.453125" style="7" customWidth="1"/>
    <col min="15" max="15" width="14.1796875" style="7" bestFit="1" customWidth="1"/>
    <col min="16" max="16" width="12.453125" style="7" customWidth="1"/>
    <col min="17" max="17" width="14.1796875" style="7" bestFit="1" customWidth="1"/>
    <col min="18" max="18" width="8.90625" style="7" customWidth="1"/>
    <col min="19" max="16384" width="8.90625" style="7" hidden="1"/>
  </cols>
  <sheetData>
    <row r="1" spans="2:17" x14ac:dyDescent="0.25">
      <c r="I1" s="27"/>
      <c r="J1" s="27"/>
      <c r="K1" s="27"/>
      <c r="L1" s="27"/>
      <c r="M1" s="27"/>
      <c r="N1" s="27"/>
      <c r="O1" s="27"/>
      <c r="P1" s="27"/>
      <c r="Q1" s="27"/>
    </row>
    <row r="2" spans="2:17" s="9" customFormat="1" x14ac:dyDescent="0.25">
      <c r="B2" s="20" t="s">
        <v>276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2:17" s="9" customFormat="1" x14ac:dyDescent="0.25">
      <c r="B3" s="20" t="s">
        <v>325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</row>
    <row r="4" spans="2:17" s="9" customFormat="1" x14ac:dyDescent="0.25"/>
    <row r="5" spans="2:17" ht="26.4" x14ac:dyDescent="0.25">
      <c r="B5" s="12" t="s">
        <v>127</v>
      </c>
      <c r="C5" s="29" t="s">
        <v>198</v>
      </c>
      <c r="D5" s="13" t="s">
        <v>199</v>
      </c>
      <c r="E5" s="13" t="s">
        <v>200</v>
      </c>
      <c r="F5" s="13" t="s">
        <v>201</v>
      </c>
      <c r="G5" s="13" t="s">
        <v>202</v>
      </c>
      <c r="H5" s="13" t="s">
        <v>203</v>
      </c>
      <c r="I5" s="13" t="s">
        <v>204</v>
      </c>
      <c r="J5" s="13" t="s">
        <v>205</v>
      </c>
      <c r="K5" s="13" t="s">
        <v>206</v>
      </c>
      <c r="L5" s="13" t="s">
        <v>207</v>
      </c>
      <c r="M5" s="13" t="s">
        <v>203</v>
      </c>
      <c r="N5" s="13" t="s">
        <v>302</v>
      </c>
      <c r="O5" s="13" t="s">
        <v>303</v>
      </c>
      <c r="P5" s="13" t="s">
        <v>304</v>
      </c>
      <c r="Q5" s="13" t="s">
        <v>305</v>
      </c>
    </row>
    <row r="6" spans="2:17" x14ac:dyDescent="0.25">
      <c r="B6" s="14">
        <f>INDEX(Table_Mapping!$B$5:$D$83,MATCH(C6,Table_Mapping!$C$5:$C$83,0),MATCH(B$5,Table_Mapping!$B$5:$D$5,0))</f>
        <v>81</v>
      </c>
      <c r="C6" s="158" t="s">
        <v>139</v>
      </c>
      <c r="D6" s="30">
        <v>36354</v>
      </c>
      <c r="E6" s="30">
        <v>13028934950</v>
      </c>
      <c r="F6" s="30">
        <v>522221.14120000042</v>
      </c>
      <c r="G6" s="30">
        <v>12884686827.5</v>
      </c>
      <c r="H6" s="31">
        <v>41487</v>
      </c>
      <c r="I6" s="30">
        <v>36266</v>
      </c>
      <c r="J6" s="30">
        <v>13228523450</v>
      </c>
      <c r="K6" s="30">
        <v>519417.14120000054</v>
      </c>
      <c r="L6" s="30">
        <v>14782531429.5</v>
      </c>
      <c r="M6" s="31">
        <v>42583</v>
      </c>
      <c r="N6" s="30">
        <v>36929</v>
      </c>
      <c r="O6" s="30">
        <v>15457647800</v>
      </c>
      <c r="P6" s="30">
        <v>519786.32120000012</v>
      </c>
      <c r="Q6" s="30">
        <v>19445705204</v>
      </c>
    </row>
    <row r="7" spans="2:17" x14ac:dyDescent="0.25">
      <c r="B7" s="14">
        <f>INDEX(Table_Mapping!$B$5:$D$83,MATCH(C7,Table_Mapping!$C$5:$C$83,0),MATCH(B$5,Table_Mapping!$B$5:$D$5,0))</f>
        <v>81</v>
      </c>
      <c r="C7" s="158" t="s">
        <v>140</v>
      </c>
      <c r="D7" s="30">
        <v>40272</v>
      </c>
      <c r="E7" s="30">
        <v>17705492150</v>
      </c>
      <c r="F7" s="30">
        <v>223536.0399999994</v>
      </c>
      <c r="G7" s="30">
        <v>17972107799.5</v>
      </c>
      <c r="H7" s="31">
        <v>42248</v>
      </c>
      <c r="I7" s="30">
        <v>40867</v>
      </c>
      <c r="J7" s="30">
        <v>19325798010</v>
      </c>
      <c r="K7" s="30">
        <v>226766.36999999965</v>
      </c>
      <c r="L7" s="30">
        <v>22033139685.247555</v>
      </c>
      <c r="M7" s="31">
        <v>43313</v>
      </c>
      <c r="N7" s="30">
        <v>44865</v>
      </c>
      <c r="O7" s="30">
        <v>29634812854</v>
      </c>
      <c r="P7" s="30">
        <v>286543.09080000059</v>
      </c>
      <c r="Q7" s="30">
        <v>31545751092.330002</v>
      </c>
    </row>
    <row r="8" spans="2:17" x14ac:dyDescent="0.25">
      <c r="B8" s="14">
        <f>INDEX(Table_Mapping!$B$5:$D$83,MATCH(C8,Table_Mapping!$C$5:$C$83,0),MATCH(B$5,Table_Mapping!$B$5:$D$5,0))</f>
        <v>81</v>
      </c>
      <c r="C8" s="158" t="s">
        <v>141</v>
      </c>
      <c r="D8" s="30">
        <v>14146</v>
      </c>
      <c r="E8" s="30">
        <v>6036684150</v>
      </c>
      <c r="F8" s="30">
        <v>254935.15999999986</v>
      </c>
      <c r="G8" s="30">
        <v>6187497807</v>
      </c>
      <c r="H8" s="31">
        <v>41883</v>
      </c>
      <c r="I8" s="30">
        <v>14437</v>
      </c>
      <c r="J8" s="30">
        <v>6315056550</v>
      </c>
      <c r="K8" s="30">
        <v>254988.30999999991</v>
      </c>
      <c r="L8" s="30">
        <v>7550373410.8371468</v>
      </c>
      <c r="M8" s="31">
        <v>42979</v>
      </c>
      <c r="N8" s="30">
        <v>14632</v>
      </c>
      <c r="O8" s="30">
        <v>8865718300</v>
      </c>
      <c r="P8" s="30">
        <v>265121.79999999993</v>
      </c>
      <c r="Q8" s="30">
        <v>9989023880</v>
      </c>
    </row>
    <row r="9" spans="2:17" x14ac:dyDescent="0.25">
      <c r="B9" s="14">
        <f>INDEX(Table_Mapping!$B$5:$D$83,MATCH(C9,Table_Mapping!$C$5:$C$83,0),MATCH(B$5,Table_Mapping!$B$5:$D$5,0))</f>
        <v>4</v>
      </c>
      <c r="C9" s="158" t="s">
        <v>215</v>
      </c>
      <c r="D9" s="30">
        <v>524102</v>
      </c>
      <c r="E9" s="30">
        <v>352331333690</v>
      </c>
      <c r="F9" s="30">
        <v>714989.12210000074</v>
      </c>
      <c r="G9" s="30">
        <v>453018480632.75</v>
      </c>
      <c r="H9" s="31">
        <v>42248</v>
      </c>
      <c r="I9" s="30">
        <v>536198</v>
      </c>
      <c r="J9" s="30">
        <v>477658871464</v>
      </c>
      <c r="K9" s="30">
        <v>435162.33149999974</v>
      </c>
      <c r="L9" s="30">
        <v>653237179634</v>
      </c>
      <c r="M9" s="31">
        <v>42917</v>
      </c>
      <c r="N9" s="30">
        <v>564585</v>
      </c>
      <c r="O9" s="30">
        <v>725629781624</v>
      </c>
      <c r="P9" s="30">
        <v>446488.81190000003</v>
      </c>
      <c r="Q9" s="30">
        <v>761449747552.19995</v>
      </c>
    </row>
    <row r="10" spans="2:17" x14ac:dyDescent="0.25">
      <c r="B10" s="14">
        <f>INDEX(Table_Mapping!$B$5:$D$83,MATCH(C10,Table_Mapping!$C$5:$C$83,0),MATCH(B$5,Table_Mapping!$B$5:$D$5,0))</f>
        <v>83</v>
      </c>
      <c r="C10" s="158" t="s">
        <v>213</v>
      </c>
      <c r="D10" s="30">
        <v>26982</v>
      </c>
      <c r="E10" s="30">
        <v>14236956350</v>
      </c>
      <c r="F10" s="30">
        <v>131732.84470000016</v>
      </c>
      <c r="G10" s="30">
        <v>14453083751</v>
      </c>
      <c r="H10" s="31">
        <v>41821</v>
      </c>
      <c r="I10" s="30">
        <v>27213</v>
      </c>
      <c r="J10" s="30">
        <v>14813581550</v>
      </c>
      <c r="K10" s="30">
        <v>131429.15470000001</v>
      </c>
      <c r="L10" s="30">
        <v>17465386634.5</v>
      </c>
      <c r="M10" s="31">
        <v>42917</v>
      </c>
      <c r="N10" s="30">
        <v>27816</v>
      </c>
      <c r="O10" s="30">
        <v>20205873150</v>
      </c>
      <c r="P10" s="30">
        <v>133900.03470000005</v>
      </c>
      <c r="Q10" s="30">
        <v>22572856742.993374</v>
      </c>
    </row>
    <row r="11" spans="2:17" x14ac:dyDescent="0.25">
      <c r="B11" s="14">
        <f>INDEX(Table_Mapping!$B$5:$D$83,MATCH(C11,Table_Mapping!$C$5:$C$83,0),MATCH(B$5,Table_Mapping!$B$5:$D$5,0))</f>
        <v>83</v>
      </c>
      <c r="C11" s="158" t="s">
        <v>142</v>
      </c>
      <c r="D11" s="30">
        <v>11025</v>
      </c>
      <c r="E11" s="30">
        <v>4774542300</v>
      </c>
      <c r="F11" s="30">
        <v>115267.64150000004</v>
      </c>
      <c r="G11" s="30">
        <v>5147850086</v>
      </c>
      <c r="H11" s="31">
        <v>42186</v>
      </c>
      <c r="I11" s="30">
        <v>10831</v>
      </c>
      <c r="J11" s="30">
        <v>5513167200</v>
      </c>
      <c r="K11" s="30">
        <v>126964.94150000004</v>
      </c>
      <c r="L11" s="30">
        <v>6400835715.5</v>
      </c>
      <c r="M11" s="31">
        <v>43282</v>
      </c>
      <c r="N11" s="30">
        <v>11100</v>
      </c>
      <c r="O11" s="30">
        <v>7047894500</v>
      </c>
      <c r="P11" s="30">
        <v>126919.11150000007</v>
      </c>
      <c r="Q11" s="30">
        <v>7475563406.2025537</v>
      </c>
    </row>
    <row r="12" spans="2:17" x14ac:dyDescent="0.25">
      <c r="B12" s="14">
        <f>INDEX(Table_Mapping!$B$5:$D$83,MATCH(C12,Table_Mapping!$C$5:$C$83,0),MATCH(B$5,Table_Mapping!$B$5:$D$5,0))</f>
        <v>83</v>
      </c>
      <c r="C12" s="158" t="s">
        <v>143</v>
      </c>
      <c r="D12" s="30">
        <v>29906</v>
      </c>
      <c r="E12" s="30">
        <v>18141662150</v>
      </c>
      <c r="F12" s="30">
        <v>524312.19100000022</v>
      </c>
      <c r="G12" s="30">
        <v>19322034265.5</v>
      </c>
      <c r="H12" s="31">
        <v>41821</v>
      </c>
      <c r="I12" s="30">
        <v>30576</v>
      </c>
      <c r="J12" s="30">
        <v>19999090415</v>
      </c>
      <c r="K12" s="30">
        <v>521039.94100000022</v>
      </c>
      <c r="L12" s="30">
        <v>25136211871.849998</v>
      </c>
      <c r="M12" s="31">
        <v>42917</v>
      </c>
      <c r="N12" s="30">
        <v>32708</v>
      </c>
      <c r="O12" s="30">
        <v>28741758200</v>
      </c>
      <c r="P12" s="30">
        <v>519227.40190000035</v>
      </c>
      <c r="Q12" s="30">
        <v>31192774533.885769</v>
      </c>
    </row>
    <row r="13" spans="2:17" x14ac:dyDescent="0.25">
      <c r="B13" s="14">
        <f>INDEX(Table_Mapping!$B$5:$D$83,MATCH(C13,Table_Mapping!$C$5:$C$83,0),MATCH(B$5,Table_Mapping!$B$5:$D$5,0))</f>
        <v>83</v>
      </c>
      <c r="C13" s="158" t="s">
        <v>214</v>
      </c>
      <c r="D13" s="30">
        <v>14443</v>
      </c>
      <c r="E13" s="30">
        <v>9889215000</v>
      </c>
      <c r="F13" s="30">
        <v>151172.35</v>
      </c>
      <c r="G13" s="30">
        <v>10556407425</v>
      </c>
      <c r="H13" s="31">
        <v>42186</v>
      </c>
      <c r="I13" s="30">
        <v>14376</v>
      </c>
      <c r="J13" s="30">
        <v>12284602800</v>
      </c>
      <c r="K13" s="30">
        <v>153556.09999999998</v>
      </c>
      <c r="L13" s="30">
        <v>13336181840</v>
      </c>
      <c r="M13" s="31">
        <v>43282</v>
      </c>
      <c r="N13" s="30">
        <v>14629</v>
      </c>
      <c r="O13" s="30">
        <v>15152367400</v>
      </c>
      <c r="P13" s="30">
        <v>153419.13999999996</v>
      </c>
      <c r="Q13" s="30">
        <v>15887445405.244387</v>
      </c>
    </row>
    <row r="14" spans="2:17" x14ac:dyDescent="0.25">
      <c r="B14" s="14">
        <f>INDEX(Table_Mapping!$B$5:$D$83,MATCH(C14,Table_Mapping!$C$5:$C$83,0),MATCH(B$5,Table_Mapping!$B$5:$D$5,0))</f>
        <v>83</v>
      </c>
      <c r="C14" s="158" t="s">
        <v>144</v>
      </c>
      <c r="D14" s="30">
        <v>55695</v>
      </c>
      <c r="E14" s="30">
        <v>24433314900</v>
      </c>
      <c r="F14" s="30">
        <v>8100.1646000000101</v>
      </c>
      <c r="G14" s="30">
        <v>25879196084.5</v>
      </c>
      <c r="H14" s="31">
        <v>42248</v>
      </c>
      <c r="I14" s="30">
        <v>57390</v>
      </c>
      <c r="J14" s="30">
        <v>30808795950</v>
      </c>
      <c r="K14" s="30">
        <v>7976.3740000000034</v>
      </c>
      <c r="L14" s="30">
        <v>37262578535</v>
      </c>
      <c r="M14" s="31">
        <v>43344</v>
      </c>
      <c r="N14" s="30">
        <v>60184</v>
      </c>
      <c r="O14" s="30">
        <v>42622984350</v>
      </c>
      <c r="P14" s="30">
        <v>8078.0839999999971</v>
      </c>
      <c r="Q14" s="30">
        <v>45788259562.262634</v>
      </c>
    </row>
    <row r="15" spans="2:17" x14ac:dyDescent="0.25">
      <c r="B15" s="14">
        <f>INDEX(Table_Mapping!$B$5:$D$83,MATCH(C15,Table_Mapping!$C$5:$C$83,0),MATCH(B$5,Table_Mapping!$B$5:$D$5,0))</f>
        <v>83</v>
      </c>
      <c r="C15" s="158" t="s">
        <v>145</v>
      </c>
      <c r="D15" s="30">
        <v>20625</v>
      </c>
      <c r="E15" s="30">
        <v>12678030260</v>
      </c>
      <c r="F15" s="30">
        <v>137579.45379999999</v>
      </c>
      <c r="G15" s="30">
        <v>13212972848.700001</v>
      </c>
      <c r="H15" s="31">
        <v>41487</v>
      </c>
      <c r="I15" s="30">
        <v>20920</v>
      </c>
      <c r="J15" s="30">
        <v>13181254960</v>
      </c>
      <c r="K15" s="30">
        <v>138288.45379999993</v>
      </c>
      <c r="L15" s="30">
        <v>16354460510.5</v>
      </c>
      <c r="M15" s="31">
        <v>42583</v>
      </c>
      <c r="N15" s="30">
        <v>22224</v>
      </c>
      <c r="O15" s="30">
        <v>17297190950</v>
      </c>
      <c r="P15" s="30">
        <v>137506.34829999998</v>
      </c>
      <c r="Q15" s="30">
        <v>21604084565</v>
      </c>
    </row>
    <row r="16" spans="2:17" x14ac:dyDescent="0.25">
      <c r="B16" s="14">
        <f>INDEX(Table_Mapping!$B$5:$D$83,MATCH(C16,Table_Mapping!$C$5:$C$83,0),MATCH(B$5,Table_Mapping!$B$5:$D$5,0))</f>
        <v>83</v>
      </c>
      <c r="C16" s="158" t="s">
        <v>146</v>
      </c>
      <c r="D16" s="30">
        <v>5212</v>
      </c>
      <c r="E16" s="30">
        <v>3476099050</v>
      </c>
      <c r="F16" s="30">
        <v>154254.81000000006</v>
      </c>
      <c r="G16" s="30">
        <v>3723968002.5</v>
      </c>
      <c r="H16" s="31">
        <v>41487</v>
      </c>
      <c r="I16" s="30">
        <v>4944</v>
      </c>
      <c r="J16" s="30">
        <v>3503350450</v>
      </c>
      <c r="K16" s="30">
        <v>152546.96000000008</v>
      </c>
      <c r="L16" s="30">
        <v>4176557167.5</v>
      </c>
      <c r="M16" s="31">
        <v>42583</v>
      </c>
      <c r="N16" s="30">
        <v>4933</v>
      </c>
      <c r="O16" s="30">
        <v>4203504675</v>
      </c>
      <c r="P16" s="30">
        <v>154310.69000000006</v>
      </c>
      <c r="Q16" s="30">
        <v>4878545574.125</v>
      </c>
    </row>
    <row r="17" spans="2:17" x14ac:dyDescent="0.25">
      <c r="B17" s="14">
        <f>INDEX(Table_Mapping!$B$5:$D$83,MATCH(C17,Table_Mapping!$C$5:$C$83,0),MATCH(B$5,Table_Mapping!$B$5:$D$5,0))</f>
        <v>83</v>
      </c>
      <c r="C17" s="158" t="s">
        <v>147</v>
      </c>
      <c r="D17" s="30">
        <v>10130</v>
      </c>
      <c r="E17" s="30">
        <v>4556444300</v>
      </c>
      <c r="F17" s="30">
        <v>176234.14</v>
      </c>
      <c r="G17" s="30">
        <v>4502744864</v>
      </c>
      <c r="H17" s="31">
        <v>42186</v>
      </c>
      <c r="I17" s="30">
        <v>10010</v>
      </c>
      <c r="J17" s="30">
        <v>5696055700</v>
      </c>
      <c r="K17" s="30">
        <v>175992.92</v>
      </c>
      <c r="L17" s="30">
        <v>6564005686</v>
      </c>
      <c r="M17" s="31">
        <v>43282</v>
      </c>
      <c r="N17" s="30">
        <v>10101</v>
      </c>
      <c r="O17" s="30">
        <v>6700019800</v>
      </c>
      <c r="P17" s="30">
        <v>176065.83000000005</v>
      </c>
      <c r="Q17" s="30">
        <v>7208091816.534874</v>
      </c>
    </row>
    <row r="18" spans="2:17" x14ac:dyDescent="0.25">
      <c r="B18" s="14">
        <f>INDEX(Table_Mapping!$B$5:$D$83,MATCH(C18,Table_Mapping!$C$5:$C$83,0),MATCH(B$5,Table_Mapping!$B$5:$D$5,0))</f>
        <v>83</v>
      </c>
      <c r="C18" s="158" t="s">
        <v>148</v>
      </c>
      <c r="D18" s="30">
        <v>5803</v>
      </c>
      <c r="E18" s="30">
        <v>2906056700</v>
      </c>
      <c r="F18" s="30">
        <v>288089.10000000021</v>
      </c>
      <c r="G18" s="30">
        <v>2889268630</v>
      </c>
      <c r="H18" s="31">
        <v>42248</v>
      </c>
      <c r="I18" s="30">
        <v>5573</v>
      </c>
      <c r="J18" s="30">
        <v>2973989700</v>
      </c>
      <c r="K18" s="30">
        <v>287309.6500000002</v>
      </c>
      <c r="L18" s="30">
        <v>3021536935</v>
      </c>
      <c r="M18" s="31">
        <v>43344</v>
      </c>
      <c r="N18" s="30">
        <v>5578</v>
      </c>
      <c r="O18" s="30">
        <v>3543308730</v>
      </c>
      <c r="P18" s="30">
        <v>287733.01000000007</v>
      </c>
      <c r="Q18" s="30">
        <v>3838372740.7389946</v>
      </c>
    </row>
    <row r="19" spans="2:17" x14ac:dyDescent="0.25">
      <c r="B19" s="14">
        <f>INDEX(Table_Mapping!$B$5:$D$83,MATCH(C19,Table_Mapping!$C$5:$C$83,0),MATCH(B$5,Table_Mapping!$B$5:$D$5,0))</f>
        <v>83</v>
      </c>
      <c r="C19" s="158" t="s">
        <v>149</v>
      </c>
      <c r="D19" s="30">
        <v>22647</v>
      </c>
      <c r="E19" s="30">
        <v>14493089500</v>
      </c>
      <c r="F19" s="30">
        <v>573739.33999999939</v>
      </c>
      <c r="G19" s="30">
        <v>13956226507</v>
      </c>
      <c r="H19" s="31">
        <v>42552</v>
      </c>
      <c r="I19" s="30">
        <v>22349</v>
      </c>
      <c r="J19" s="30">
        <v>15303080700</v>
      </c>
      <c r="K19" s="30">
        <v>552719.47679999948</v>
      </c>
      <c r="L19" s="30">
        <v>15303080700</v>
      </c>
      <c r="M19" s="31">
        <v>42552</v>
      </c>
      <c r="N19" s="30">
        <v>23129</v>
      </c>
      <c r="O19" s="30">
        <v>16259159106</v>
      </c>
      <c r="P19" s="30">
        <v>569782.19999999995</v>
      </c>
      <c r="Q19" s="30">
        <v>19348060515.239998</v>
      </c>
    </row>
    <row r="20" spans="2:17" x14ac:dyDescent="0.25">
      <c r="B20" s="14">
        <f>INDEX(Table_Mapping!$B$5:$D$83,MATCH(C20,Table_Mapping!$C$5:$C$83,0),MATCH(B$5,Table_Mapping!$B$5:$D$5,0))</f>
        <v>84</v>
      </c>
      <c r="C20" s="158" t="s">
        <v>212</v>
      </c>
      <c r="D20" s="30">
        <v>22591</v>
      </c>
      <c r="E20" s="30">
        <v>13301853500</v>
      </c>
      <c r="F20" s="30">
        <v>197891.02999999991</v>
      </c>
      <c r="G20" s="30">
        <v>13541085722</v>
      </c>
      <c r="H20" s="31">
        <v>41821</v>
      </c>
      <c r="I20" s="30">
        <v>23111</v>
      </c>
      <c r="J20" s="30">
        <v>20123450500</v>
      </c>
      <c r="K20" s="30">
        <v>198093.84000000003</v>
      </c>
      <c r="L20" s="30">
        <v>20123450500</v>
      </c>
      <c r="M20" s="31">
        <v>42552</v>
      </c>
      <c r="N20" s="30">
        <v>24610</v>
      </c>
      <c r="O20" s="30">
        <v>21339968100</v>
      </c>
      <c r="P20" s="30">
        <v>201468.73</v>
      </c>
      <c r="Q20" s="30">
        <v>26887523511</v>
      </c>
    </row>
    <row r="21" spans="2:17" x14ac:dyDescent="0.25">
      <c r="B21" s="14">
        <f>INDEX(Table_Mapping!$B$5:$D$83,MATCH(C21,Table_Mapping!$C$5:$C$83,0),MATCH(B$5,Table_Mapping!$B$5:$D$5,0))</f>
        <v>84</v>
      </c>
      <c r="C21" s="158" t="s">
        <v>150</v>
      </c>
      <c r="D21" s="30">
        <v>52325</v>
      </c>
      <c r="E21" s="30">
        <v>28062566600</v>
      </c>
      <c r="F21" s="30">
        <v>13893.51</v>
      </c>
      <c r="G21" s="30">
        <v>29324115589</v>
      </c>
      <c r="H21" s="31">
        <v>42186</v>
      </c>
      <c r="I21" s="30">
        <v>54459</v>
      </c>
      <c r="J21" s="30">
        <v>34270086200</v>
      </c>
      <c r="K21" s="30">
        <v>10065.649999999991</v>
      </c>
      <c r="L21" s="30">
        <v>42334137512</v>
      </c>
      <c r="M21" s="31">
        <v>43282</v>
      </c>
      <c r="N21" s="30">
        <v>58710</v>
      </c>
      <c r="O21" s="30">
        <v>53164831300</v>
      </c>
      <c r="P21" s="30">
        <v>10109.82</v>
      </c>
      <c r="Q21" s="30">
        <v>55741729345</v>
      </c>
    </row>
    <row r="22" spans="2:17" x14ac:dyDescent="0.25">
      <c r="B22" s="14">
        <f>INDEX(Table_Mapping!$B$5:$D$83,MATCH(C22,Table_Mapping!$C$5:$C$83,0),MATCH(B$5,Table_Mapping!$B$5:$D$5,0))</f>
        <v>84</v>
      </c>
      <c r="C22" s="158" t="s">
        <v>151</v>
      </c>
      <c r="D22" s="30">
        <v>29369</v>
      </c>
      <c r="E22" s="30">
        <v>12394693650</v>
      </c>
      <c r="F22" s="30">
        <v>248973.43030000036</v>
      </c>
      <c r="G22" s="30">
        <v>12103207950</v>
      </c>
      <c r="H22" s="31">
        <v>41821</v>
      </c>
      <c r="I22" s="30">
        <v>29447</v>
      </c>
      <c r="J22" s="30">
        <v>12523819501</v>
      </c>
      <c r="K22" s="30">
        <v>249872.15030000012</v>
      </c>
      <c r="L22" s="30">
        <v>15063999511</v>
      </c>
      <c r="M22" s="31">
        <v>42917</v>
      </c>
      <c r="N22" s="30">
        <v>29291</v>
      </c>
      <c r="O22" s="30">
        <v>16920348801</v>
      </c>
      <c r="P22" s="30">
        <v>251279.79030000037</v>
      </c>
      <c r="Q22" s="30">
        <v>19873452995.099998</v>
      </c>
    </row>
    <row r="23" spans="2:17" x14ac:dyDescent="0.25">
      <c r="B23" s="14">
        <f>INDEX(Table_Mapping!$B$5:$D$83,MATCH(C23,Table_Mapping!$C$5:$C$83,0),MATCH(B$5,Table_Mapping!$B$5:$D$5,0))</f>
        <v>84</v>
      </c>
      <c r="C23" s="158" t="s">
        <v>152</v>
      </c>
      <c r="D23" s="30">
        <v>15807</v>
      </c>
      <c r="E23" s="30">
        <v>6945777250</v>
      </c>
      <c r="F23" s="30">
        <v>254136.08999999988</v>
      </c>
      <c r="G23" s="30">
        <v>6948001767.5</v>
      </c>
      <c r="H23" s="31">
        <v>41518</v>
      </c>
      <c r="I23" s="30">
        <v>15709</v>
      </c>
      <c r="J23" s="30">
        <v>6965421350</v>
      </c>
      <c r="K23" s="30">
        <v>254767.16999999972</v>
      </c>
      <c r="L23" s="30">
        <v>8049677369</v>
      </c>
      <c r="M23" s="31">
        <v>42614</v>
      </c>
      <c r="N23" s="30">
        <v>15824</v>
      </c>
      <c r="O23" s="30">
        <v>8312612800</v>
      </c>
      <c r="P23" s="30">
        <v>254898.54999999973</v>
      </c>
      <c r="Q23" s="30">
        <v>10408731824.5</v>
      </c>
    </row>
    <row r="24" spans="2:17" x14ac:dyDescent="0.25">
      <c r="B24" s="14">
        <f>INDEX(Table_Mapping!$B$5:$D$83,MATCH(C24,Table_Mapping!$C$5:$C$83,0),MATCH(B$5,Table_Mapping!$B$5:$D$5,0))</f>
        <v>84</v>
      </c>
      <c r="C24" s="158" t="s">
        <v>153</v>
      </c>
      <c r="D24" s="30">
        <v>2897</v>
      </c>
      <c r="E24" s="30">
        <v>550720500</v>
      </c>
      <c r="F24" s="30">
        <v>1914.57</v>
      </c>
      <c r="G24" s="30">
        <v>480205750</v>
      </c>
      <c r="H24" s="31">
        <v>42248</v>
      </c>
      <c r="I24" s="30">
        <v>2900</v>
      </c>
      <c r="J24" s="30">
        <v>536704000</v>
      </c>
      <c r="K24" s="30">
        <v>1912.4099999999996</v>
      </c>
      <c r="L24" s="30">
        <v>665089275</v>
      </c>
      <c r="M24" s="31">
        <v>43344</v>
      </c>
      <c r="N24" s="30">
        <v>2903</v>
      </c>
      <c r="O24" s="30">
        <v>990556900</v>
      </c>
      <c r="P24" s="30">
        <v>1912.4099999999996</v>
      </c>
      <c r="Q24" s="30">
        <v>1094875745</v>
      </c>
    </row>
    <row r="25" spans="2:17" x14ac:dyDescent="0.25">
      <c r="B25" s="14">
        <f>INDEX(Table_Mapping!$B$5:$D$83,MATCH(C25,Table_Mapping!$C$5:$C$83,0),MATCH(B$5,Table_Mapping!$B$5:$D$5,0))</f>
        <v>84</v>
      </c>
      <c r="C25" s="158" t="s">
        <v>154</v>
      </c>
      <c r="D25" s="30">
        <v>5593</v>
      </c>
      <c r="E25" s="30">
        <v>1683651700</v>
      </c>
      <c r="F25" s="30">
        <v>90500.689999999988</v>
      </c>
      <c r="G25" s="30">
        <v>1650612465</v>
      </c>
      <c r="H25" s="31">
        <v>41518</v>
      </c>
      <c r="I25" s="30">
        <v>5566</v>
      </c>
      <c r="J25" s="30">
        <v>1698868400</v>
      </c>
      <c r="K25" s="30">
        <v>90512.35</v>
      </c>
      <c r="L25" s="30">
        <v>1921448529.5</v>
      </c>
      <c r="M25" s="31">
        <v>42614</v>
      </c>
      <c r="N25" s="30">
        <v>5588</v>
      </c>
      <c r="O25" s="30">
        <v>1983420450</v>
      </c>
      <c r="P25" s="30">
        <v>89810.829999999987</v>
      </c>
      <c r="Q25" s="30">
        <v>2671584597.5</v>
      </c>
    </row>
    <row r="26" spans="2:17" x14ac:dyDescent="0.25">
      <c r="B26" s="14">
        <f>INDEX(Table_Mapping!$B$5:$D$83,MATCH(C26,Table_Mapping!$C$5:$C$83,0),MATCH(B$5,Table_Mapping!$B$5:$D$5,0))</f>
        <v>27</v>
      </c>
      <c r="C26" s="158" t="s">
        <v>155</v>
      </c>
      <c r="D26" s="30">
        <v>23737</v>
      </c>
      <c r="E26" s="30">
        <v>9345847650</v>
      </c>
      <c r="F26" s="30">
        <v>933128.47169999988</v>
      </c>
      <c r="G26" s="30">
        <v>9389535018.5</v>
      </c>
      <c r="H26" s="31">
        <v>41821</v>
      </c>
      <c r="I26" s="30">
        <v>23808</v>
      </c>
      <c r="J26" s="30">
        <v>9503704550</v>
      </c>
      <c r="K26" s="30">
        <v>938316.67169999983</v>
      </c>
      <c r="L26" s="30">
        <v>10473400693.5</v>
      </c>
      <c r="M26" s="31">
        <v>42917</v>
      </c>
      <c r="N26" s="30">
        <v>23312</v>
      </c>
      <c r="O26" s="30">
        <v>11860555750</v>
      </c>
      <c r="P26" s="30">
        <v>1014927.5716999999</v>
      </c>
      <c r="Q26" s="30">
        <v>15405950675</v>
      </c>
    </row>
    <row r="27" spans="2:17" x14ac:dyDescent="0.25">
      <c r="B27" s="14">
        <f>INDEX(Table_Mapping!$B$5:$D$83,MATCH(C27,Table_Mapping!$C$5:$C$83,0),MATCH(B$5,Table_Mapping!$B$5:$D$5,0))</f>
        <v>86</v>
      </c>
      <c r="C27" s="158" t="s">
        <v>156</v>
      </c>
      <c r="D27" s="30">
        <v>6718</v>
      </c>
      <c r="E27" s="30">
        <v>1677426200</v>
      </c>
      <c r="F27" s="30">
        <v>281173.5400000001</v>
      </c>
      <c r="G27" s="30">
        <v>1692562679</v>
      </c>
      <c r="H27" s="31">
        <v>42217</v>
      </c>
      <c r="I27" s="30">
        <v>6623</v>
      </c>
      <c r="J27" s="30">
        <v>1718531050</v>
      </c>
      <c r="K27" s="30">
        <v>281207.69999999995</v>
      </c>
      <c r="L27" s="30">
        <v>1900847940</v>
      </c>
      <c r="M27" s="31">
        <v>43313</v>
      </c>
      <c r="N27" s="30">
        <v>6654</v>
      </c>
      <c r="O27" s="30">
        <v>2244464800</v>
      </c>
      <c r="P27" s="30">
        <v>280894.33999999997</v>
      </c>
      <c r="Q27" s="30">
        <v>2645896790</v>
      </c>
    </row>
    <row r="28" spans="2:17" x14ac:dyDescent="0.25">
      <c r="B28" s="14">
        <f>INDEX(Table_Mapping!$B$5:$D$83,MATCH(C28,Table_Mapping!$C$5:$C$83,0),MATCH(B$5,Table_Mapping!$B$5:$D$5,0))</f>
        <v>86</v>
      </c>
      <c r="C28" s="158" t="s">
        <v>157</v>
      </c>
      <c r="D28" s="30">
        <v>30667</v>
      </c>
      <c r="E28" s="30">
        <v>15185736800</v>
      </c>
      <c r="F28" s="30">
        <v>412438.53610000008</v>
      </c>
      <c r="G28" s="30">
        <v>15474898155</v>
      </c>
      <c r="H28" s="31">
        <v>41487</v>
      </c>
      <c r="I28" s="30">
        <v>30736</v>
      </c>
      <c r="J28" s="30">
        <v>18332960250</v>
      </c>
      <c r="K28" s="30">
        <v>413120.12610000011</v>
      </c>
      <c r="L28" s="30">
        <v>18332960250</v>
      </c>
      <c r="M28" s="31">
        <v>42583</v>
      </c>
      <c r="N28" s="30">
        <v>31332</v>
      </c>
      <c r="O28" s="30">
        <v>19005370750</v>
      </c>
      <c r="P28" s="30">
        <v>412857.12610000005</v>
      </c>
      <c r="Q28" s="30">
        <v>26795392807.850006</v>
      </c>
    </row>
    <row r="29" spans="2:17" x14ac:dyDescent="0.25">
      <c r="B29" s="14">
        <f>INDEX(Table_Mapping!$B$5:$D$83,MATCH(C29,Table_Mapping!$C$5:$C$83,0),MATCH(B$5,Table_Mapping!$B$5:$D$5,0))</f>
        <v>86</v>
      </c>
      <c r="C29" s="158" t="s">
        <v>158</v>
      </c>
      <c r="D29" s="30">
        <v>24983</v>
      </c>
      <c r="E29" s="30">
        <v>9883234850</v>
      </c>
      <c r="F29" s="30">
        <v>7691.9773999999979</v>
      </c>
      <c r="G29" s="30">
        <v>9869310750</v>
      </c>
      <c r="H29" s="31">
        <v>41883</v>
      </c>
      <c r="I29" s="30">
        <v>25211</v>
      </c>
      <c r="J29" s="30">
        <v>10103557650</v>
      </c>
      <c r="K29" s="30">
        <v>7659.6473999999953</v>
      </c>
      <c r="L29" s="30">
        <v>12080283020</v>
      </c>
      <c r="M29" s="31">
        <v>42979</v>
      </c>
      <c r="N29" s="30">
        <v>25615</v>
      </c>
      <c r="O29" s="30">
        <v>14185235200</v>
      </c>
      <c r="P29" s="30">
        <v>7434.0307999999986</v>
      </c>
      <c r="Q29" s="30">
        <v>17721580600</v>
      </c>
    </row>
    <row r="30" spans="2:17" x14ac:dyDescent="0.25">
      <c r="B30" s="14">
        <f>INDEX(Table_Mapping!$B$5:$D$83,MATCH(C30,Table_Mapping!$C$5:$C$83,0),MATCH(B$5,Table_Mapping!$B$5:$D$5,0))</f>
        <v>86</v>
      </c>
      <c r="C30" s="158" t="s">
        <v>211</v>
      </c>
      <c r="D30" s="30">
        <v>7661</v>
      </c>
      <c r="E30" s="30">
        <v>3749735950</v>
      </c>
      <c r="F30" s="30">
        <v>305833.36</v>
      </c>
      <c r="G30" s="30">
        <v>3982104125</v>
      </c>
      <c r="H30" s="31">
        <v>42248</v>
      </c>
      <c r="I30" s="30">
        <v>7313</v>
      </c>
      <c r="J30" s="30">
        <v>4162272850</v>
      </c>
      <c r="K30" s="30">
        <v>305782.83999999985</v>
      </c>
      <c r="L30" s="30">
        <v>4385789256.5</v>
      </c>
      <c r="M30" s="31">
        <v>43344</v>
      </c>
      <c r="N30" s="30">
        <v>7471</v>
      </c>
      <c r="O30" s="30">
        <v>5658237600</v>
      </c>
      <c r="P30" s="30">
        <v>305704.49999999988</v>
      </c>
      <c r="Q30" s="30">
        <v>6518783005</v>
      </c>
    </row>
    <row r="31" spans="2:17" x14ac:dyDescent="0.25">
      <c r="B31" s="14">
        <f>INDEX(Table_Mapping!$B$5:$D$83,MATCH(C31,Table_Mapping!$C$5:$C$83,0),MATCH(B$5,Table_Mapping!$B$5:$D$5,0))</f>
        <v>87</v>
      </c>
      <c r="C31" s="158" t="s">
        <v>159</v>
      </c>
      <c r="D31" s="30">
        <v>34945</v>
      </c>
      <c r="E31" s="30">
        <v>16669736100</v>
      </c>
      <c r="F31" s="30">
        <v>156443.09569999995</v>
      </c>
      <c r="G31" s="30">
        <v>17006888443</v>
      </c>
      <c r="H31" s="31">
        <v>41518</v>
      </c>
      <c r="I31" s="30">
        <v>34734</v>
      </c>
      <c r="J31" s="30">
        <v>16959207490</v>
      </c>
      <c r="K31" s="30">
        <v>155717.44569999972</v>
      </c>
      <c r="L31" s="30">
        <v>19608070564.5</v>
      </c>
      <c r="M31" s="31">
        <v>42614</v>
      </c>
      <c r="N31" s="30">
        <v>35855</v>
      </c>
      <c r="O31" s="30">
        <v>20479287950</v>
      </c>
      <c r="P31" s="30">
        <v>155710.40819999992</v>
      </c>
      <c r="Q31" s="30">
        <v>23246501407.799999</v>
      </c>
    </row>
    <row r="32" spans="2:17" x14ac:dyDescent="0.25">
      <c r="B32" s="14">
        <f>INDEX(Table_Mapping!$B$5:$D$83,MATCH(C32,Table_Mapping!$C$5:$C$83,0),MATCH(B$5,Table_Mapping!$B$5:$D$5,0))</f>
        <v>87</v>
      </c>
      <c r="C32" s="158" t="s">
        <v>160</v>
      </c>
      <c r="D32" s="30">
        <v>4954</v>
      </c>
      <c r="E32" s="30">
        <v>2720012550</v>
      </c>
      <c r="F32" s="30">
        <v>132353.37730000002</v>
      </c>
      <c r="G32" s="30">
        <v>2720849675</v>
      </c>
      <c r="H32" s="31">
        <v>41883</v>
      </c>
      <c r="I32" s="30">
        <v>4971</v>
      </c>
      <c r="J32" s="30">
        <v>2765477450</v>
      </c>
      <c r="K32" s="30">
        <v>132419.01730000007</v>
      </c>
      <c r="L32" s="30">
        <v>2936693213.5</v>
      </c>
      <c r="M32" s="31">
        <v>42979</v>
      </c>
      <c r="N32" s="30">
        <v>4745</v>
      </c>
      <c r="O32" s="30">
        <v>3116460450</v>
      </c>
      <c r="P32" s="30">
        <v>132379.35599999997</v>
      </c>
      <c r="Q32" s="30">
        <v>3550593682.5</v>
      </c>
    </row>
    <row r="33" spans="2:17" x14ac:dyDescent="0.25">
      <c r="B33" s="14">
        <f>INDEX(Table_Mapping!$B$5:$D$83,MATCH(C33,Table_Mapping!$C$5:$C$83,0),MATCH(B$5,Table_Mapping!$B$5:$D$5,0))</f>
        <v>87</v>
      </c>
      <c r="C33" s="158" t="s">
        <v>161</v>
      </c>
      <c r="D33" s="30">
        <v>14889</v>
      </c>
      <c r="E33" s="30">
        <v>8458043100</v>
      </c>
      <c r="F33" s="30">
        <v>283230.51540000009</v>
      </c>
      <c r="G33" s="30">
        <v>8394046050</v>
      </c>
      <c r="H33" s="31">
        <v>42248</v>
      </c>
      <c r="I33" s="30">
        <v>14150</v>
      </c>
      <c r="J33" s="30">
        <v>10232081000</v>
      </c>
      <c r="K33" s="30">
        <v>282729.37539999984</v>
      </c>
      <c r="L33" s="30">
        <v>10761034474.5</v>
      </c>
      <c r="M33" s="31">
        <v>43344</v>
      </c>
      <c r="N33" s="30">
        <v>14174</v>
      </c>
      <c r="O33" s="30">
        <v>10983557200</v>
      </c>
      <c r="P33" s="30">
        <v>280916.28749999986</v>
      </c>
      <c r="Q33" s="30">
        <v>11029340607.5</v>
      </c>
    </row>
    <row r="34" spans="2:17" x14ac:dyDescent="0.25">
      <c r="B34" s="14">
        <f>INDEX(Table_Mapping!$B$5:$D$83,MATCH(C34,Table_Mapping!$C$5:$C$83,0),MATCH(B$5,Table_Mapping!$B$5:$D$5,0))</f>
        <v>88</v>
      </c>
      <c r="C34" s="158" t="s">
        <v>162</v>
      </c>
      <c r="D34" s="30">
        <v>8965</v>
      </c>
      <c r="E34" s="30">
        <v>3644150000</v>
      </c>
      <c r="F34" s="30">
        <v>391463.87460000004</v>
      </c>
      <c r="G34" s="30">
        <v>3687937830.5</v>
      </c>
      <c r="H34" s="31">
        <v>41821</v>
      </c>
      <c r="I34" s="30">
        <v>8981</v>
      </c>
      <c r="J34" s="30">
        <v>3770299350</v>
      </c>
      <c r="K34" s="30">
        <v>391415.43460000004</v>
      </c>
      <c r="L34" s="30">
        <v>4059233079</v>
      </c>
      <c r="M34" s="31">
        <v>42917</v>
      </c>
      <c r="N34" s="30">
        <v>8941</v>
      </c>
      <c r="O34" s="30">
        <v>4298903150</v>
      </c>
      <c r="P34" s="30">
        <v>391092.34</v>
      </c>
      <c r="Q34" s="30">
        <v>5364667765</v>
      </c>
    </row>
    <row r="35" spans="2:17" x14ac:dyDescent="0.25">
      <c r="B35" s="14">
        <f>INDEX(Table_Mapping!$B$5:$D$83,MATCH(C35,Table_Mapping!$C$5:$C$83,0),MATCH(B$5,Table_Mapping!$B$5:$D$5,0))</f>
        <v>88</v>
      </c>
      <c r="C35" s="158" t="s">
        <v>163</v>
      </c>
      <c r="D35" s="30">
        <v>20913</v>
      </c>
      <c r="E35" s="30">
        <v>5883829750</v>
      </c>
      <c r="F35" s="30">
        <v>181199.98410000012</v>
      </c>
      <c r="G35" s="30">
        <v>5812378380</v>
      </c>
      <c r="H35" s="31">
        <v>41518</v>
      </c>
      <c r="I35" s="30">
        <v>20804</v>
      </c>
      <c r="J35" s="30">
        <v>6367706000</v>
      </c>
      <c r="K35" s="30">
        <v>181167.72770000002</v>
      </c>
      <c r="L35" s="30">
        <v>6367706000</v>
      </c>
      <c r="M35" s="31">
        <v>42614</v>
      </c>
      <c r="N35" s="30">
        <v>21044</v>
      </c>
      <c r="O35" s="30">
        <v>6556722500</v>
      </c>
      <c r="P35" s="30">
        <v>180895.55739999996</v>
      </c>
      <c r="Q35" s="30">
        <v>9292525343</v>
      </c>
    </row>
    <row r="36" spans="2:17" x14ac:dyDescent="0.25">
      <c r="B36" s="14">
        <f>INDEX(Table_Mapping!$B$5:$D$83,MATCH(C36,Table_Mapping!$C$5:$C$83,0),MATCH(B$5,Table_Mapping!$B$5:$D$5,0))</f>
        <v>88</v>
      </c>
      <c r="C36" s="158" t="s">
        <v>164</v>
      </c>
      <c r="D36" s="30">
        <v>8498</v>
      </c>
      <c r="E36" s="30">
        <v>3487899050</v>
      </c>
      <c r="F36" s="30">
        <v>370636.07000000012</v>
      </c>
      <c r="G36" s="30">
        <v>3545422287.5</v>
      </c>
      <c r="H36" s="31">
        <v>41821</v>
      </c>
      <c r="I36" s="30">
        <v>8047</v>
      </c>
      <c r="J36" s="30">
        <v>3630321650</v>
      </c>
      <c r="K36" s="30">
        <v>370561.88000000012</v>
      </c>
      <c r="L36" s="30">
        <v>3907372148</v>
      </c>
      <c r="M36" s="31">
        <v>42917</v>
      </c>
      <c r="N36" s="30">
        <v>7973</v>
      </c>
      <c r="O36" s="30">
        <v>4309445200</v>
      </c>
      <c r="P36" s="30">
        <v>370628.25000000012</v>
      </c>
      <c r="Q36" s="30">
        <v>5656380825</v>
      </c>
    </row>
    <row r="37" spans="2:17" x14ac:dyDescent="0.25">
      <c r="B37" s="14">
        <f>INDEX(Table_Mapping!$B$5:$D$83,MATCH(C37,Table_Mapping!$C$5:$C$83,0),MATCH(B$5,Table_Mapping!$B$5:$D$5,0))</f>
        <v>88</v>
      </c>
      <c r="C37" s="158" t="s">
        <v>165</v>
      </c>
      <c r="D37" s="30">
        <v>13870</v>
      </c>
      <c r="E37" s="30">
        <v>6927617150</v>
      </c>
      <c r="F37" s="30">
        <v>216515.16729999997</v>
      </c>
      <c r="G37" s="30">
        <v>6921097174</v>
      </c>
      <c r="H37" s="31">
        <v>41487</v>
      </c>
      <c r="I37" s="30">
        <v>13552</v>
      </c>
      <c r="J37" s="30">
        <v>7928963320</v>
      </c>
      <c r="K37" s="30">
        <v>216385.33729999993</v>
      </c>
      <c r="L37" s="30">
        <v>7928963320</v>
      </c>
      <c r="M37" s="31">
        <v>42583</v>
      </c>
      <c r="N37" s="30">
        <v>13916</v>
      </c>
      <c r="O37" s="30">
        <v>8199692720</v>
      </c>
      <c r="P37" s="30">
        <v>216258.41569999995</v>
      </c>
      <c r="Q37" s="30">
        <v>10802468950.339998</v>
      </c>
    </row>
    <row r="38" spans="2:17" x14ac:dyDescent="0.25">
      <c r="B38" s="14">
        <f>INDEX(Table_Mapping!$B$5:$D$83,MATCH(C38,Table_Mapping!$C$5:$C$83,0),MATCH(B$5,Table_Mapping!$B$5:$D$5,0))</f>
        <v>88</v>
      </c>
      <c r="C38" s="158" t="s">
        <v>166</v>
      </c>
      <c r="D38" s="30">
        <v>31907</v>
      </c>
      <c r="E38" s="30">
        <v>12800432100</v>
      </c>
      <c r="F38" s="30">
        <v>34064.430200000017</v>
      </c>
      <c r="G38" s="30">
        <v>12867807615</v>
      </c>
      <c r="H38" s="31">
        <v>42248</v>
      </c>
      <c r="I38" s="30">
        <v>32164</v>
      </c>
      <c r="J38" s="30">
        <v>13619541600</v>
      </c>
      <c r="K38" s="30">
        <v>32514.739400000009</v>
      </c>
      <c r="L38" s="30">
        <v>14572853331.5</v>
      </c>
      <c r="M38" s="31">
        <v>43344</v>
      </c>
      <c r="N38" s="30">
        <v>32847</v>
      </c>
      <c r="O38" s="30">
        <v>18270869400</v>
      </c>
      <c r="P38" s="30">
        <v>34032.65800000001</v>
      </c>
      <c r="Q38" s="30">
        <v>20193086365</v>
      </c>
    </row>
    <row r="39" spans="2:17" x14ac:dyDescent="0.25">
      <c r="B39" s="14">
        <f>INDEX(Table_Mapping!$B$5:$D$83,MATCH(C39,Table_Mapping!$C$5:$C$83,0),MATCH(B$5,Table_Mapping!$B$5:$D$5,0))</f>
        <v>88</v>
      </c>
      <c r="C39" s="158" t="s">
        <v>167</v>
      </c>
      <c r="D39" s="30">
        <v>10733</v>
      </c>
      <c r="E39" s="30">
        <v>4559129150</v>
      </c>
      <c r="F39" s="30">
        <v>392274.44099999993</v>
      </c>
      <c r="G39" s="30">
        <v>4826196795</v>
      </c>
      <c r="H39" s="31">
        <v>41883</v>
      </c>
      <c r="I39" s="30">
        <v>10580</v>
      </c>
      <c r="J39" s="30">
        <v>4870585480</v>
      </c>
      <c r="K39" s="30">
        <v>391405.26099999965</v>
      </c>
      <c r="L39" s="30">
        <v>5229561203.3999996</v>
      </c>
      <c r="M39" s="31">
        <v>42979</v>
      </c>
      <c r="N39" s="30">
        <v>9778</v>
      </c>
      <c r="O39" s="30">
        <v>5492868850</v>
      </c>
      <c r="P39" s="30">
        <v>391307.22289999994</v>
      </c>
      <c r="Q39" s="30">
        <v>6892174231</v>
      </c>
    </row>
    <row r="40" spans="2:17" x14ac:dyDescent="0.25">
      <c r="B40" s="14">
        <f>INDEX(Table_Mapping!$B$5:$D$83,MATCH(C40,Table_Mapping!$C$5:$C$83,0),MATCH(B$5,Table_Mapping!$B$5:$D$5,0))</f>
        <v>88</v>
      </c>
      <c r="C40" s="158" t="s">
        <v>168</v>
      </c>
      <c r="D40" s="30">
        <v>17608</v>
      </c>
      <c r="E40" s="30">
        <v>5603931100</v>
      </c>
      <c r="F40" s="30">
        <v>78773.370000000024</v>
      </c>
      <c r="G40" s="30">
        <v>5391277432</v>
      </c>
      <c r="H40" s="31">
        <v>41487</v>
      </c>
      <c r="I40" s="30">
        <v>17483</v>
      </c>
      <c r="J40" s="30">
        <v>6327531300</v>
      </c>
      <c r="K40" s="30">
        <v>78824.739899999986</v>
      </c>
      <c r="L40" s="30">
        <v>6327531300</v>
      </c>
      <c r="M40" s="31">
        <v>42583</v>
      </c>
      <c r="N40" s="30">
        <v>17716</v>
      </c>
      <c r="O40" s="30">
        <v>6587138000</v>
      </c>
      <c r="P40" s="30">
        <v>78715.389899999995</v>
      </c>
      <c r="Q40" s="30">
        <v>9066079789</v>
      </c>
    </row>
    <row r="41" spans="2:17" x14ac:dyDescent="0.25">
      <c r="B41" s="14">
        <f>INDEX(Table_Mapping!$B$5:$D$83,MATCH(C41,Table_Mapping!$C$5:$C$83,0),MATCH(B$5,Table_Mapping!$B$5:$D$5,0))</f>
        <v>89</v>
      </c>
      <c r="C41" s="158" t="s">
        <v>169</v>
      </c>
      <c r="D41" s="30">
        <v>24357</v>
      </c>
      <c r="E41" s="30">
        <v>10431920750</v>
      </c>
      <c r="F41" s="30">
        <v>33975.350000000028</v>
      </c>
      <c r="G41" s="30">
        <v>10661183462</v>
      </c>
      <c r="H41" s="31">
        <v>41852</v>
      </c>
      <c r="I41" s="30">
        <v>24623</v>
      </c>
      <c r="J41" s="30">
        <v>10861576350</v>
      </c>
      <c r="K41" s="30">
        <v>33987.998000000029</v>
      </c>
      <c r="L41" s="30">
        <v>12812617480</v>
      </c>
      <c r="M41" s="31">
        <v>42948</v>
      </c>
      <c r="N41" s="30">
        <v>25098</v>
      </c>
      <c r="O41" s="30">
        <v>14951311100</v>
      </c>
      <c r="P41" s="30">
        <v>33886.589899999999</v>
      </c>
      <c r="Q41" s="30">
        <v>17243709800</v>
      </c>
    </row>
    <row r="42" spans="2:17" x14ac:dyDescent="0.25">
      <c r="B42" s="14">
        <f>INDEX(Table_Mapping!$B$5:$D$83,MATCH(C42,Table_Mapping!$C$5:$C$83,0),MATCH(B$5,Table_Mapping!$B$5:$D$5,0))</f>
        <v>89</v>
      </c>
      <c r="C42" s="158" t="s">
        <v>170</v>
      </c>
      <c r="D42" s="30">
        <v>18147</v>
      </c>
      <c r="E42" s="30">
        <v>8008552700</v>
      </c>
      <c r="F42" s="30">
        <v>14126.089700000004</v>
      </c>
      <c r="G42" s="30">
        <v>8004410614</v>
      </c>
      <c r="H42" s="31">
        <v>41518</v>
      </c>
      <c r="I42" s="30">
        <v>18487</v>
      </c>
      <c r="J42" s="30">
        <v>8265232200</v>
      </c>
      <c r="K42" s="30">
        <v>14098.091500000011</v>
      </c>
      <c r="L42" s="30">
        <v>9590251808.5</v>
      </c>
      <c r="M42" s="31">
        <v>42614</v>
      </c>
      <c r="N42" s="30">
        <v>19005</v>
      </c>
      <c r="O42" s="30">
        <v>10523068250</v>
      </c>
      <c r="P42" s="30">
        <v>14023.781500000005</v>
      </c>
      <c r="Q42" s="30">
        <v>13735896914.5</v>
      </c>
    </row>
    <row r="43" spans="2:17" x14ac:dyDescent="0.25">
      <c r="B43" s="14">
        <f>INDEX(Table_Mapping!$B$5:$D$83,MATCH(C43,Table_Mapping!$C$5:$C$83,0),MATCH(B$5,Table_Mapping!$B$5:$D$5,0))</f>
        <v>89</v>
      </c>
      <c r="C43" s="158" t="s">
        <v>171</v>
      </c>
      <c r="D43" s="30">
        <v>16451</v>
      </c>
      <c r="E43" s="30">
        <v>6753747300</v>
      </c>
      <c r="F43" s="30">
        <v>36887.850000000013</v>
      </c>
      <c r="G43" s="30">
        <v>6808801456</v>
      </c>
      <c r="H43" s="31">
        <v>41487</v>
      </c>
      <c r="I43" s="30">
        <v>16619</v>
      </c>
      <c r="J43" s="30">
        <v>6910130300</v>
      </c>
      <c r="K43" s="30">
        <v>38786.219999999994</v>
      </c>
      <c r="L43" s="30">
        <v>7853071885</v>
      </c>
      <c r="M43" s="31">
        <v>42583</v>
      </c>
      <c r="N43" s="30">
        <v>17131</v>
      </c>
      <c r="O43" s="30">
        <v>8456118155</v>
      </c>
      <c r="P43" s="30">
        <v>38914.50999999998</v>
      </c>
      <c r="Q43" s="30">
        <v>11369090604.4</v>
      </c>
    </row>
    <row r="44" spans="2:17" x14ac:dyDescent="0.25">
      <c r="B44" s="14">
        <f>INDEX(Table_Mapping!$B$5:$D$83,MATCH(C44,Table_Mapping!$C$5:$C$83,0),MATCH(B$5,Table_Mapping!$B$5:$D$5,0))</f>
        <v>89</v>
      </c>
      <c r="C44" s="158" t="s">
        <v>210</v>
      </c>
      <c r="D44" s="30">
        <v>39384</v>
      </c>
      <c r="E44" s="30">
        <v>17302435150</v>
      </c>
      <c r="F44" s="30">
        <v>27265.233100000005</v>
      </c>
      <c r="G44" s="30">
        <v>17450342389</v>
      </c>
      <c r="H44" s="31">
        <v>41518</v>
      </c>
      <c r="I44" s="30">
        <v>39670</v>
      </c>
      <c r="J44" s="30">
        <v>17593063650</v>
      </c>
      <c r="K44" s="30">
        <v>27292.873100000008</v>
      </c>
      <c r="L44" s="30">
        <v>20746501045</v>
      </c>
      <c r="M44" s="31">
        <v>42614</v>
      </c>
      <c r="N44" s="30">
        <v>39670</v>
      </c>
      <c r="O44" s="30">
        <v>17593063650</v>
      </c>
      <c r="P44" s="30">
        <v>27292.873100000008</v>
      </c>
      <c r="Q44" s="30">
        <v>20746501045</v>
      </c>
    </row>
    <row r="45" spans="2:17" x14ac:dyDescent="0.25">
      <c r="B45" s="14">
        <f>INDEX(Table_Mapping!$B$5:$D$83,MATCH(C45,Table_Mapping!$C$5:$C$83,0),MATCH(B$5,Table_Mapping!$B$5:$D$5,0))</f>
        <v>89</v>
      </c>
      <c r="C45" s="158" t="s">
        <v>172</v>
      </c>
      <c r="D45" s="30">
        <v>76166</v>
      </c>
      <c r="E45" s="30">
        <v>48904812333</v>
      </c>
      <c r="F45" s="30">
        <v>23628.32630000007</v>
      </c>
      <c r="G45" s="30">
        <v>50006261138.010002</v>
      </c>
      <c r="H45" s="31">
        <v>42248</v>
      </c>
      <c r="I45" s="30">
        <v>77306</v>
      </c>
      <c r="J45" s="30">
        <v>52715649552</v>
      </c>
      <c r="K45" s="30">
        <v>23347.206300000053</v>
      </c>
      <c r="L45" s="30">
        <v>61200536408.849998</v>
      </c>
      <c r="M45" s="31">
        <v>43344</v>
      </c>
      <c r="N45" s="30">
        <v>78731</v>
      </c>
      <c r="O45" s="30">
        <v>75433306401</v>
      </c>
      <c r="P45" s="30">
        <v>23344.733800000027</v>
      </c>
      <c r="Q45" s="30">
        <v>78552259448.600006</v>
      </c>
    </row>
    <row r="46" spans="2:17" x14ac:dyDescent="0.25">
      <c r="B46" s="14">
        <f>INDEX(Table_Mapping!$B$5:$D$83,MATCH(C46,Table_Mapping!$C$5:$C$83,0),MATCH(B$5,Table_Mapping!$B$5:$D$5,0))</f>
        <v>89</v>
      </c>
      <c r="C46" s="158" t="s">
        <v>173</v>
      </c>
      <c r="D46" s="30">
        <v>12227</v>
      </c>
      <c r="E46" s="30">
        <v>4551316300</v>
      </c>
      <c r="F46" s="30">
        <v>209139.76000000007</v>
      </c>
      <c r="G46" s="30">
        <v>4547331636</v>
      </c>
      <c r="H46" s="31">
        <v>41883</v>
      </c>
      <c r="I46" s="30">
        <v>12240</v>
      </c>
      <c r="J46" s="30">
        <v>4736721900</v>
      </c>
      <c r="K46" s="30">
        <v>208920.89</v>
      </c>
      <c r="L46" s="30">
        <v>4979341105</v>
      </c>
      <c r="M46" s="31">
        <v>42979</v>
      </c>
      <c r="N46" s="30">
        <v>12617</v>
      </c>
      <c r="O46" s="30">
        <v>6032361500</v>
      </c>
      <c r="P46" s="30">
        <v>208924.77</v>
      </c>
      <c r="Q46" s="30">
        <v>7030107413</v>
      </c>
    </row>
    <row r="47" spans="2:17" x14ac:dyDescent="0.25">
      <c r="B47" s="14">
        <f>INDEX(Table_Mapping!$B$5:$D$83,MATCH(C47,Table_Mapping!$C$5:$C$83,0),MATCH(B$5,Table_Mapping!$B$5:$D$5,0))</f>
        <v>89</v>
      </c>
      <c r="C47" s="158" t="s">
        <v>174</v>
      </c>
      <c r="D47" s="30">
        <v>4540</v>
      </c>
      <c r="E47" s="30">
        <v>2014328100</v>
      </c>
      <c r="F47" s="30">
        <v>88519.346399999951</v>
      </c>
      <c r="G47" s="30">
        <v>2021305729</v>
      </c>
      <c r="H47" s="31">
        <v>41883</v>
      </c>
      <c r="I47" s="30">
        <v>4592</v>
      </c>
      <c r="J47" s="30">
        <v>2205873200</v>
      </c>
      <c r="K47" s="30">
        <v>88677.766399999935</v>
      </c>
      <c r="L47" s="30">
        <v>2290448775</v>
      </c>
      <c r="M47" s="31">
        <v>42979</v>
      </c>
      <c r="N47" s="30">
        <v>4843</v>
      </c>
      <c r="O47" s="30">
        <v>2789624600</v>
      </c>
      <c r="P47" s="30">
        <v>88686.976400000043</v>
      </c>
      <c r="Q47" s="30">
        <v>3208594760</v>
      </c>
    </row>
    <row r="48" spans="2:17" x14ac:dyDescent="0.25">
      <c r="B48" s="14">
        <f>INDEX(Table_Mapping!$B$5:$D$83,MATCH(C48,Table_Mapping!$C$5:$C$83,0),MATCH(B$5,Table_Mapping!$B$5:$D$5,0))</f>
        <v>89</v>
      </c>
      <c r="C48" s="158" t="s">
        <v>175</v>
      </c>
      <c r="D48" s="30">
        <v>6551</v>
      </c>
      <c r="E48" s="30">
        <v>3315529700</v>
      </c>
      <c r="F48" s="30">
        <v>176799.28619999997</v>
      </c>
      <c r="G48" s="30">
        <v>3292312355</v>
      </c>
      <c r="H48" s="31">
        <v>41883</v>
      </c>
      <c r="I48" s="30">
        <v>6524</v>
      </c>
      <c r="J48" s="30">
        <v>3585872100</v>
      </c>
      <c r="K48" s="30">
        <v>176474.611</v>
      </c>
      <c r="L48" s="30">
        <v>3688799935</v>
      </c>
      <c r="M48" s="31">
        <v>42979</v>
      </c>
      <c r="N48" s="30">
        <v>6755</v>
      </c>
      <c r="O48" s="30">
        <v>4613584900</v>
      </c>
      <c r="P48" s="30">
        <v>175216.62130000012</v>
      </c>
      <c r="Q48" s="30">
        <v>5287163139</v>
      </c>
    </row>
    <row r="49" spans="2:17" x14ac:dyDescent="0.25">
      <c r="B49" s="14">
        <f>INDEX(Table_Mapping!$B$5:$D$83,MATCH(C49,Table_Mapping!$C$5:$C$83,0),MATCH(B$5,Table_Mapping!$B$5:$D$5,0))</f>
        <v>53</v>
      </c>
      <c r="C49" s="158" t="s">
        <v>176</v>
      </c>
      <c r="D49" s="30">
        <v>23119</v>
      </c>
      <c r="E49" s="30">
        <v>12543416750</v>
      </c>
      <c r="F49" s="30">
        <v>315909.0584000001</v>
      </c>
      <c r="G49" s="30">
        <v>13072290936.5</v>
      </c>
      <c r="H49" s="31">
        <v>41883</v>
      </c>
      <c r="I49" s="30">
        <v>23200</v>
      </c>
      <c r="J49" s="30">
        <v>13514636000</v>
      </c>
      <c r="K49" s="30">
        <v>315430.51840000023</v>
      </c>
      <c r="L49" s="30">
        <v>14745070545</v>
      </c>
      <c r="M49" s="31">
        <v>42979</v>
      </c>
      <c r="N49" s="30">
        <v>24102</v>
      </c>
      <c r="O49" s="30">
        <v>17596815450</v>
      </c>
      <c r="P49" s="30">
        <v>314747.01839999994</v>
      </c>
      <c r="Q49" s="30">
        <v>19827835318</v>
      </c>
    </row>
    <row r="50" spans="2:17" x14ac:dyDescent="0.25">
      <c r="B50" s="14">
        <f>INDEX(Table_Mapping!$B$5:$D$83,MATCH(C50,Table_Mapping!$C$5:$C$83,0),MATCH(B$5,Table_Mapping!$B$5:$D$5,0))</f>
        <v>52</v>
      </c>
      <c r="C50" s="158" t="s">
        <v>177</v>
      </c>
      <c r="D50" s="30">
        <v>21250</v>
      </c>
      <c r="E50" s="30">
        <v>9880441350</v>
      </c>
      <c r="F50" s="30">
        <v>32525.117600000005</v>
      </c>
      <c r="G50" s="30">
        <v>10290157165.5</v>
      </c>
      <c r="H50" s="31">
        <v>42248</v>
      </c>
      <c r="I50" s="30">
        <v>21522</v>
      </c>
      <c r="J50" s="30">
        <v>10969984180</v>
      </c>
      <c r="K50" s="30">
        <v>33259.007599999997</v>
      </c>
      <c r="L50" s="30">
        <v>11919588699.5</v>
      </c>
      <c r="M50" s="31">
        <v>43344</v>
      </c>
      <c r="N50" s="30">
        <v>21960</v>
      </c>
      <c r="O50" s="30">
        <v>15268170750</v>
      </c>
      <c r="P50" s="30">
        <v>32529.497600000002</v>
      </c>
      <c r="Q50" s="30">
        <v>16167187614.5</v>
      </c>
    </row>
    <row r="51" spans="2:17" x14ac:dyDescent="0.25">
      <c r="B51" s="14">
        <f>INDEX(Table_Mapping!$B$5:$D$83,MATCH(C51,Table_Mapping!$C$5:$C$83,0),MATCH(B$5,Table_Mapping!$B$5:$D$5,0))</f>
        <v>51</v>
      </c>
      <c r="C51" s="158" t="s">
        <v>178</v>
      </c>
      <c r="D51" s="30">
        <v>25919</v>
      </c>
      <c r="E51" s="30">
        <v>13463037750</v>
      </c>
      <c r="F51" s="30">
        <v>679019.6459</v>
      </c>
      <c r="G51" s="30">
        <v>14571895837.499998</v>
      </c>
      <c r="H51" s="31">
        <v>41821</v>
      </c>
      <c r="I51" s="30">
        <v>26261</v>
      </c>
      <c r="J51" s="30">
        <v>15060071850</v>
      </c>
      <c r="K51" s="30">
        <v>677746.07589999982</v>
      </c>
      <c r="L51" s="30">
        <v>16794934035</v>
      </c>
      <c r="M51" s="31">
        <v>42917</v>
      </c>
      <c r="N51" s="30">
        <v>26478</v>
      </c>
      <c r="O51" s="30">
        <v>19616751200</v>
      </c>
      <c r="P51" s="30">
        <v>676330.76589999942</v>
      </c>
      <c r="Q51" s="30">
        <v>21059258484</v>
      </c>
    </row>
    <row r="52" spans="2:17" x14ac:dyDescent="0.25">
      <c r="B52" s="14">
        <f>INDEX(Table_Mapping!$B$5:$D$83,MATCH(C52,Table_Mapping!$C$5:$C$83,0),MATCH(B$5,Table_Mapping!$B$5:$D$5,0))</f>
        <v>91</v>
      </c>
      <c r="C52" s="158" t="s">
        <v>179</v>
      </c>
      <c r="D52" s="30">
        <v>2990</v>
      </c>
      <c r="E52" s="30">
        <v>1396736100</v>
      </c>
      <c r="F52" s="30">
        <v>92806.270000000019</v>
      </c>
      <c r="G52" s="30">
        <v>1435028217</v>
      </c>
      <c r="H52" s="31">
        <v>42248</v>
      </c>
      <c r="I52" s="30">
        <v>2940</v>
      </c>
      <c r="J52" s="30">
        <v>1470327900</v>
      </c>
      <c r="K52" s="30">
        <v>93759.37000000001</v>
      </c>
      <c r="L52" s="30">
        <v>1530591343</v>
      </c>
      <c r="M52" s="31">
        <v>43344</v>
      </c>
      <c r="N52" s="30">
        <v>2981</v>
      </c>
      <c r="O52" s="30">
        <v>1622373650</v>
      </c>
      <c r="P52" s="30">
        <v>91066.83</v>
      </c>
      <c r="Q52" s="30">
        <v>1692496552.5</v>
      </c>
    </row>
    <row r="53" spans="2:17" x14ac:dyDescent="0.25">
      <c r="B53" s="14">
        <f>INDEX(Table_Mapping!$B$5:$D$83,MATCH(C53,Table_Mapping!$C$5:$C$83,0),MATCH(B$5,Table_Mapping!$B$5:$D$5,0))</f>
        <v>90</v>
      </c>
      <c r="C53" s="158" t="s">
        <v>180</v>
      </c>
      <c r="D53" s="30">
        <v>7364</v>
      </c>
      <c r="E53" s="30">
        <v>2467588525</v>
      </c>
      <c r="F53" s="30">
        <v>121395.46999999999</v>
      </c>
      <c r="G53" s="30">
        <v>2417738200</v>
      </c>
      <c r="H53" s="31">
        <v>41518</v>
      </c>
      <c r="I53" s="30">
        <v>7325</v>
      </c>
      <c r="J53" s="30">
        <v>2505012325</v>
      </c>
      <c r="K53" s="30">
        <v>121364.40000000007</v>
      </c>
      <c r="L53" s="30">
        <v>2222267566.25</v>
      </c>
      <c r="M53" s="31">
        <v>42614</v>
      </c>
      <c r="N53" s="30">
        <v>7333</v>
      </c>
      <c r="O53" s="30">
        <v>2291596360</v>
      </c>
      <c r="P53" s="30">
        <v>121267.76000000005</v>
      </c>
      <c r="Q53" s="30">
        <v>2258871380</v>
      </c>
    </row>
    <row r="54" spans="2:17" x14ac:dyDescent="0.25">
      <c r="B54" s="14">
        <f>INDEX(Table_Mapping!$B$5:$D$83,MATCH(C54,Table_Mapping!$C$5:$C$83,0),MATCH(B$5,Table_Mapping!$B$5:$D$5,0))</f>
        <v>90</v>
      </c>
      <c r="C54" s="158" t="s">
        <v>181</v>
      </c>
      <c r="D54" s="30">
        <v>8549</v>
      </c>
      <c r="E54" s="30">
        <v>2642928050</v>
      </c>
      <c r="F54" s="30">
        <v>103905.14999999997</v>
      </c>
      <c r="G54" s="30">
        <v>2623147630</v>
      </c>
      <c r="H54" s="31">
        <v>42248</v>
      </c>
      <c r="I54" s="30">
        <v>8494</v>
      </c>
      <c r="J54" s="30">
        <v>2630198750</v>
      </c>
      <c r="K54" s="30">
        <v>102810.91000000003</v>
      </c>
      <c r="L54" s="30">
        <v>2569982189</v>
      </c>
      <c r="M54" s="31">
        <v>43344</v>
      </c>
      <c r="N54" s="30">
        <v>8532</v>
      </c>
      <c r="O54" s="30">
        <v>2658481000</v>
      </c>
      <c r="P54" s="30">
        <v>102411.72999999992</v>
      </c>
      <c r="Q54" s="30">
        <v>2645999406</v>
      </c>
    </row>
    <row r="55" spans="2:17" x14ac:dyDescent="0.25">
      <c r="B55" s="14">
        <f>INDEX(Table_Mapping!$B$5:$D$83,MATCH(C55,Table_Mapping!$C$5:$C$83,0),MATCH(B$5,Table_Mapping!$B$5:$D$5,0))</f>
        <v>90</v>
      </c>
      <c r="C55" s="158" t="s">
        <v>182</v>
      </c>
      <c r="D55" s="30">
        <v>6497</v>
      </c>
      <c r="E55" s="30">
        <v>2390054900</v>
      </c>
      <c r="F55" s="30">
        <v>137394.58699999991</v>
      </c>
      <c r="G55" s="30">
        <v>2364564465</v>
      </c>
      <c r="H55" s="31">
        <v>41883</v>
      </c>
      <c r="I55" s="30">
        <v>6558</v>
      </c>
      <c r="J55" s="30">
        <v>2412264100</v>
      </c>
      <c r="K55" s="30">
        <v>137978.35700000008</v>
      </c>
      <c r="L55" s="30">
        <v>2349422142</v>
      </c>
      <c r="M55" s="31">
        <v>42979</v>
      </c>
      <c r="N55" s="30">
        <v>6552</v>
      </c>
      <c r="O55" s="30">
        <v>2462431500</v>
      </c>
      <c r="P55" s="30">
        <v>137038.60700000002</v>
      </c>
      <c r="Q55" s="30">
        <v>2440060510</v>
      </c>
    </row>
    <row r="56" spans="2:17" x14ac:dyDescent="0.25">
      <c r="B56" s="14">
        <f>INDEX(Table_Mapping!$B$5:$D$83,MATCH(C56,Table_Mapping!$C$5:$C$83,0),MATCH(B$5,Table_Mapping!$B$5:$D$5,0))</f>
        <v>91</v>
      </c>
      <c r="C56" s="158" t="s">
        <v>183</v>
      </c>
      <c r="D56" s="30">
        <v>8003</v>
      </c>
      <c r="E56" s="30">
        <v>5716384650</v>
      </c>
      <c r="F56" s="30">
        <v>626593.3900000006</v>
      </c>
      <c r="G56" s="30">
        <v>6075627206.5</v>
      </c>
      <c r="H56" s="31">
        <v>41518</v>
      </c>
      <c r="I56" s="30">
        <v>7887</v>
      </c>
      <c r="J56" s="30">
        <v>6782478160</v>
      </c>
      <c r="K56" s="30">
        <v>622713.81000000029</v>
      </c>
      <c r="L56" s="30">
        <v>6782478160</v>
      </c>
      <c r="M56" s="31">
        <v>42614</v>
      </c>
      <c r="N56" s="30">
        <v>8026</v>
      </c>
      <c r="O56" s="30">
        <v>6956762550</v>
      </c>
      <c r="P56" s="30">
        <v>623338.27000000025</v>
      </c>
      <c r="Q56" s="30">
        <v>7411766240.749999</v>
      </c>
    </row>
    <row r="57" spans="2:17" x14ac:dyDescent="0.25">
      <c r="B57" s="14">
        <f>INDEX(Table_Mapping!$B$5:$D$83,MATCH(C57,Table_Mapping!$C$5:$C$83,0),MATCH(B$5,Table_Mapping!$B$5:$D$5,0))</f>
        <v>91</v>
      </c>
      <c r="C57" s="158" t="s">
        <v>184</v>
      </c>
      <c r="D57" s="30">
        <v>23770</v>
      </c>
      <c r="E57" s="30">
        <v>12867087650</v>
      </c>
      <c r="F57" s="30">
        <v>172984.34000000011</v>
      </c>
      <c r="G57" s="30">
        <v>13371303492.5</v>
      </c>
      <c r="H57" s="31">
        <v>41487</v>
      </c>
      <c r="I57" s="30">
        <v>24929</v>
      </c>
      <c r="J57" s="30">
        <v>15265172200</v>
      </c>
      <c r="K57" s="30">
        <v>173084.82000000007</v>
      </c>
      <c r="L57" s="30">
        <v>15265172200</v>
      </c>
      <c r="M57" s="31">
        <v>42583</v>
      </c>
      <c r="N57" s="30">
        <v>26014</v>
      </c>
      <c r="O57" s="30">
        <v>16286440700</v>
      </c>
      <c r="P57" s="30">
        <v>171816.28000000009</v>
      </c>
      <c r="Q57" s="30">
        <v>16285324788</v>
      </c>
    </row>
    <row r="58" spans="2:17" x14ac:dyDescent="0.25">
      <c r="B58" s="14">
        <f>INDEX(Table_Mapping!$B$5:$D$83,MATCH(C58,Table_Mapping!$C$5:$C$83,0),MATCH(B$5,Table_Mapping!$B$5:$D$5,0))</f>
        <v>91</v>
      </c>
      <c r="C58" s="158" t="s">
        <v>185</v>
      </c>
      <c r="D58" s="30">
        <v>165260</v>
      </c>
      <c r="E58" s="30">
        <v>88472263260</v>
      </c>
      <c r="F58" s="30">
        <v>149217.77059999996</v>
      </c>
      <c r="G58" s="30">
        <v>91141124878.600006</v>
      </c>
      <c r="H58" s="31">
        <v>41487</v>
      </c>
      <c r="I58" s="30">
        <v>169606</v>
      </c>
      <c r="J58" s="30">
        <v>101295876440</v>
      </c>
      <c r="K58" s="30">
        <v>149808.64099999986</v>
      </c>
      <c r="L58" s="30">
        <v>101295876440</v>
      </c>
      <c r="M58" s="31">
        <v>42583</v>
      </c>
      <c r="N58" s="30">
        <v>173406</v>
      </c>
      <c r="O58" s="30">
        <v>108096667740</v>
      </c>
      <c r="P58" s="30">
        <v>149703.72039999985</v>
      </c>
      <c r="Q58" s="30">
        <v>111901037773.40001</v>
      </c>
    </row>
    <row r="59" spans="2:17" x14ac:dyDescent="0.25">
      <c r="B59" s="14">
        <f>INDEX(Table_Mapping!$B$5:$D$83,MATCH(C59,Table_Mapping!$C$5:$C$83,0),MATCH(B$5,Table_Mapping!$B$5:$D$5,0))</f>
        <v>91</v>
      </c>
      <c r="C59" s="158" t="s">
        <v>186</v>
      </c>
      <c r="D59" s="30">
        <v>21470</v>
      </c>
      <c r="E59" s="30">
        <v>14467302250</v>
      </c>
      <c r="F59" s="30">
        <v>392154.07070000027</v>
      </c>
      <c r="G59" s="30">
        <v>17491006132.5</v>
      </c>
      <c r="H59" s="31">
        <v>42186</v>
      </c>
      <c r="I59" s="30">
        <v>23772</v>
      </c>
      <c r="J59" s="30">
        <v>19490001400</v>
      </c>
      <c r="K59" s="30">
        <v>394098.87330000015</v>
      </c>
      <c r="L59" s="30">
        <v>20218384672</v>
      </c>
      <c r="M59" s="31">
        <v>43282</v>
      </c>
      <c r="N59" s="30">
        <v>26797</v>
      </c>
      <c r="O59" s="30">
        <v>23281899100</v>
      </c>
      <c r="P59" s="30">
        <v>394905.20469999989</v>
      </c>
      <c r="Q59" s="30">
        <v>23505848942</v>
      </c>
    </row>
    <row r="60" spans="2:17" x14ac:dyDescent="0.25">
      <c r="B60" s="14">
        <f>INDEX(Table_Mapping!$B$5:$D$83,MATCH(C60,Table_Mapping!$C$5:$C$83,0),MATCH(B$5,Table_Mapping!$B$5:$D$5,0))</f>
        <v>91</v>
      </c>
      <c r="C60" s="158" t="s">
        <v>187</v>
      </c>
      <c r="D60" s="30">
        <v>15422</v>
      </c>
      <c r="E60" s="30">
        <v>13010639100</v>
      </c>
      <c r="F60" s="30">
        <v>447671.90799999982</v>
      </c>
      <c r="G60" s="30">
        <v>15943150132</v>
      </c>
      <c r="H60" s="31">
        <v>42186</v>
      </c>
      <c r="I60" s="30">
        <v>15187</v>
      </c>
      <c r="J60" s="30">
        <v>16647537850</v>
      </c>
      <c r="K60" s="30">
        <v>441638.13799999986</v>
      </c>
      <c r="L60" s="30">
        <v>17328651858.5</v>
      </c>
      <c r="M60" s="31">
        <v>43282</v>
      </c>
      <c r="N60" s="30">
        <v>15370</v>
      </c>
      <c r="O60" s="30">
        <v>18880001400</v>
      </c>
      <c r="P60" s="30">
        <v>411766.54680000007</v>
      </c>
      <c r="Q60" s="30">
        <v>18714448500</v>
      </c>
    </row>
    <row r="61" spans="2:17" x14ac:dyDescent="0.25">
      <c r="B61" s="14">
        <f>INDEX(Table_Mapping!$B$5:$D$83,MATCH(C61,Table_Mapping!$C$5:$C$83,0),MATCH(B$5,Table_Mapping!$B$5:$D$5,0))</f>
        <v>91</v>
      </c>
      <c r="C61" s="158" t="s">
        <v>188</v>
      </c>
      <c r="D61" s="30">
        <v>21765</v>
      </c>
      <c r="E61" s="30">
        <v>9511175850</v>
      </c>
      <c r="F61" s="30">
        <v>207649.4016999999</v>
      </c>
      <c r="G61" s="30">
        <v>10890243343</v>
      </c>
      <c r="H61" s="31">
        <v>41883</v>
      </c>
      <c r="I61" s="30">
        <v>21951</v>
      </c>
      <c r="J61" s="30">
        <v>11646956450</v>
      </c>
      <c r="K61" s="30">
        <v>207378.00129999983</v>
      </c>
      <c r="L61" s="30">
        <v>12799769366.5</v>
      </c>
      <c r="M61" s="31">
        <v>42979</v>
      </c>
      <c r="N61" s="30">
        <v>22037</v>
      </c>
      <c r="O61" s="30">
        <v>13677395100</v>
      </c>
      <c r="P61" s="30">
        <v>207738.62739999994</v>
      </c>
      <c r="Q61" s="30">
        <v>14155360790</v>
      </c>
    </row>
    <row r="62" spans="2:17" x14ac:dyDescent="0.25">
      <c r="B62" s="14">
        <f>INDEX(Table_Mapping!$B$5:$D$83,MATCH(C62,Table_Mapping!$C$5:$C$83,0),MATCH(B$5,Table_Mapping!$B$5:$D$5,0))</f>
        <v>91</v>
      </c>
      <c r="C62" s="158" t="s">
        <v>189</v>
      </c>
      <c r="D62" s="30">
        <v>4383</v>
      </c>
      <c r="E62" s="30">
        <v>2770476650</v>
      </c>
      <c r="F62" s="30">
        <v>454492.07000000012</v>
      </c>
      <c r="G62" s="30">
        <v>3121399123.3000002</v>
      </c>
      <c r="H62" s="31">
        <v>41821</v>
      </c>
      <c r="I62" s="30">
        <v>4422</v>
      </c>
      <c r="J62" s="30">
        <v>3206291350</v>
      </c>
      <c r="K62" s="30">
        <v>398665.28000000014</v>
      </c>
      <c r="L62" s="30">
        <v>3627459375.5</v>
      </c>
      <c r="M62" s="31">
        <v>42917</v>
      </c>
      <c r="N62" s="30">
        <v>4698</v>
      </c>
      <c r="O62" s="30">
        <v>4123565800</v>
      </c>
      <c r="P62" s="30">
        <v>395499.03999999986</v>
      </c>
      <c r="Q62" s="30">
        <v>4653343640</v>
      </c>
    </row>
    <row r="63" spans="2:17" x14ac:dyDescent="0.25">
      <c r="B63" s="14">
        <f>INDEX(Table_Mapping!$B$5:$D$83,MATCH(C63,Table_Mapping!$C$5:$C$83,0),MATCH(B$5,Table_Mapping!$B$5:$D$5,0))</f>
        <v>91</v>
      </c>
      <c r="C63" s="158" t="s">
        <v>190</v>
      </c>
      <c r="D63" s="30">
        <v>4455</v>
      </c>
      <c r="E63" s="30">
        <v>3849427100</v>
      </c>
      <c r="F63" s="30">
        <v>319757.23000000004</v>
      </c>
      <c r="G63" s="30">
        <v>3965523405</v>
      </c>
      <c r="H63" s="31">
        <v>42552</v>
      </c>
      <c r="I63" s="30">
        <v>4271</v>
      </c>
      <c r="J63" s="30">
        <v>4672321900</v>
      </c>
      <c r="K63" s="30">
        <v>321083.36999999994</v>
      </c>
      <c r="L63" s="30">
        <v>4672321900</v>
      </c>
      <c r="M63" s="31">
        <v>42552</v>
      </c>
      <c r="N63" s="30">
        <v>4286</v>
      </c>
      <c r="O63" s="30">
        <v>4753106400</v>
      </c>
      <c r="P63" s="30">
        <v>318596.63</v>
      </c>
      <c r="Q63" s="30">
        <v>4847228650</v>
      </c>
    </row>
    <row r="64" spans="2:17" x14ac:dyDescent="0.25">
      <c r="B64" s="14">
        <f>INDEX(Table_Mapping!$B$5:$D$83,MATCH(C64,Table_Mapping!$C$5:$C$83,0),MATCH(B$5,Table_Mapping!$B$5:$D$5,0))</f>
        <v>93</v>
      </c>
      <c r="C64" s="158" t="s">
        <v>191</v>
      </c>
      <c r="D64" s="30">
        <v>14198</v>
      </c>
      <c r="E64" s="30">
        <v>6409154300</v>
      </c>
      <c r="F64" s="30">
        <v>539044.68999999948</v>
      </c>
      <c r="G64" s="30">
        <v>7059954731</v>
      </c>
      <c r="H64" s="31">
        <v>41883</v>
      </c>
      <c r="I64" s="30">
        <v>13773</v>
      </c>
      <c r="J64" s="30">
        <v>7212479150</v>
      </c>
      <c r="K64" s="30">
        <v>533814.15999999992</v>
      </c>
      <c r="L64" s="30">
        <v>7743324691</v>
      </c>
      <c r="M64" s="31">
        <v>42979</v>
      </c>
      <c r="N64" s="30">
        <v>13770</v>
      </c>
      <c r="O64" s="30">
        <v>8389144100</v>
      </c>
      <c r="P64" s="30">
        <v>532639.51999999944</v>
      </c>
      <c r="Q64" s="30">
        <v>9048851127.5</v>
      </c>
    </row>
    <row r="65" spans="2:17" x14ac:dyDescent="0.25">
      <c r="B65" s="14">
        <f>INDEX(Table_Mapping!$B$5:$D$83,MATCH(C65,Table_Mapping!$C$5:$C$83,0),MATCH(B$5,Table_Mapping!$B$5:$D$5,0))</f>
        <v>93</v>
      </c>
      <c r="C65" s="158" t="s">
        <v>192</v>
      </c>
      <c r="D65" s="30">
        <v>13453</v>
      </c>
      <c r="E65" s="30">
        <v>7008390550</v>
      </c>
      <c r="F65" s="30">
        <v>874430.55750000011</v>
      </c>
      <c r="G65" s="30">
        <v>7209518247.5</v>
      </c>
      <c r="H65" s="31">
        <v>42614</v>
      </c>
      <c r="I65" s="30">
        <v>13277</v>
      </c>
      <c r="J65" s="30">
        <v>9009552050</v>
      </c>
      <c r="K65" s="30">
        <v>860344.1</v>
      </c>
      <c r="L65" s="30">
        <v>9009552050</v>
      </c>
      <c r="M65" s="31">
        <v>42614</v>
      </c>
      <c r="N65" s="30">
        <v>13825</v>
      </c>
      <c r="O65" s="30">
        <v>9597191750</v>
      </c>
      <c r="P65" s="30">
        <v>855239.42749999964</v>
      </c>
      <c r="Q65" s="30">
        <v>12158733965</v>
      </c>
    </row>
    <row r="66" spans="2:17" x14ac:dyDescent="0.25">
      <c r="B66" s="14">
        <f>INDEX(Table_Mapping!$B$5:$D$83,MATCH(C66,Table_Mapping!$C$5:$C$83,0),MATCH(B$5,Table_Mapping!$B$5:$D$5,0))</f>
        <v>93</v>
      </c>
      <c r="C66" s="158" t="s">
        <v>209</v>
      </c>
      <c r="D66" s="30">
        <v>22383</v>
      </c>
      <c r="E66" s="30">
        <v>17223525350</v>
      </c>
      <c r="F66" s="30">
        <v>400203.00970000011</v>
      </c>
      <c r="G66" s="30">
        <v>18272229515.400002</v>
      </c>
      <c r="H66" s="31">
        <v>41821</v>
      </c>
      <c r="I66" s="30">
        <v>23509</v>
      </c>
      <c r="J66" s="30">
        <v>19339775750</v>
      </c>
      <c r="K66" s="30">
        <v>341872.75969999965</v>
      </c>
      <c r="L66" s="30">
        <v>27857104270</v>
      </c>
      <c r="M66" s="31">
        <v>42917</v>
      </c>
      <c r="N66" s="30">
        <v>26191</v>
      </c>
      <c r="O66" s="30">
        <v>33878308200</v>
      </c>
      <c r="P66" s="30">
        <v>334236.1896999997</v>
      </c>
      <c r="Q66" s="30">
        <v>38717295307</v>
      </c>
    </row>
    <row r="67" spans="2:17" x14ac:dyDescent="0.25">
      <c r="B67" s="14">
        <f>INDEX(Table_Mapping!$B$5:$D$83,MATCH(C67,Table_Mapping!$C$5:$C$83,0),MATCH(B$5,Table_Mapping!$B$5:$D$5,0))</f>
        <v>93</v>
      </c>
      <c r="C67" s="158" t="s">
        <v>193</v>
      </c>
      <c r="D67" s="30">
        <v>53616</v>
      </c>
      <c r="E67" s="30">
        <v>19664044200</v>
      </c>
      <c r="F67" s="30">
        <v>279144.33599999972</v>
      </c>
      <c r="G67" s="30">
        <v>20155416467.5</v>
      </c>
      <c r="H67" s="31">
        <v>42552</v>
      </c>
      <c r="I67" s="30">
        <v>53811</v>
      </c>
      <c r="J67" s="30">
        <v>22567985050</v>
      </c>
      <c r="K67" s="30">
        <v>276827.0879999997</v>
      </c>
      <c r="L67" s="30">
        <v>22567985050</v>
      </c>
      <c r="M67" s="31">
        <v>42552</v>
      </c>
      <c r="N67" s="30">
        <v>54477</v>
      </c>
      <c r="O67" s="30">
        <v>23204908000</v>
      </c>
      <c r="P67" s="30">
        <v>276508.49869999988</v>
      </c>
      <c r="Q67" s="30">
        <v>30777331275.200005</v>
      </c>
    </row>
    <row r="68" spans="2:17" x14ac:dyDescent="0.25">
      <c r="B68" s="14">
        <f>INDEX(Table_Mapping!$B$5:$D$83,MATCH(C68,Table_Mapping!$C$5:$C$83,0),MATCH(B$5,Table_Mapping!$B$5:$D$5,0))</f>
        <v>93</v>
      </c>
      <c r="C68" s="158" t="s">
        <v>194</v>
      </c>
      <c r="D68" s="30">
        <v>12003</v>
      </c>
      <c r="E68" s="30">
        <v>6199320550</v>
      </c>
      <c r="F68" s="30">
        <v>538093.75549999985</v>
      </c>
      <c r="G68" s="30">
        <v>7036718466.5</v>
      </c>
      <c r="H68" s="31">
        <v>41883</v>
      </c>
      <c r="I68" s="30">
        <v>11947</v>
      </c>
      <c r="J68" s="30">
        <v>7327798350</v>
      </c>
      <c r="K68" s="30">
        <v>537911.46149999916</v>
      </c>
      <c r="L68" s="30">
        <v>7720522601.5</v>
      </c>
      <c r="M68" s="31">
        <v>42979</v>
      </c>
      <c r="N68" s="30">
        <v>11188</v>
      </c>
      <c r="O68" s="30">
        <v>8038274550</v>
      </c>
      <c r="P68" s="30">
        <v>536180.86149999977</v>
      </c>
      <c r="Q68" s="30">
        <v>8428861506.5</v>
      </c>
    </row>
    <row r="69" spans="2:17" x14ac:dyDescent="0.25">
      <c r="B69" s="14">
        <f>INDEX(Table_Mapping!$B$5:$D$83,MATCH(C69,Table_Mapping!$C$5:$C$83,0),MATCH(B$5,Table_Mapping!$B$5:$D$5,0))</f>
        <v>94</v>
      </c>
      <c r="C69" s="158" t="s">
        <v>195</v>
      </c>
      <c r="D69" s="30">
        <v>20803</v>
      </c>
      <c r="E69" s="30">
        <v>18124873600</v>
      </c>
      <c r="F69" s="30">
        <v>1096858.2744999989</v>
      </c>
      <c r="G69" s="30">
        <v>20224028560</v>
      </c>
      <c r="H69" s="31">
        <v>42248</v>
      </c>
      <c r="I69" s="30">
        <v>18827</v>
      </c>
      <c r="J69" s="30">
        <v>20235441050</v>
      </c>
      <c r="K69" s="30">
        <v>1096368.6344999988</v>
      </c>
      <c r="L69" s="30">
        <v>20078423612.5</v>
      </c>
      <c r="M69" s="31">
        <v>43344</v>
      </c>
      <c r="N69" s="30">
        <v>18897</v>
      </c>
      <c r="O69" s="30">
        <v>21195816300</v>
      </c>
      <c r="P69" s="30">
        <v>1092923.6645</v>
      </c>
      <c r="Q69" s="30">
        <v>22854361748.5</v>
      </c>
    </row>
    <row r="70" spans="2:17" x14ac:dyDescent="0.25">
      <c r="B70" s="14">
        <f>INDEX(Table_Mapping!$B$5:$D$83,MATCH(C70,Table_Mapping!$C$5:$C$83,0),MATCH(B$5,Table_Mapping!$B$5:$D$5,0))</f>
        <v>94</v>
      </c>
      <c r="C70" s="158" t="s">
        <v>196</v>
      </c>
      <c r="D70" s="30">
        <v>6943</v>
      </c>
      <c r="E70" s="30">
        <v>3081233480</v>
      </c>
      <c r="F70" s="30">
        <v>119504.1158</v>
      </c>
      <c r="G70" s="30">
        <v>3366390925</v>
      </c>
      <c r="H70" s="31">
        <v>41487</v>
      </c>
      <c r="I70" s="30">
        <v>6579</v>
      </c>
      <c r="J70" s="30">
        <v>3442477550</v>
      </c>
      <c r="K70" s="30">
        <v>119544.86000000003</v>
      </c>
      <c r="L70" s="30">
        <v>3442477550</v>
      </c>
      <c r="M70" s="31">
        <v>42583</v>
      </c>
      <c r="N70" s="30">
        <v>6606</v>
      </c>
      <c r="O70" s="30">
        <v>3525088050</v>
      </c>
      <c r="P70" s="30">
        <v>119520.1</v>
      </c>
      <c r="Q70" s="30">
        <v>3790881427.5</v>
      </c>
    </row>
    <row r="71" spans="2:17" x14ac:dyDescent="0.25">
      <c r="B71" s="14">
        <f>INDEX(Table_Mapping!$B$5:$D$83,MATCH(C71,Table_Mapping!$C$5:$C$83,0),MATCH(B$5,Table_Mapping!$B$5:$D$5,0))</f>
        <v>94</v>
      </c>
      <c r="C71" s="158" t="s">
        <v>197</v>
      </c>
      <c r="D71" s="30">
        <v>25221</v>
      </c>
      <c r="E71" s="30">
        <v>7071644225</v>
      </c>
      <c r="F71" s="30">
        <v>29467.202200000007</v>
      </c>
      <c r="G71" s="30">
        <v>7102904325.0999985</v>
      </c>
      <c r="H71" s="31">
        <v>41821</v>
      </c>
      <c r="I71" s="30">
        <v>25185</v>
      </c>
      <c r="J71" s="30">
        <v>7291535508</v>
      </c>
      <c r="K71" s="30">
        <v>29388.292199999996</v>
      </c>
      <c r="L71" s="30">
        <v>7740848681.46</v>
      </c>
      <c r="M71" s="31">
        <v>42917</v>
      </c>
      <c r="N71" s="30">
        <v>25311</v>
      </c>
      <c r="O71" s="30">
        <v>8540852650</v>
      </c>
      <c r="P71" s="30">
        <v>29324.892200000024</v>
      </c>
      <c r="Q71" s="30">
        <v>10663056665</v>
      </c>
    </row>
    <row r="72" spans="2:17" x14ac:dyDescent="0.25">
      <c r="B72" s="14">
        <f>INDEX(Table_Mapping!$B$5:$D$83,MATCH(C72,Table_Mapping!$C$5:$C$83,0),MATCH(B$5,Table_Mapping!$B$5:$D$5,0))</f>
        <v>74</v>
      </c>
      <c r="C72" s="158" t="s">
        <v>208</v>
      </c>
      <c r="D72" s="30">
        <v>559</v>
      </c>
      <c r="E72" s="30">
        <v>122691900</v>
      </c>
      <c r="F72" s="30">
        <v>64726.329999999987</v>
      </c>
      <c r="G72" s="30">
        <v>122691900</v>
      </c>
      <c r="H72" s="31">
        <v>42248</v>
      </c>
      <c r="I72" s="30">
        <v>557</v>
      </c>
      <c r="J72" s="30">
        <v>129287250</v>
      </c>
      <c r="K72" s="30">
        <v>63776.33</v>
      </c>
      <c r="L72" s="30">
        <v>143247905</v>
      </c>
      <c r="M72" s="31">
        <v>43344</v>
      </c>
      <c r="N72" s="30">
        <v>562</v>
      </c>
      <c r="O72" s="30">
        <v>161610350</v>
      </c>
      <c r="P72" s="30">
        <v>63766.8</v>
      </c>
      <c r="Q72" s="30">
        <v>161610350</v>
      </c>
    </row>
    <row r="73" spans="2:17" x14ac:dyDescent="0.25">
      <c r="B73" s="14">
        <f>Table_Mapping!B73</f>
        <v>81</v>
      </c>
      <c r="C73" s="7" t="s">
        <v>66</v>
      </c>
      <c r="D73" s="32">
        <f>SUMIF($B$6:$B$72,$B73,D$6:D$72)</f>
        <v>90772</v>
      </c>
      <c r="E73" s="32">
        <f t="shared" ref="E73:Q83" si="0">SUMIF($B$6:$B$72,$B73,E$6:E$72)</f>
        <v>36771111250</v>
      </c>
      <c r="F73" s="32">
        <f t="shared" si="0"/>
        <v>1000692.3411999997</v>
      </c>
      <c r="G73" s="32">
        <f t="shared" si="0"/>
        <v>37044292434</v>
      </c>
      <c r="H73" s="32"/>
      <c r="I73" s="32">
        <f t="shared" si="0"/>
        <v>91570</v>
      </c>
      <c r="J73" s="32">
        <f t="shared" si="0"/>
        <v>38869378010</v>
      </c>
      <c r="K73" s="32">
        <f t="shared" si="0"/>
        <v>1001171.8212000001</v>
      </c>
      <c r="L73" s="32">
        <f t="shared" si="0"/>
        <v>44366044525.584702</v>
      </c>
      <c r="N73" s="32">
        <f t="shared" si="0"/>
        <v>96426</v>
      </c>
      <c r="O73" s="32">
        <f t="shared" si="0"/>
        <v>53958178954</v>
      </c>
      <c r="P73" s="32">
        <f t="shared" si="0"/>
        <v>1071451.2120000008</v>
      </c>
      <c r="Q73" s="32">
        <f t="shared" si="0"/>
        <v>60980480176.330002</v>
      </c>
    </row>
    <row r="74" spans="2:17" x14ac:dyDescent="0.25">
      <c r="B74" s="14">
        <f>Table_Mapping!B74</f>
        <v>83</v>
      </c>
      <c r="C74" s="7" t="s">
        <v>67</v>
      </c>
      <c r="D74" s="32">
        <f t="shared" ref="D74:L83" si="1">SUMIF($B$6:$B$72,$B74,D$6:D$72)</f>
        <v>202468</v>
      </c>
      <c r="E74" s="32">
        <f t="shared" si="1"/>
        <v>109585410510</v>
      </c>
      <c r="F74" s="32">
        <f t="shared" si="1"/>
        <v>2260482.0356000001</v>
      </c>
      <c r="G74" s="32">
        <f t="shared" si="1"/>
        <v>113643752464.2</v>
      </c>
      <c r="H74" s="32"/>
      <c r="I74" s="32">
        <f t="shared" si="1"/>
        <v>204182</v>
      </c>
      <c r="J74" s="32">
        <f t="shared" si="1"/>
        <v>124076969425</v>
      </c>
      <c r="K74" s="32">
        <f t="shared" si="1"/>
        <v>2247823.9717999999</v>
      </c>
      <c r="L74" s="32">
        <f t="shared" si="1"/>
        <v>145020835595.85001</v>
      </c>
      <c r="N74" s="32">
        <f t="shared" si="0"/>
        <v>212402</v>
      </c>
      <c r="O74" s="32">
        <f t="shared" si="0"/>
        <v>161774060861</v>
      </c>
      <c r="P74" s="32">
        <f t="shared" si="0"/>
        <v>2266941.8504000003</v>
      </c>
      <c r="Q74" s="32">
        <f t="shared" si="0"/>
        <v>179794054862.22757</v>
      </c>
    </row>
    <row r="75" spans="2:17" x14ac:dyDescent="0.25">
      <c r="B75" s="14">
        <f>Table_Mapping!B75</f>
        <v>84</v>
      </c>
      <c r="C75" s="7" t="s">
        <v>68</v>
      </c>
      <c r="D75" s="32">
        <f t="shared" si="1"/>
        <v>128582</v>
      </c>
      <c r="E75" s="32">
        <f t="shared" si="1"/>
        <v>62939263200</v>
      </c>
      <c r="F75" s="32">
        <f t="shared" si="1"/>
        <v>807309.32030000002</v>
      </c>
      <c r="G75" s="32">
        <f t="shared" si="1"/>
        <v>64047229243.5</v>
      </c>
      <c r="H75" s="32"/>
      <c r="I75" s="32">
        <f t="shared" si="1"/>
        <v>131192</v>
      </c>
      <c r="J75" s="32">
        <f t="shared" si="1"/>
        <v>76118349951</v>
      </c>
      <c r="K75" s="32">
        <f t="shared" si="1"/>
        <v>805223.5702999999</v>
      </c>
      <c r="L75" s="32">
        <f t="shared" si="1"/>
        <v>88157802696.5</v>
      </c>
      <c r="N75" s="32">
        <f t="shared" si="0"/>
        <v>136926</v>
      </c>
      <c r="O75" s="32">
        <f t="shared" si="0"/>
        <v>102711738351</v>
      </c>
      <c r="P75" s="32">
        <f t="shared" si="0"/>
        <v>809480.13030000008</v>
      </c>
      <c r="Q75" s="32">
        <f t="shared" si="0"/>
        <v>116677898018.10001</v>
      </c>
    </row>
    <row r="76" spans="2:17" x14ac:dyDescent="0.25">
      <c r="B76" s="14">
        <f>Table_Mapping!B76</f>
        <v>86</v>
      </c>
      <c r="C76" s="7" t="s">
        <v>69</v>
      </c>
      <c r="D76" s="32">
        <f t="shared" si="1"/>
        <v>70029</v>
      </c>
      <c r="E76" s="32">
        <f t="shared" si="1"/>
        <v>30496133800</v>
      </c>
      <c r="F76" s="32">
        <f t="shared" si="1"/>
        <v>1007137.4135000001</v>
      </c>
      <c r="G76" s="32">
        <f t="shared" si="1"/>
        <v>31018875709</v>
      </c>
      <c r="H76" s="32"/>
      <c r="I76" s="32">
        <f t="shared" si="1"/>
        <v>69883</v>
      </c>
      <c r="J76" s="32">
        <f t="shared" si="1"/>
        <v>34317321800</v>
      </c>
      <c r="K76" s="32">
        <f t="shared" si="1"/>
        <v>1007770.3134999999</v>
      </c>
      <c r="L76" s="32">
        <f t="shared" si="1"/>
        <v>36699880466.5</v>
      </c>
      <c r="N76" s="32">
        <f t="shared" si="0"/>
        <v>71072</v>
      </c>
      <c r="O76" s="32">
        <f t="shared" si="0"/>
        <v>41093308350</v>
      </c>
      <c r="P76" s="32">
        <f t="shared" si="0"/>
        <v>1006889.9968999999</v>
      </c>
      <c r="Q76" s="32">
        <f t="shared" si="0"/>
        <v>53681653202.850006</v>
      </c>
    </row>
    <row r="77" spans="2:17" x14ac:dyDescent="0.25">
      <c r="B77" s="14">
        <f>Table_Mapping!B77</f>
        <v>87</v>
      </c>
      <c r="C77" s="7" t="s">
        <v>70</v>
      </c>
      <c r="D77" s="32">
        <f t="shared" si="1"/>
        <v>54788</v>
      </c>
      <c r="E77" s="32">
        <f t="shared" si="1"/>
        <v>27847791750</v>
      </c>
      <c r="F77" s="32">
        <f t="shared" si="1"/>
        <v>572026.98840000015</v>
      </c>
      <c r="G77" s="32">
        <f t="shared" si="1"/>
        <v>28121784168</v>
      </c>
      <c r="H77" s="32"/>
      <c r="I77" s="32">
        <f t="shared" si="1"/>
        <v>53855</v>
      </c>
      <c r="J77" s="32">
        <f t="shared" si="1"/>
        <v>29956765940</v>
      </c>
      <c r="K77" s="32">
        <f t="shared" si="1"/>
        <v>570865.83839999954</v>
      </c>
      <c r="L77" s="32">
        <f t="shared" si="1"/>
        <v>33305798252.5</v>
      </c>
      <c r="N77" s="32">
        <f t="shared" si="0"/>
        <v>54774</v>
      </c>
      <c r="O77" s="32">
        <f t="shared" si="0"/>
        <v>34579305600</v>
      </c>
      <c r="P77" s="32">
        <f t="shared" si="0"/>
        <v>569006.05169999972</v>
      </c>
      <c r="Q77" s="32">
        <f t="shared" si="0"/>
        <v>37826435697.800003</v>
      </c>
    </row>
    <row r="78" spans="2:17" x14ac:dyDescent="0.25">
      <c r="B78" s="14">
        <f>Table_Mapping!B78</f>
        <v>88</v>
      </c>
      <c r="C78" s="7" t="s">
        <v>71</v>
      </c>
      <c r="D78" s="32">
        <f t="shared" si="1"/>
        <v>112494</v>
      </c>
      <c r="E78" s="32">
        <f t="shared" si="1"/>
        <v>42906988300</v>
      </c>
      <c r="F78" s="32">
        <f t="shared" si="1"/>
        <v>1664927.3372000004</v>
      </c>
      <c r="G78" s="32">
        <f t="shared" si="1"/>
        <v>43052117514</v>
      </c>
      <c r="H78" s="32"/>
      <c r="I78" s="32">
        <f t="shared" si="1"/>
        <v>111611</v>
      </c>
      <c r="J78" s="32">
        <f t="shared" si="1"/>
        <v>46514948700</v>
      </c>
      <c r="K78" s="32">
        <f t="shared" si="1"/>
        <v>1662275.1198999998</v>
      </c>
      <c r="L78" s="32">
        <f t="shared" si="1"/>
        <v>48393220381.900002</v>
      </c>
      <c r="N78" s="32">
        <f t="shared" si="0"/>
        <v>112215</v>
      </c>
      <c r="O78" s="32">
        <f t="shared" si="0"/>
        <v>53715639820</v>
      </c>
      <c r="P78" s="32">
        <f t="shared" si="0"/>
        <v>1662929.8339000002</v>
      </c>
      <c r="Q78" s="32">
        <f t="shared" si="0"/>
        <v>67267383268.339996</v>
      </c>
    </row>
    <row r="79" spans="2:17" x14ac:dyDescent="0.25">
      <c r="B79" s="14">
        <f>Table_Mapping!B79</f>
        <v>89</v>
      </c>
      <c r="C79" s="7" t="s">
        <v>72</v>
      </c>
      <c r="D79" s="32">
        <f t="shared" si="1"/>
        <v>197823</v>
      </c>
      <c r="E79" s="32">
        <f t="shared" si="1"/>
        <v>101282642333</v>
      </c>
      <c r="F79" s="32">
        <f t="shared" si="1"/>
        <v>610341.24170000013</v>
      </c>
      <c r="G79" s="32">
        <f t="shared" si="1"/>
        <v>102791948779.01001</v>
      </c>
      <c r="H79" s="32"/>
      <c r="I79" s="32">
        <f t="shared" si="1"/>
        <v>200061</v>
      </c>
      <c r="J79" s="32">
        <f t="shared" si="1"/>
        <v>106874119252</v>
      </c>
      <c r="K79" s="32">
        <f t="shared" si="1"/>
        <v>611585.65630000015</v>
      </c>
      <c r="L79" s="32">
        <f t="shared" si="1"/>
        <v>123161568442.35001</v>
      </c>
      <c r="N79" s="32">
        <f t="shared" si="0"/>
        <v>203850</v>
      </c>
      <c r="O79" s="32">
        <f t="shared" si="0"/>
        <v>140392438556</v>
      </c>
      <c r="P79" s="32">
        <f t="shared" si="0"/>
        <v>610290.85600000015</v>
      </c>
      <c r="Q79" s="32">
        <f t="shared" si="0"/>
        <v>157173323124.5</v>
      </c>
    </row>
    <row r="80" spans="2:17" x14ac:dyDescent="0.25">
      <c r="B80" s="14">
        <f>Table_Mapping!B80</f>
        <v>90</v>
      </c>
      <c r="C80" s="7" t="s">
        <v>73</v>
      </c>
      <c r="D80" s="32">
        <f t="shared" si="1"/>
        <v>22410</v>
      </c>
      <c r="E80" s="32">
        <f t="shared" si="1"/>
        <v>7500571475</v>
      </c>
      <c r="F80" s="32">
        <f t="shared" si="1"/>
        <v>362695.20699999982</v>
      </c>
      <c r="G80" s="32">
        <f t="shared" si="1"/>
        <v>7405450295</v>
      </c>
      <c r="H80" s="32"/>
      <c r="I80" s="32">
        <f t="shared" si="1"/>
        <v>22377</v>
      </c>
      <c r="J80" s="32">
        <f t="shared" si="1"/>
        <v>7547475175</v>
      </c>
      <c r="K80" s="32">
        <f t="shared" si="1"/>
        <v>362153.66700000019</v>
      </c>
      <c r="L80" s="32">
        <f t="shared" si="1"/>
        <v>7141671897.25</v>
      </c>
      <c r="N80" s="32">
        <f t="shared" si="0"/>
        <v>22417</v>
      </c>
      <c r="O80" s="32">
        <f t="shared" si="0"/>
        <v>7412508860</v>
      </c>
      <c r="P80" s="32">
        <f t="shared" si="0"/>
        <v>360718.09700000001</v>
      </c>
      <c r="Q80" s="32">
        <f t="shared" si="0"/>
        <v>7344931296</v>
      </c>
    </row>
    <row r="81" spans="2:17" x14ac:dyDescent="0.25">
      <c r="B81" s="14">
        <f>Table_Mapping!B81</f>
        <v>91</v>
      </c>
      <c r="C81" s="7" t="s">
        <v>74</v>
      </c>
      <c r="D81" s="32">
        <f t="shared" si="1"/>
        <v>267518</v>
      </c>
      <c r="E81" s="32">
        <f t="shared" si="1"/>
        <v>152061492610</v>
      </c>
      <c r="F81" s="32">
        <f t="shared" si="1"/>
        <v>2863326.4510000008</v>
      </c>
      <c r="G81" s="32">
        <f t="shared" si="1"/>
        <v>163434405930.39999</v>
      </c>
      <c r="H81" s="32"/>
      <c r="I81" s="32">
        <f t="shared" si="1"/>
        <v>274965</v>
      </c>
      <c r="J81" s="32">
        <f t="shared" si="1"/>
        <v>180476963650</v>
      </c>
      <c r="K81" s="32">
        <f t="shared" si="1"/>
        <v>2802230.3036000002</v>
      </c>
      <c r="L81" s="32">
        <f t="shared" si="1"/>
        <v>183520705315.5</v>
      </c>
      <c r="N81" s="32">
        <f t="shared" si="0"/>
        <v>283615</v>
      </c>
      <c r="O81" s="32">
        <f t="shared" si="0"/>
        <v>197678212440</v>
      </c>
      <c r="P81" s="32">
        <f t="shared" si="0"/>
        <v>2764431.1492999997</v>
      </c>
      <c r="Q81" s="32">
        <f t="shared" si="0"/>
        <v>203166855876.65002</v>
      </c>
    </row>
    <row r="82" spans="2:17" x14ac:dyDescent="0.25">
      <c r="B82" s="14">
        <f>Table_Mapping!B82</f>
        <v>93</v>
      </c>
      <c r="C82" s="7" t="s">
        <v>75</v>
      </c>
      <c r="D82" s="32">
        <f t="shared" si="1"/>
        <v>115653</v>
      </c>
      <c r="E82" s="32">
        <f t="shared" si="1"/>
        <v>56504434950</v>
      </c>
      <c r="F82" s="32">
        <f t="shared" si="1"/>
        <v>2630916.348699999</v>
      </c>
      <c r="G82" s="32">
        <f t="shared" si="1"/>
        <v>59733837427.900002</v>
      </c>
      <c r="H82" s="32"/>
      <c r="I82" s="32">
        <f t="shared" si="1"/>
        <v>116317</v>
      </c>
      <c r="J82" s="32">
        <f t="shared" si="1"/>
        <v>65457590350</v>
      </c>
      <c r="K82" s="32">
        <f t="shared" si="1"/>
        <v>2550769.5691999984</v>
      </c>
      <c r="L82" s="32">
        <f t="shared" si="1"/>
        <v>74898488662.5</v>
      </c>
      <c r="N82" s="32">
        <f t="shared" si="0"/>
        <v>119451</v>
      </c>
      <c r="O82" s="32">
        <f t="shared" si="0"/>
        <v>83107826600</v>
      </c>
      <c r="P82" s="32">
        <f t="shared" si="0"/>
        <v>2534804.4973999984</v>
      </c>
      <c r="Q82" s="32">
        <f t="shared" si="0"/>
        <v>99131073181.200012</v>
      </c>
    </row>
    <row r="83" spans="2:17" x14ac:dyDescent="0.25">
      <c r="B83" s="14">
        <f>Table_Mapping!B83</f>
        <v>94</v>
      </c>
      <c r="C83" s="7" t="s">
        <v>76</v>
      </c>
      <c r="D83" s="32">
        <f t="shared" si="1"/>
        <v>52967</v>
      </c>
      <c r="E83" s="32">
        <f t="shared" si="1"/>
        <v>28277751305</v>
      </c>
      <c r="F83" s="32">
        <f t="shared" si="1"/>
        <v>1245829.5924999989</v>
      </c>
      <c r="G83" s="32">
        <f t="shared" si="1"/>
        <v>30693323810.099998</v>
      </c>
      <c r="H83" s="32"/>
      <c r="I83" s="32">
        <f t="shared" si="1"/>
        <v>50591</v>
      </c>
      <c r="J83" s="32">
        <f t="shared" si="1"/>
        <v>30969454108</v>
      </c>
      <c r="K83" s="32">
        <f t="shared" si="1"/>
        <v>1245301.7866999989</v>
      </c>
      <c r="L83" s="32">
        <f t="shared" si="1"/>
        <v>31261749843.959999</v>
      </c>
      <c r="N83" s="32">
        <f t="shared" si="0"/>
        <v>50814</v>
      </c>
      <c r="O83" s="32">
        <f t="shared" si="0"/>
        <v>33261757000</v>
      </c>
      <c r="P83" s="32">
        <f t="shared" si="0"/>
        <v>1241768.6567000002</v>
      </c>
      <c r="Q83" s="32">
        <f t="shared" si="0"/>
        <v>37308299841</v>
      </c>
    </row>
    <row r="84" spans="2:17" x14ac:dyDescent="0.25"/>
    <row r="85" spans="2:17" x14ac:dyDescent="0.25">
      <c r="B85" s="20" t="s">
        <v>323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</row>
  </sheetData>
  <pageMargins left="0.23622047244094491" right="0.23622047244094491" top="0" bottom="0" header="0.31496062992125984" footer="0.31496062992125984"/>
  <pageSetup paperSize="9" scale="4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56A67-1855-42B6-8350-96161BF2A1F0}">
  <sheetPr>
    <tabColor theme="7" tint="-0.249977111117893"/>
  </sheetPr>
  <dimension ref="A1:O92"/>
  <sheetViews>
    <sheetView showGridLines="0" zoomScale="87" zoomScaleNormal="87" workbookViewId="0">
      <selection activeCell="L19" sqref="L19"/>
    </sheetView>
  </sheetViews>
  <sheetFormatPr defaultColWidth="0" defaultRowHeight="13.2" zeroHeight="1" x14ac:dyDescent="0.25"/>
  <cols>
    <col min="1" max="1" width="3.6328125" style="10" customWidth="1"/>
    <col min="2" max="2" width="24.81640625" style="10" customWidth="1"/>
    <col min="3" max="4" width="11.08984375" style="10" customWidth="1"/>
    <col min="5" max="8" width="9" style="10" customWidth="1"/>
    <col min="9" max="9" width="21.6328125" style="10" bestFit="1" customWidth="1"/>
    <col min="10" max="10" width="9" style="10" customWidth="1"/>
    <col min="11" max="11" width="2.6328125" style="10" customWidth="1"/>
    <col min="12" max="12" width="9" style="10" customWidth="1"/>
    <col min="13" max="13" width="21.6328125" style="10" bestFit="1" customWidth="1"/>
    <col min="14" max="15" width="9" style="10" customWidth="1"/>
    <col min="16" max="16384" width="9" style="10" hidden="1"/>
  </cols>
  <sheetData>
    <row r="1" spans="2:14" x14ac:dyDescent="0.25"/>
    <row r="2" spans="2:14" x14ac:dyDescent="0.25">
      <c r="B2" s="20" t="s">
        <v>276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2:14" x14ac:dyDescent="0.25">
      <c r="B3" s="20" t="s">
        <v>327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2:14" x14ac:dyDescent="0.25"/>
    <row r="5" spans="2:14" ht="39.6" x14ac:dyDescent="0.25">
      <c r="B5" s="13" t="s">
        <v>85</v>
      </c>
      <c r="C5" s="13" t="s">
        <v>300</v>
      </c>
      <c r="D5" s="13" t="s">
        <v>301</v>
      </c>
      <c r="F5" s="13" t="s">
        <v>365</v>
      </c>
      <c r="G5" s="13" t="s">
        <v>366</v>
      </c>
      <c r="H5" s="13" t="s">
        <v>367</v>
      </c>
      <c r="I5" s="13" t="s">
        <v>85</v>
      </c>
      <c r="J5" s="13" t="s">
        <v>301</v>
      </c>
      <c r="L5" s="13" t="s">
        <v>366</v>
      </c>
      <c r="M5" s="13" t="s">
        <v>85</v>
      </c>
      <c r="N5" s="13" t="s">
        <v>300</v>
      </c>
    </row>
    <row r="6" spans="2:14" x14ac:dyDescent="0.25">
      <c r="B6" s="46" t="s">
        <v>0</v>
      </c>
      <c r="C6" s="15">
        <v>1076.2095074209508</v>
      </c>
      <c r="D6" s="15">
        <v>1113.4297733437543</v>
      </c>
      <c r="F6" s="51">
        <f>RANK(J6,$J$6:$J$83,1)</f>
        <v>1</v>
      </c>
      <c r="G6" s="51">
        <f>SUMIF(M:M,I6,L:L)</f>
        <v>1</v>
      </c>
      <c r="H6" s="51">
        <f>G6-F6</f>
        <v>0</v>
      </c>
      <c r="I6" s="46" t="s">
        <v>50</v>
      </c>
      <c r="J6" s="15">
        <v>908.83963571569984</v>
      </c>
      <c r="L6" s="51">
        <f>RANK(N6,$N$6:$N$83,1)</f>
        <v>1</v>
      </c>
      <c r="M6" s="46" t="s">
        <v>50</v>
      </c>
      <c r="N6" s="15">
        <v>920.07287117903934</v>
      </c>
    </row>
    <row r="7" spans="2:14" x14ac:dyDescent="0.25">
      <c r="B7" s="46" t="s">
        <v>1</v>
      </c>
      <c r="C7" s="15">
        <v>1020.0784638304916</v>
      </c>
      <c r="D7" s="15">
        <v>1042.4294905462184</v>
      </c>
      <c r="F7" s="51">
        <f t="shared" ref="F7:F70" si="0">RANK(J7,$J$6:$J$83,1)</f>
        <v>2</v>
      </c>
      <c r="G7" s="51">
        <f t="shared" ref="G7:G70" si="1">SUMIF(M:M,I7,L:L)</f>
        <v>2</v>
      </c>
      <c r="H7" s="51">
        <f t="shared" ref="H7:H70" si="2">G7-F7</f>
        <v>0</v>
      </c>
      <c r="I7" s="46" t="s">
        <v>60</v>
      </c>
      <c r="J7" s="15">
        <v>914.22624885075084</v>
      </c>
      <c r="L7" s="51">
        <f t="shared" ref="L7:L70" si="3">RANK(N7,$N$6:$N$83,1)</f>
        <v>2</v>
      </c>
      <c r="M7" s="46" t="s">
        <v>60</v>
      </c>
      <c r="N7" s="15">
        <v>926.50854979767655</v>
      </c>
    </row>
    <row r="8" spans="2:14" x14ac:dyDescent="0.25">
      <c r="B8" s="46" t="s">
        <v>2</v>
      </c>
      <c r="C8" s="15">
        <v>1021.9225861163833</v>
      </c>
      <c r="D8" s="15">
        <v>1042.8171419152793</v>
      </c>
      <c r="F8" s="51">
        <f t="shared" si="0"/>
        <v>3</v>
      </c>
      <c r="G8" s="51">
        <f t="shared" si="1"/>
        <v>5</v>
      </c>
      <c r="H8" s="51">
        <f t="shared" si="2"/>
        <v>2</v>
      </c>
      <c r="I8" s="46" t="s">
        <v>57</v>
      </c>
      <c r="J8" s="15">
        <v>936.80957683741644</v>
      </c>
      <c r="L8" s="51">
        <f t="shared" si="3"/>
        <v>3</v>
      </c>
      <c r="M8" s="46" t="s">
        <v>64</v>
      </c>
      <c r="N8" s="15">
        <v>941.48036539269219</v>
      </c>
    </row>
    <row r="9" spans="2:14" x14ac:dyDescent="0.25">
      <c r="B9" s="46" t="s">
        <v>3</v>
      </c>
      <c r="C9" s="15">
        <v>998.00934646069493</v>
      </c>
      <c r="D9" s="15">
        <v>1003.8163487728018</v>
      </c>
      <c r="F9" s="51">
        <f t="shared" si="0"/>
        <v>4</v>
      </c>
      <c r="G9" s="51">
        <f t="shared" si="1"/>
        <v>8</v>
      </c>
      <c r="H9" s="51">
        <f t="shared" si="2"/>
        <v>4</v>
      </c>
      <c r="I9" s="46" t="s">
        <v>49</v>
      </c>
      <c r="J9" s="15">
        <v>942.80593325092707</v>
      </c>
      <c r="L9" s="51">
        <f t="shared" si="3"/>
        <v>4</v>
      </c>
      <c r="M9" s="46" t="s">
        <v>52</v>
      </c>
      <c r="N9" s="15">
        <v>946.69026107988907</v>
      </c>
    </row>
    <row r="10" spans="2:14" x14ac:dyDescent="0.25">
      <c r="B10" s="46" t="s">
        <v>4</v>
      </c>
      <c r="C10" s="15">
        <v>1011.2324243470257</v>
      </c>
      <c r="D10" s="15">
        <v>1031.3918606386153</v>
      </c>
      <c r="F10" s="51">
        <f t="shared" si="0"/>
        <v>5</v>
      </c>
      <c r="G10" s="51">
        <f t="shared" si="1"/>
        <v>4</v>
      </c>
      <c r="H10" s="51">
        <f t="shared" si="2"/>
        <v>-1</v>
      </c>
      <c r="I10" s="46" t="s">
        <v>52</v>
      </c>
      <c r="J10" s="15">
        <v>946.01356462104786</v>
      </c>
      <c r="L10" s="51">
        <f t="shared" si="3"/>
        <v>5</v>
      </c>
      <c r="M10" s="46" t="s">
        <v>57</v>
      </c>
      <c r="N10" s="15">
        <v>947.3458356315499</v>
      </c>
    </row>
    <row r="11" spans="2:14" x14ac:dyDescent="0.25">
      <c r="B11" s="46" t="s">
        <v>5</v>
      </c>
      <c r="C11" s="15">
        <v>1040.2874231032126</v>
      </c>
      <c r="D11" s="15">
        <v>1055.1534653465346</v>
      </c>
      <c r="F11" s="51">
        <f t="shared" si="0"/>
        <v>6</v>
      </c>
      <c r="G11" s="51">
        <f t="shared" si="1"/>
        <v>10</v>
      </c>
      <c r="H11" s="51">
        <f t="shared" si="2"/>
        <v>4</v>
      </c>
      <c r="I11" s="46" t="s">
        <v>41</v>
      </c>
      <c r="J11" s="15">
        <v>953.78374818717259</v>
      </c>
      <c r="L11" s="51">
        <f t="shared" si="3"/>
        <v>6</v>
      </c>
      <c r="M11" s="46" t="s">
        <v>48</v>
      </c>
      <c r="N11" s="15">
        <v>950.8275493860117</v>
      </c>
    </row>
    <row r="12" spans="2:14" x14ac:dyDescent="0.25">
      <c r="B12" s="46" t="s">
        <v>6</v>
      </c>
      <c r="C12" s="15">
        <v>986.98681148176877</v>
      </c>
      <c r="D12" s="15">
        <v>1008.0043614794138</v>
      </c>
      <c r="F12" s="51">
        <f t="shared" si="0"/>
        <v>7</v>
      </c>
      <c r="G12" s="200">
        <f t="shared" si="1"/>
        <v>3</v>
      </c>
      <c r="H12" s="200">
        <f t="shared" si="2"/>
        <v>-4</v>
      </c>
      <c r="I12" s="46" t="s">
        <v>64</v>
      </c>
      <c r="J12" s="15">
        <v>962.65266433294437</v>
      </c>
      <c r="L12" s="51">
        <f t="shared" si="3"/>
        <v>7</v>
      </c>
      <c r="M12" s="46" t="s">
        <v>46</v>
      </c>
      <c r="N12" s="15">
        <v>954.60550559333183</v>
      </c>
    </row>
    <row r="13" spans="2:14" x14ac:dyDescent="0.25">
      <c r="B13" s="46" t="s">
        <v>7</v>
      </c>
      <c r="C13" s="15">
        <v>1004.8161642928122</v>
      </c>
      <c r="D13" s="15">
        <v>1026.8116458704694</v>
      </c>
      <c r="F13" s="51">
        <f t="shared" si="0"/>
        <v>8</v>
      </c>
      <c r="G13" s="200">
        <f t="shared" si="1"/>
        <v>6</v>
      </c>
      <c r="H13" s="200">
        <f t="shared" si="2"/>
        <v>-2</v>
      </c>
      <c r="I13" s="46" t="s">
        <v>48</v>
      </c>
      <c r="J13" s="15">
        <v>963.52435530085961</v>
      </c>
      <c r="L13" s="51">
        <f t="shared" si="3"/>
        <v>8</v>
      </c>
      <c r="M13" s="46" t="s">
        <v>49</v>
      </c>
      <c r="N13" s="15">
        <v>954.9023255813953</v>
      </c>
    </row>
    <row r="14" spans="2:14" x14ac:dyDescent="0.25">
      <c r="B14" s="46" t="s">
        <v>8</v>
      </c>
      <c r="C14" s="15">
        <v>1059.7516848107828</v>
      </c>
      <c r="D14" s="15">
        <v>1090.1372084320819</v>
      </c>
      <c r="F14" s="51">
        <f t="shared" si="0"/>
        <v>9</v>
      </c>
      <c r="G14" s="200">
        <f t="shared" si="1"/>
        <v>17</v>
      </c>
      <c r="H14" s="200">
        <f t="shared" si="2"/>
        <v>8</v>
      </c>
      <c r="I14" s="46" t="s">
        <v>39</v>
      </c>
      <c r="J14" s="15">
        <v>964.29670641680866</v>
      </c>
      <c r="L14" s="51">
        <f t="shared" si="3"/>
        <v>9</v>
      </c>
      <c r="M14" s="46" t="s">
        <v>35</v>
      </c>
      <c r="N14" s="15">
        <v>959.55491178959699</v>
      </c>
    </row>
    <row r="15" spans="2:14" x14ac:dyDescent="0.25">
      <c r="B15" s="46" t="s">
        <v>9</v>
      </c>
      <c r="C15" s="15">
        <v>1004.3522252160178</v>
      </c>
      <c r="D15" s="15">
        <v>1001.660696999032</v>
      </c>
      <c r="F15" s="51">
        <f t="shared" si="0"/>
        <v>10</v>
      </c>
      <c r="G15" s="200">
        <f t="shared" si="1"/>
        <v>12</v>
      </c>
      <c r="H15" s="200">
        <f t="shared" si="2"/>
        <v>2</v>
      </c>
      <c r="I15" s="46" t="s">
        <v>12</v>
      </c>
      <c r="J15" s="15">
        <v>966.18685530691619</v>
      </c>
      <c r="L15" s="51">
        <f t="shared" si="3"/>
        <v>10</v>
      </c>
      <c r="M15" s="46" t="s">
        <v>41</v>
      </c>
      <c r="N15" s="15">
        <v>962.11787212002741</v>
      </c>
    </row>
    <row r="16" spans="2:14" x14ac:dyDescent="0.25">
      <c r="B16" s="46" t="s">
        <v>10</v>
      </c>
      <c r="C16" s="15">
        <v>1009.5400444288554</v>
      </c>
      <c r="D16" s="15">
        <v>1009.8807302638178</v>
      </c>
      <c r="F16" s="51">
        <f t="shared" si="0"/>
        <v>11</v>
      </c>
      <c r="G16" s="200">
        <f t="shared" si="1"/>
        <v>15</v>
      </c>
      <c r="H16" s="200">
        <f t="shared" si="2"/>
        <v>4</v>
      </c>
      <c r="I16" s="46" t="s">
        <v>34</v>
      </c>
      <c r="J16" s="15">
        <v>968.58433931484501</v>
      </c>
      <c r="L16" s="51">
        <f t="shared" si="3"/>
        <v>11</v>
      </c>
      <c r="M16" s="46" t="s">
        <v>45</v>
      </c>
      <c r="N16" s="15">
        <v>964.50621765140818</v>
      </c>
    </row>
    <row r="17" spans="2:14" x14ac:dyDescent="0.25">
      <c r="B17" s="46" t="s">
        <v>11</v>
      </c>
      <c r="C17" s="15">
        <v>1004.4058848299821</v>
      </c>
      <c r="D17" s="15">
        <v>1003.3650749583564</v>
      </c>
      <c r="F17" s="51">
        <f t="shared" si="0"/>
        <v>12</v>
      </c>
      <c r="G17" s="200">
        <f t="shared" si="1"/>
        <v>11</v>
      </c>
      <c r="H17" s="200">
        <f t="shared" si="2"/>
        <v>-1</v>
      </c>
      <c r="I17" s="46" t="s">
        <v>45</v>
      </c>
      <c r="J17" s="15">
        <v>968.71469509399356</v>
      </c>
      <c r="L17" s="51">
        <f t="shared" si="3"/>
        <v>12</v>
      </c>
      <c r="M17" s="46" t="s">
        <v>12</v>
      </c>
      <c r="N17" s="15">
        <v>965.15568691688622</v>
      </c>
    </row>
    <row r="18" spans="2:14" x14ac:dyDescent="0.25">
      <c r="B18" s="46" t="s">
        <v>12</v>
      </c>
      <c r="C18" s="15">
        <v>965.15568691688622</v>
      </c>
      <c r="D18" s="15">
        <v>966.18685530691619</v>
      </c>
      <c r="F18" s="51">
        <f t="shared" si="0"/>
        <v>13</v>
      </c>
      <c r="G18" s="200">
        <f t="shared" si="1"/>
        <v>18</v>
      </c>
      <c r="H18" s="200">
        <f t="shared" si="2"/>
        <v>5</v>
      </c>
      <c r="I18" s="46" t="s">
        <v>74</v>
      </c>
      <c r="J18" s="15">
        <v>971.57486204474765</v>
      </c>
      <c r="L18" s="51">
        <f t="shared" si="3"/>
        <v>13</v>
      </c>
      <c r="M18" s="46" t="s">
        <v>43</v>
      </c>
      <c r="N18" s="15">
        <v>965.17406912085596</v>
      </c>
    </row>
    <row r="19" spans="2:14" x14ac:dyDescent="0.25">
      <c r="B19" s="46" t="s">
        <v>13</v>
      </c>
      <c r="C19" s="15">
        <v>1051.6662480376765</v>
      </c>
      <c r="D19" s="15">
        <v>1083.8653970303421</v>
      </c>
      <c r="F19" s="51">
        <f t="shared" si="0"/>
        <v>14</v>
      </c>
      <c r="G19" s="200">
        <f t="shared" si="1"/>
        <v>7</v>
      </c>
      <c r="H19" s="200">
        <f t="shared" si="2"/>
        <v>-7</v>
      </c>
      <c r="I19" s="46" t="s">
        <v>46</v>
      </c>
      <c r="J19" s="15">
        <v>971.70221743424008</v>
      </c>
      <c r="L19" s="51">
        <f t="shared" si="3"/>
        <v>14</v>
      </c>
      <c r="M19" s="46" t="s">
        <v>58</v>
      </c>
      <c r="N19" s="15">
        <v>967.42468876030159</v>
      </c>
    </row>
    <row r="20" spans="2:14" x14ac:dyDescent="0.25">
      <c r="B20" s="46" t="s">
        <v>14</v>
      </c>
      <c r="C20" s="15">
        <v>1148.7324066029539</v>
      </c>
      <c r="D20" s="15">
        <v>1176.7542016806722</v>
      </c>
      <c r="F20" s="51">
        <f t="shared" si="0"/>
        <v>15</v>
      </c>
      <c r="G20" s="200">
        <f t="shared" si="1"/>
        <v>13</v>
      </c>
      <c r="H20" s="200">
        <f t="shared" si="2"/>
        <v>-2</v>
      </c>
      <c r="I20" s="46" t="s">
        <v>43</v>
      </c>
      <c r="J20" s="15">
        <v>972.93587631478897</v>
      </c>
      <c r="L20" s="51">
        <f t="shared" si="3"/>
        <v>15</v>
      </c>
      <c r="M20" s="46" t="s">
        <v>34</v>
      </c>
      <c r="N20" s="15">
        <v>970.88393608074011</v>
      </c>
    </row>
    <row r="21" spans="2:14" x14ac:dyDescent="0.25">
      <c r="B21" s="46" t="s">
        <v>15</v>
      </c>
      <c r="C21" s="15">
        <v>1145.6655439541933</v>
      </c>
      <c r="D21" s="15">
        <v>1167.104786545925</v>
      </c>
      <c r="F21" s="51">
        <f t="shared" si="0"/>
        <v>16</v>
      </c>
      <c r="G21" s="200">
        <f t="shared" si="1"/>
        <v>21</v>
      </c>
      <c r="H21" s="200">
        <f t="shared" si="2"/>
        <v>5</v>
      </c>
      <c r="I21" s="46" t="s">
        <v>75</v>
      </c>
      <c r="J21" s="15">
        <v>973.19230260722406</v>
      </c>
      <c r="L21" s="51">
        <f t="shared" si="3"/>
        <v>16</v>
      </c>
      <c r="M21" s="46" t="s">
        <v>62</v>
      </c>
      <c r="N21" s="15">
        <v>973.13795620437952</v>
      </c>
    </row>
    <row r="22" spans="2:14" x14ac:dyDescent="0.25">
      <c r="B22" s="46" t="s">
        <v>16</v>
      </c>
      <c r="C22" s="15">
        <v>1034.2189018241818</v>
      </c>
      <c r="D22" s="15">
        <v>1056.5879923230975</v>
      </c>
      <c r="F22" s="51">
        <f t="shared" si="0"/>
        <v>17</v>
      </c>
      <c r="G22" s="200">
        <f t="shared" si="1"/>
        <v>9</v>
      </c>
      <c r="H22" s="200">
        <f t="shared" si="2"/>
        <v>-8</v>
      </c>
      <c r="I22" s="46" t="s">
        <v>35</v>
      </c>
      <c r="J22" s="15">
        <v>974.26715850659514</v>
      </c>
      <c r="L22" s="51">
        <f t="shared" si="3"/>
        <v>17</v>
      </c>
      <c r="M22" s="46" t="s">
        <v>39</v>
      </c>
      <c r="N22" s="15">
        <v>974.01822477219037</v>
      </c>
    </row>
    <row r="23" spans="2:14" x14ac:dyDescent="0.25">
      <c r="B23" s="46" t="s">
        <v>17</v>
      </c>
      <c r="C23" s="15">
        <v>990.17989647494289</v>
      </c>
      <c r="D23" s="15">
        <v>984.06684081130913</v>
      </c>
      <c r="F23" s="51">
        <f t="shared" si="0"/>
        <v>18</v>
      </c>
      <c r="G23" s="200">
        <f t="shared" si="1"/>
        <v>22</v>
      </c>
      <c r="H23" s="200">
        <f t="shared" si="2"/>
        <v>4</v>
      </c>
      <c r="I23" s="46" t="s">
        <v>40</v>
      </c>
      <c r="J23" s="15">
        <v>976.68117029257314</v>
      </c>
      <c r="L23" s="51">
        <f t="shared" si="3"/>
        <v>18</v>
      </c>
      <c r="M23" s="46" t="s">
        <v>74</v>
      </c>
      <c r="N23" s="15">
        <v>974.76450460759099</v>
      </c>
    </row>
    <row r="24" spans="2:14" x14ac:dyDescent="0.25">
      <c r="B24" s="46" t="s">
        <v>18</v>
      </c>
      <c r="C24" s="15">
        <v>981.604731430215</v>
      </c>
      <c r="D24" s="15">
        <v>982.2684053564119</v>
      </c>
      <c r="F24" s="51">
        <f t="shared" si="0"/>
        <v>19</v>
      </c>
      <c r="G24" s="200">
        <f t="shared" si="1"/>
        <v>28</v>
      </c>
      <c r="H24" s="200">
        <f t="shared" si="2"/>
        <v>9</v>
      </c>
      <c r="I24" s="46" t="s">
        <v>72</v>
      </c>
      <c r="J24" s="15">
        <v>981.41046026343054</v>
      </c>
      <c r="L24" s="51">
        <f t="shared" si="3"/>
        <v>19</v>
      </c>
      <c r="M24" s="46" t="s">
        <v>65</v>
      </c>
      <c r="N24" s="15">
        <v>975.58477508650515</v>
      </c>
    </row>
    <row r="25" spans="2:14" x14ac:dyDescent="0.25">
      <c r="B25" s="46" t="s">
        <v>216</v>
      </c>
      <c r="C25" s="15">
        <v>1065.8685458612974</v>
      </c>
      <c r="D25" s="15">
        <v>1077.8492943548388</v>
      </c>
      <c r="F25" s="51">
        <f t="shared" si="0"/>
        <v>20</v>
      </c>
      <c r="G25" s="200">
        <f t="shared" si="1"/>
        <v>24</v>
      </c>
      <c r="H25" s="200">
        <f t="shared" si="2"/>
        <v>4</v>
      </c>
      <c r="I25" s="46" t="s">
        <v>42</v>
      </c>
      <c r="J25" s="15">
        <v>981.94474290099765</v>
      </c>
      <c r="L25" s="51">
        <f t="shared" si="3"/>
        <v>20</v>
      </c>
      <c r="M25" s="46" t="s">
        <v>51</v>
      </c>
      <c r="N25" s="15">
        <v>975.74330466400954</v>
      </c>
    </row>
    <row r="26" spans="2:14" x14ac:dyDescent="0.25">
      <c r="B26" s="46" t="s">
        <v>19</v>
      </c>
      <c r="C26" s="15">
        <v>1077.2893648749407</v>
      </c>
      <c r="D26" s="15">
        <v>1091.7417155841697</v>
      </c>
      <c r="F26" s="51">
        <f t="shared" si="0"/>
        <v>21</v>
      </c>
      <c r="G26" s="200">
        <f t="shared" si="1"/>
        <v>25</v>
      </c>
      <c r="H26" s="200">
        <f t="shared" si="2"/>
        <v>4</v>
      </c>
      <c r="I26" s="46" t="s">
        <v>18</v>
      </c>
      <c r="J26" s="15">
        <v>982.2684053564119</v>
      </c>
      <c r="L26" s="51">
        <f t="shared" si="3"/>
        <v>21</v>
      </c>
      <c r="M26" s="46" t="s">
        <v>75</v>
      </c>
      <c r="N26" s="15">
        <v>976.16263883175645</v>
      </c>
    </row>
    <row r="27" spans="2:14" x14ac:dyDescent="0.25">
      <c r="B27" s="46" t="s">
        <v>20</v>
      </c>
      <c r="C27" s="15">
        <v>993.28420326511844</v>
      </c>
      <c r="D27" s="15">
        <v>1005.2979851537646</v>
      </c>
      <c r="F27" s="51">
        <f t="shared" si="0"/>
        <v>22</v>
      </c>
      <c r="G27" s="200">
        <f t="shared" si="1"/>
        <v>20</v>
      </c>
      <c r="H27" s="200">
        <f t="shared" si="2"/>
        <v>-2</v>
      </c>
      <c r="I27" s="46" t="s">
        <v>51</v>
      </c>
      <c r="J27" s="15">
        <v>982.63224050796941</v>
      </c>
      <c r="L27" s="51">
        <f t="shared" si="3"/>
        <v>22</v>
      </c>
      <c r="M27" s="46" t="s">
        <v>40</v>
      </c>
      <c r="N27" s="15">
        <v>976.87231214324811</v>
      </c>
    </row>
    <row r="28" spans="2:14" x14ac:dyDescent="0.25">
      <c r="B28" s="46" t="s">
        <v>21</v>
      </c>
      <c r="C28" s="15">
        <v>1020.8356799523586</v>
      </c>
      <c r="D28" s="15">
        <v>1029.2808720267637</v>
      </c>
      <c r="F28" s="51">
        <f t="shared" si="0"/>
        <v>23</v>
      </c>
      <c r="G28" s="200">
        <f t="shared" si="1"/>
        <v>34</v>
      </c>
      <c r="H28" s="200">
        <f t="shared" si="2"/>
        <v>11</v>
      </c>
      <c r="I28" s="46" t="s">
        <v>17</v>
      </c>
      <c r="J28" s="15">
        <v>984.06684081130913</v>
      </c>
      <c r="L28" s="51">
        <f t="shared" si="3"/>
        <v>23</v>
      </c>
      <c r="M28" s="46" t="s">
        <v>76</v>
      </c>
      <c r="N28" s="15">
        <v>977.01255409825228</v>
      </c>
    </row>
    <row r="29" spans="2:14" x14ac:dyDescent="0.25">
      <c r="B29" s="46" t="s">
        <v>22</v>
      </c>
      <c r="C29" s="15">
        <v>1014.3476475989845</v>
      </c>
      <c r="D29" s="15">
        <v>1015.2862444572971</v>
      </c>
      <c r="F29" s="51">
        <f t="shared" si="0"/>
        <v>24</v>
      </c>
      <c r="G29" s="200">
        <f t="shared" si="1"/>
        <v>29</v>
      </c>
      <c r="H29" s="200">
        <f t="shared" si="2"/>
        <v>5</v>
      </c>
      <c r="I29" s="46" t="s">
        <v>47</v>
      </c>
      <c r="J29" s="15">
        <v>984.30938754938461</v>
      </c>
      <c r="L29" s="51">
        <f t="shared" si="3"/>
        <v>24</v>
      </c>
      <c r="M29" s="46" t="s">
        <v>42</v>
      </c>
      <c r="N29" s="15">
        <v>979.36400651465794</v>
      </c>
    </row>
    <row r="30" spans="2:14" x14ac:dyDescent="0.25">
      <c r="B30" s="46" t="s">
        <v>23</v>
      </c>
      <c r="C30" s="15">
        <v>1099.1204060203011</v>
      </c>
      <c r="D30" s="15">
        <v>1163.6465517241379</v>
      </c>
      <c r="F30" s="51">
        <f t="shared" si="0"/>
        <v>25</v>
      </c>
      <c r="G30" s="200">
        <f t="shared" si="1"/>
        <v>27</v>
      </c>
      <c r="H30" s="200">
        <f t="shared" si="2"/>
        <v>2</v>
      </c>
      <c r="I30" s="46" t="s">
        <v>28</v>
      </c>
      <c r="J30" s="15">
        <v>985.63383084577117</v>
      </c>
      <c r="L30" s="51">
        <f t="shared" si="3"/>
        <v>25</v>
      </c>
      <c r="M30" s="46" t="s">
        <v>18</v>
      </c>
      <c r="N30" s="15">
        <v>981.604731430215</v>
      </c>
    </row>
    <row r="31" spans="2:14" x14ac:dyDescent="0.25">
      <c r="B31" s="46" t="s">
        <v>24</v>
      </c>
      <c r="C31" s="15">
        <v>993.26911636045497</v>
      </c>
      <c r="D31" s="15">
        <v>997.78893351182512</v>
      </c>
      <c r="F31" s="51">
        <f t="shared" si="0"/>
        <v>26</v>
      </c>
      <c r="G31" s="200">
        <f t="shared" si="1"/>
        <v>32</v>
      </c>
      <c r="H31" s="200">
        <f t="shared" si="2"/>
        <v>6</v>
      </c>
      <c r="I31" s="46" t="s">
        <v>44</v>
      </c>
      <c r="J31" s="15">
        <v>987.51412062967984</v>
      </c>
      <c r="L31" s="51">
        <f t="shared" si="3"/>
        <v>26</v>
      </c>
      <c r="M31" s="46" t="s">
        <v>61</v>
      </c>
      <c r="N31" s="15">
        <v>981.62574760765551</v>
      </c>
    </row>
    <row r="32" spans="2:14" x14ac:dyDescent="0.25">
      <c r="B32" s="46" t="s">
        <v>25</v>
      </c>
      <c r="C32" s="15">
        <v>1017.194564475779</v>
      </c>
      <c r="D32" s="15">
        <v>1052.071459694989</v>
      </c>
      <c r="F32" s="51">
        <f t="shared" si="0"/>
        <v>27</v>
      </c>
      <c r="G32" s="200">
        <f t="shared" si="1"/>
        <v>35</v>
      </c>
      <c r="H32" s="200">
        <f t="shared" si="2"/>
        <v>8</v>
      </c>
      <c r="I32" s="46" t="s">
        <v>59</v>
      </c>
      <c r="J32" s="15">
        <v>991.08318281205436</v>
      </c>
      <c r="L32" s="51">
        <f t="shared" si="3"/>
        <v>27</v>
      </c>
      <c r="M32" s="46" t="s">
        <v>28</v>
      </c>
      <c r="N32" s="15">
        <v>982.91856677524424</v>
      </c>
    </row>
    <row r="33" spans="2:14" x14ac:dyDescent="0.25">
      <c r="B33" s="46" t="s">
        <v>26</v>
      </c>
      <c r="C33" s="15">
        <v>996.44773109243692</v>
      </c>
      <c r="D33" s="15">
        <v>1024.061075949367</v>
      </c>
      <c r="F33" s="51">
        <f t="shared" si="0"/>
        <v>28</v>
      </c>
      <c r="G33" s="200">
        <f t="shared" si="1"/>
        <v>16</v>
      </c>
      <c r="H33" s="200">
        <f t="shared" si="2"/>
        <v>-12</v>
      </c>
      <c r="I33" s="46" t="s">
        <v>62</v>
      </c>
      <c r="J33" s="15">
        <v>993.19283813210745</v>
      </c>
      <c r="L33" s="51">
        <f t="shared" si="3"/>
        <v>28</v>
      </c>
      <c r="M33" s="46" t="s">
        <v>72</v>
      </c>
      <c r="N33" s="15">
        <v>984.14695122359035</v>
      </c>
    </row>
    <row r="34" spans="2:14" x14ac:dyDescent="0.25">
      <c r="B34" s="46" t="s">
        <v>27</v>
      </c>
      <c r="C34" s="15">
        <v>1044.1223832528181</v>
      </c>
      <c r="D34" s="15">
        <v>1066.5490797546013</v>
      </c>
      <c r="F34" s="51">
        <f t="shared" si="0"/>
        <v>29</v>
      </c>
      <c r="G34" s="200">
        <f t="shared" si="1"/>
        <v>26</v>
      </c>
      <c r="H34" s="200">
        <f t="shared" si="2"/>
        <v>-3</v>
      </c>
      <c r="I34" s="46" t="s">
        <v>61</v>
      </c>
      <c r="J34" s="15">
        <v>993.57949959644873</v>
      </c>
      <c r="L34" s="51">
        <f t="shared" si="3"/>
        <v>29</v>
      </c>
      <c r="M34" s="46" t="s">
        <v>47</v>
      </c>
      <c r="N34" s="15">
        <v>985.0772864148671</v>
      </c>
    </row>
    <row r="35" spans="2:14" x14ac:dyDescent="0.25">
      <c r="B35" s="46" t="s">
        <v>28</v>
      </c>
      <c r="C35" s="15">
        <v>982.91856677524424</v>
      </c>
      <c r="D35" s="15">
        <v>985.63383084577117</v>
      </c>
      <c r="F35" s="51">
        <f t="shared" si="0"/>
        <v>30</v>
      </c>
      <c r="G35" s="200">
        <f t="shared" si="1"/>
        <v>23</v>
      </c>
      <c r="H35" s="200">
        <f t="shared" si="2"/>
        <v>-7</v>
      </c>
      <c r="I35" s="46" t="s">
        <v>76</v>
      </c>
      <c r="J35" s="15">
        <v>994.33963367708168</v>
      </c>
      <c r="L35" s="51">
        <f t="shared" si="3"/>
        <v>30</v>
      </c>
      <c r="M35" s="46" t="s">
        <v>6</v>
      </c>
      <c r="N35" s="15">
        <v>986.98681148176877</v>
      </c>
    </row>
    <row r="36" spans="2:14" x14ac:dyDescent="0.25">
      <c r="B36" s="46" t="s">
        <v>29</v>
      </c>
      <c r="C36" s="15">
        <v>995.22403864734304</v>
      </c>
      <c r="D36" s="15">
        <v>1007.694255319149</v>
      </c>
      <c r="F36" s="51">
        <f t="shared" si="0"/>
        <v>31</v>
      </c>
      <c r="G36" s="200">
        <f t="shared" si="1"/>
        <v>14</v>
      </c>
      <c r="H36" s="200">
        <f t="shared" si="2"/>
        <v>-17</v>
      </c>
      <c r="I36" s="46" t="s">
        <v>58</v>
      </c>
      <c r="J36" s="15">
        <v>994.69711375212228</v>
      </c>
      <c r="L36" s="51">
        <f t="shared" si="3"/>
        <v>31</v>
      </c>
      <c r="M36" s="46" t="s">
        <v>53</v>
      </c>
      <c r="N36" s="15">
        <v>987.6780159730979</v>
      </c>
    </row>
    <row r="37" spans="2:14" x14ac:dyDescent="0.25">
      <c r="B37" s="46" t="s">
        <v>30</v>
      </c>
      <c r="C37" s="15">
        <v>1005.5533227218464</v>
      </c>
      <c r="D37" s="15">
        <v>1027.022958674386</v>
      </c>
      <c r="F37" s="200">
        <f t="shared" si="0"/>
        <v>32</v>
      </c>
      <c r="G37" s="200">
        <f t="shared" si="1"/>
        <v>33</v>
      </c>
      <c r="H37" s="200">
        <f t="shared" si="2"/>
        <v>1</v>
      </c>
      <c r="I37" s="57" t="s">
        <v>56</v>
      </c>
      <c r="J37" s="15">
        <v>996.17904233171407</v>
      </c>
      <c r="L37" s="51">
        <f t="shared" si="3"/>
        <v>32</v>
      </c>
      <c r="M37" s="46" t="s">
        <v>44</v>
      </c>
      <c r="N37" s="15">
        <v>988.50857669407424</v>
      </c>
    </row>
    <row r="38" spans="2:14" x14ac:dyDescent="0.25">
      <c r="B38" s="46" t="s">
        <v>31</v>
      </c>
      <c r="C38" s="15">
        <v>1058.4324503311259</v>
      </c>
      <c r="D38" s="15">
        <v>1088.0904216427004</v>
      </c>
      <c r="F38" s="200">
        <f t="shared" si="0"/>
        <v>33</v>
      </c>
      <c r="G38" s="200">
        <f t="shared" si="1"/>
        <v>36</v>
      </c>
      <c r="H38" s="200">
        <f t="shared" si="2"/>
        <v>3</v>
      </c>
      <c r="I38" s="57" t="s">
        <v>24</v>
      </c>
      <c r="J38" s="15">
        <v>997.78893351182512</v>
      </c>
      <c r="L38" s="51">
        <f t="shared" si="3"/>
        <v>33</v>
      </c>
      <c r="M38" s="46" t="s">
        <v>56</v>
      </c>
      <c r="N38" s="15">
        <v>988.67059243397568</v>
      </c>
    </row>
    <row r="39" spans="2:14" x14ac:dyDescent="0.25">
      <c r="B39" s="46" t="s">
        <v>32</v>
      </c>
      <c r="C39" s="15">
        <v>1009.4808649390767</v>
      </c>
      <c r="D39" s="15">
        <v>1045.5158969210174</v>
      </c>
      <c r="F39" s="200">
        <f t="shared" si="0"/>
        <v>34</v>
      </c>
      <c r="G39" s="200">
        <f t="shared" si="1"/>
        <v>44</v>
      </c>
      <c r="H39" s="200">
        <f t="shared" si="2"/>
        <v>10</v>
      </c>
      <c r="I39" s="57" t="s">
        <v>9</v>
      </c>
      <c r="J39" s="15">
        <v>1001.660696999032</v>
      </c>
      <c r="L39" s="51">
        <f t="shared" si="3"/>
        <v>34</v>
      </c>
      <c r="M39" s="46" t="s">
        <v>17</v>
      </c>
      <c r="N39" s="15">
        <v>990.17989647494289</v>
      </c>
    </row>
    <row r="40" spans="2:14" x14ac:dyDescent="0.25">
      <c r="B40" s="46" t="s">
        <v>33</v>
      </c>
      <c r="C40" s="15">
        <v>1045.8056982061203</v>
      </c>
      <c r="D40" s="15">
        <v>1062.8719883505428</v>
      </c>
      <c r="F40" s="200">
        <f t="shared" si="0"/>
        <v>35</v>
      </c>
      <c r="G40" s="200">
        <f t="shared" si="1"/>
        <v>45</v>
      </c>
      <c r="H40" s="200">
        <f t="shared" si="2"/>
        <v>10</v>
      </c>
      <c r="I40" s="57" t="s">
        <v>11</v>
      </c>
      <c r="J40" s="15">
        <v>1003.3650749583564</v>
      </c>
      <c r="L40" s="51">
        <f t="shared" si="3"/>
        <v>35</v>
      </c>
      <c r="M40" s="46" t="s">
        <v>59</v>
      </c>
      <c r="N40" s="15">
        <v>991.00715712804435</v>
      </c>
    </row>
    <row r="41" spans="2:14" x14ac:dyDescent="0.25">
      <c r="B41" s="46" t="s">
        <v>34</v>
      </c>
      <c r="C41" s="15">
        <v>970.88393608074011</v>
      </c>
      <c r="D41" s="15">
        <v>968.58433931484501</v>
      </c>
      <c r="F41" s="200">
        <f t="shared" si="0"/>
        <v>36</v>
      </c>
      <c r="G41" s="200">
        <f t="shared" si="1"/>
        <v>41</v>
      </c>
      <c r="H41" s="200">
        <f t="shared" si="2"/>
        <v>5</v>
      </c>
      <c r="I41" s="57" t="s">
        <v>3</v>
      </c>
      <c r="J41" s="15">
        <v>1003.8163487728018</v>
      </c>
      <c r="L41" s="51">
        <f t="shared" si="3"/>
        <v>36</v>
      </c>
      <c r="M41" s="46" t="s">
        <v>24</v>
      </c>
      <c r="N41" s="15">
        <v>993.26911636045497</v>
      </c>
    </row>
    <row r="42" spans="2:14" x14ac:dyDescent="0.25">
      <c r="B42" s="46" t="s">
        <v>35</v>
      </c>
      <c r="C42" s="15">
        <v>959.55491178959699</v>
      </c>
      <c r="D42" s="15">
        <v>974.26715850659514</v>
      </c>
      <c r="F42" s="200">
        <f t="shared" si="0"/>
        <v>37</v>
      </c>
      <c r="G42" s="200">
        <f t="shared" si="1"/>
        <v>37</v>
      </c>
      <c r="H42" s="200">
        <f t="shared" si="2"/>
        <v>0</v>
      </c>
      <c r="I42" s="57" t="s">
        <v>20</v>
      </c>
      <c r="J42" s="15">
        <v>1005.2979851537646</v>
      </c>
      <c r="L42" s="51">
        <f t="shared" si="3"/>
        <v>37</v>
      </c>
      <c r="M42" s="46" t="s">
        <v>20</v>
      </c>
      <c r="N42" s="15">
        <v>993.28420326511844</v>
      </c>
    </row>
    <row r="43" spans="2:14" x14ac:dyDescent="0.25">
      <c r="B43" s="46" t="s">
        <v>36</v>
      </c>
      <c r="C43" s="15">
        <v>1006.538717120443</v>
      </c>
      <c r="D43" s="15">
        <v>1005.4127845230919</v>
      </c>
      <c r="F43" s="200">
        <f t="shared" si="0"/>
        <v>38</v>
      </c>
      <c r="G43" s="200">
        <f t="shared" si="1"/>
        <v>49</v>
      </c>
      <c r="H43" s="200">
        <f t="shared" si="2"/>
        <v>11</v>
      </c>
      <c r="I43" s="57" t="s">
        <v>36</v>
      </c>
      <c r="J43" s="15">
        <v>1005.4127845230919</v>
      </c>
      <c r="L43" s="51">
        <f t="shared" si="3"/>
        <v>38</v>
      </c>
      <c r="M43" s="46" t="s">
        <v>29</v>
      </c>
      <c r="N43" s="15">
        <v>995.22403864734304</v>
      </c>
    </row>
    <row r="44" spans="2:14" x14ac:dyDescent="0.25">
      <c r="B44" s="46" t="s">
        <v>37</v>
      </c>
      <c r="C44" s="15">
        <v>1012.7568497683653</v>
      </c>
      <c r="D44" s="15">
        <v>1022.879915483038</v>
      </c>
      <c r="F44" s="200">
        <f t="shared" si="0"/>
        <v>39</v>
      </c>
      <c r="G44" s="200">
        <f t="shared" si="1"/>
        <v>38</v>
      </c>
      <c r="H44" s="200">
        <f t="shared" si="2"/>
        <v>-1</v>
      </c>
      <c r="I44" s="57" t="s">
        <v>29</v>
      </c>
      <c r="J44" s="15">
        <v>1007.694255319149</v>
      </c>
      <c r="L44" s="51">
        <f t="shared" si="3"/>
        <v>39</v>
      </c>
      <c r="M44" s="46" t="s">
        <v>26</v>
      </c>
      <c r="N44" s="15">
        <v>996.44773109243692</v>
      </c>
    </row>
    <row r="45" spans="2:14" x14ac:dyDescent="0.25">
      <c r="B45" s="46" t="s">
        <v>38</v>
      </c>
      <c r="C45" s="15">
        <v>1040.4211604095563</v>
      </c>
      <c r="D45" s="15">
        <v>1033.0837090870511</v>
      </c>
      <c r="F45" s="51">
        <f t="shared" si="0"/>
        <v>40</v>
      </c>
      <c r="G45" s="200">
        <f t="shared" si="1"/>
        <v>30</v>
      </c>
      <c r="H45" s="200">
        <f t="shared" si="2"/>
        <v>-10</v>
      </c>
      <c r="I45" s="46" t="s">
        <v>6</v>
      </c>
      <c r="J45" s="15">
        <v>1008.0043614794138</v>
      </c>
      <c r="L45" s="51">
        <f t="shared" si="3"/>
        <v>40</v>
      </c>
      <c r="M45" s="46" t="s">
        <v>55</v>
      </c>
      <c r="N45" s="15">
        <v>997.88461538461536</v>
      </c>
    </row>
    <row r="46" spans="2:14" x14ac:dyDescent="0.25">
      <c r="B46" s="46" t="s">
        <v>39</v>
      </c>
      <c r="C46" s="15">
        <v>974.01822477219037</v>
      </c>
      <c r="D46" s="15">
        <v>964.29670641680866</v>
      </c>
      <c r="F46" s="51">
        <f t="shared" si="0"/>
        <v>41</v>
      </c>
      <c r="G46" s="200">
        <f t="shared" si="1"/>
        <v>51</v>
      </c>
      <c r="H46" s="200">
        <f t="shared" si="2"/>
        <v>10</v>
      </c>
      <c r="I46" s="46" t="s">
        <v>10</v>
      </c>
      <c r="J46" s="15">
        <v>1009.8807302638178</v>
      </c>
      <c r="L46" s="51">
        <f t="shared" si="3"/>
        <v>41</v>
      </c>
      <c r="M46" s="46" t="s">
        <v>3</v>
      </c>
      <c r="N46" s="15">
        <v>998.00934646069493</v>
      </c>
    </row>
    <row r="47" spans="2:14" x14ac:dyDescent="0.25">
      <c r="B47" s="46" t="s">
        <v>40</v>
      </c>
      <c r="C47" s="15">
        <v>976.87231214324811</v>
      </c>
      <c r="D47" s="15">
        <v>976.68117029257314</v>
      </c>
      <c r="F47" s="51">
        <f t="shared" si="0"/>
        <v>42</v>
      </c>
      <c r="G47" s="200">
        <f t="shared" si="1"/>
        <v>31</v>
      </c>
      <c r="H47" s="200">
        <f t="shared" si="2"/>
        <v>-11</v>
      </c>
      <c r="I47" s="46" t="s">
        <v>53</v>
      </c>
      <c r="J47" s="15">
        <v>1010.8838635492526</v>
      </c>
      <c r="L47" s="51">
        <f t="shared" si="3"/>
        <v>42</v>
      </c>
      <c r="M47" s="46" t="s">
        <v>63</v>
      </c>
      <c r="N47" s="15">
        <v>998.31301472798316</v>
      </c>
    </row>
    <row r="48" spans="2:14" x14ac:dyDescent="0.25">
      <c r="B48" s="46" t="s">
        <v>41</v>
      </c>
      <c r="C48" s="15">
        <v>962.11787212002741</v>
      </c>
      <c r="D48" s="15">
        <v>953.78374818717259</v>
      </c>
      <c r="F48" s="51">
        <f t="shared" si="0"/>
        <v>43</v>
      </c>
      <c r="G48" s="200">
        <f t="shared" si="1"/>
        <v>43</v>
      </c>
      <c r="H48" s="200">
        <f t="shared" si="2"/>
        <v>0</v>
      </c>
      <c r="I48" s="46" t="s">
        <v>70</v>
      </c>
      <c r="J48" s="15">
        <v>1012.6067750815661</v>
      </c>
      <c r="L48" s="51">
        <f t="shared" si="3"/>
        <v>43</v>
      </c>
      <c r="M48" s="46" t="s">
        <v>70</v>
      </c>
      <c r="N48" s="15">
        <v>999.61803690548379</v>
      </c>
    </row>
    <row r="49" spans="2:14" x14ac:dyDescent="0.25">
      <c r="B49" s="46" t="s">
        <v>42</v>
      </c>
      <c r="C49" s="15">
        <v>979.36400651465794</v>
      </c>
      <c r="D49" s="15">
        <v>981.94474290099765</v>
      </c>
      <c r="F49" s="51">
        <f t="shared" si="0"/>
        <v>44</v>
      </c>
      <c r="G49" s="200">
        <f t="shared" si="1"/>
        <v>42</v>
      </c>
      <c r="H49" s="200">
        <f t="shared" si="2"/>
        <v>-2</v>
      </c>
      <c r="I49" s="46" t="s">
        <v>63</v>
      </c>
      <c r="J49" s="15">
        <v>1012.6376466681426</v>
      </c>
      <c r="L49" s="51">
        <f t="shared" si="3"/>
        <v>44</v>
      </c>
      <c r="M49" s="46" t="s">
        <v>9</v>
      </c>
      <c r="N49" s="15">
        <v>1004.3522252160178</v>
      </c>
    </row>
    <row r="50" spans="2:14" x14ac:dyDescent="0.25">
      <c r="B50" s="46" t="s">
        <v>43</v>
      </c>
      <c r="C50" s="15">
        <v>965.17406912085596</v>
      </c>
      <c r="D50" s="15">
        <v>972.93587631478897</v>
      </c>
      <c r="F50" s="51">
        <f t="shared" si="0"/>
        <v>45</v>
      </c>
      <c r="G50" s="200">
        <f t="shared" si="1"/>
        <v>56</v>
      </c>
      <c r="H50" s="200">
        <f t="shared" si="2"/>
        <v>11</v>
      </c>
      <c r="I50" s="46" t="s">
        <v>22</v>
      </c>
      <c r="J50" s="15">
        <v>1015.2862444572971</v>
      </c>
      <c r="L50" s="51">
        <f t="shared" si="3"/>
        <v>45</v>
      </c>
      <c r="M50" s="46" t="s">
        <v>11</v>
      </c>
      <c r="N50" s="15">
        <v>1004.4058848299821</v>
      </c>
    </row>
    <row r="51" spans="2:14" x14ac:dyDescent="0.25">
      <c r="B51" s="46" t="s">
        <v>44</v>
      </c>
      <c r="C51" s="15">
        <v>988.50857669407424</v>
      </c>
      <c r="D51" s="15">
        <v>987.51412062967984</v>
      </c>
      <c r="F51" s="51">
        <f t="shared" si="0"/>
        <v>46</v>
      </c>
      <c r="G51" s="200">
        <f t="shared" si="1"/>
        <v>53</v>
      </c>
      <c r="H51" s="200">
        <f t="shared" si="2"/>
        <v>7</v>
      </c>
      <c r="I51" s="46" t="s">
        <v>67</v>
      </c>
      <c r="J51" s="15">
        <v>1018.6032649936983</v>
      </c>
      <c r="L51" s="51">
        <f t="shared" si="3"/>
        <v>46</v>
      </c>
      <c r="M51" s="46" t="s">
        <v>7</v>
      </c>
      <c r="N51" s="15">
        <v>1004.8161642928122</v>
      </c>
    </row>
    <row r="52" spans="2:14" x14ac:dyDescent="0.25">
      <c r="B52" s="46" t="s">
        <v>45</v>
      </c>
      <c r="C52" s="15">
        <v>964.50621765140818</v>
      </c>
      <c r="D52" s="15">
        <v>968.71469509399356</v>
      </c>
      <c r="F52" s="51">
        <f t="shared" si="0"/>
        <v>47</v>
      </c>
      <c r="G52" s="200">
        <f t="shared" si="1"/>
        <v>55</v>
      </c>
      <c r="H52" s="200">
        <f t="shared" si="2"/>
        <v>8</v>
      </c>
      <c r="I52" s="46" t="s">
        <v>68</v>
      </c>
      <c r="J52" s="15">
        <v>1021.0700185575139</v>
      </c>
      <c r="L52" s="51">
        <f t="shared" si="3"/>
        <v>47</v>
      </c>
      <c r="M52" s="46" t="s">
        <v>30</v>
      </c>
      <c r="N52" s="15">
        <v>1005.5533227218464</v>
      </c>
    </row>
    <row r="53" spans="2:14" x14ac:dyDescent="0.25">
      <c r="B53" s="46" t="s">
        <v>46</v>
      </c>
      <c r="C53" s="15">
        <v>954.60550559333183</v>
      </c>
      <c r="D53" s="15">
        <v>971.70221743424008</v>
      </c>
      <c r="F53" s="51">
        <f t="shared" si="0"/>
        <v>48</v>
      </c>
      <c r="G53" s="200">
        <f t="shared" si="1"/>
        <v>40</v>
      </c>
      <c r="H53" s="200">
        <f t="shared" si="2"/>
        <v>-8</v>
      </c>
      <c r="I53" s="46" t="s">
        <v>55</v>
      </c>
      <c r="J53" s="15">
        <v>1021.4832471328986</v>
      </c>
      <c r="L53" s="51">
        <f t="shared" si="3"/>
        <v>48</v>
      </c>
      <c r="M53" s="46" t="s">
        <v>73</v>
      </c>
      <c r="N53" s="15">
        <v>1006.0929182281156</v>
      </c>
    </row>
    <row r="54" spans="2:14" x14ac:dyDescent="0.25">
      <c r="B54" s="46" t="s">
        <v>47</v>
      </c>
      <c r="C54" s="15">
        <v>985.0772864148671</v>
      </c>
      <c r="D54" s="15">
        <v>984.30938754938461</v>
      </c>
      <c r="F54" s="51">
        <f t="shared" si="0"/>
        <v>49</v>
      </c>
      <c r="G54" s="200">
        <f t="shared" si="1"/>
        <v>54</v>
      </c>
      <c r="H54" s="200">
        <f t="shared" si="2"/>
        <v>5</v>
      </c>
      <c r="I54" s="46" t="s">
        <v>37</v>
      </c>
      <c r="J54" s="15">
        <v>1022.879915483038</v>
      </c>
      <c r="L54" s="51">
        <f t="shared" si="3"/>
        <v>49</v>
      </c>
      <c r="M54" s="46" t="s">
        <v>36</v>
      </c>
      <c r="N54" s="15">
        <v>1006.538717120443</v>
      </c>
    </row>
    <row r="55" spans="2:14" x14ac:dyDescent="0.25">
      <c r="B55" s="46" t="s">
        <v>48</v>
      </c>
      <c r="C55" s="15">
        <v>950.8275493860117</v>
      </c>
      <c r="D55" s="15">
        <v>963.52435530085961</v>
      </c>
      <c r="F55" s="51">
        <f t="shared" si="0"/>
        <v>50</v>
      </c>
      <c r="G55" s="200">
        <f t="shared" si="1"/>
        <v>39</v>
      </c>
      <c r="H55" s="200">
        <f t="shared" si="2"/>
        <v>-11</v>
      </c>
      <c r="I55" s="46" t="s">
        <v>26</v>
      </c>
      <c r="J55" s="15">
        <v>1024.061075949367</v>
      </c>
      <c r="L55" s="51">
        <f t="shared" si="3"/>
        <v>50</v>
      </c>
      <c r="M55" s="46" t="s">
        <v>32</v>
      </c>
      <c r="N55" s="15">
        <v>1009.4808649390767</v>
      </c>
    </row>
    <row r="56" spans="2:14" x14ac:dyDescent="0.25">
      <c r="B56" s="46" t="s">
        <v>49</v>
      </c>
      <c r="C56" s="15">
        <v>954.9023255813953</v>
      </c>
      <c r="D56" s="15">
        <v>942.80593325092707</v>
      </c>
      <c r="F56" s="51">
        <f t="shared" si="0"/>
        <v>51</v>
      </c>
      <c r="G56" s="200">
        <f t="shared" si="1"/>
        <v>46</v>
      </c>
      <c r="H56" s="200">
        <f t="shared" si="2"/>
        <v>-5</v>
      </c>
      <c r="I56" s="46" t="s">
        <v>7</v>
      </c>
      <c r="J56" s="15">
        <v>1026.8116458704694</v>
      </c>
      <c r="L56" s="51">
        <f t="shared" si="3"/>
        <v>51</v>
      </c>
      <c r="M56" s="46" t="s">
        <v>10</v>
      </c>
      <c r="N56" s="15">
        <v>1009.5400444288554</v>
      </c>
    </row>
    <row r="57" spans="2:14" x14ac:dyDescent="0.25">
      <c r="B57" s="46" t="s">
        <v>50</v>
      </c>
      <c r="C57" s="15">
        <v>920.07287117903934</v>
      </c>
      <c r="D57" s="15">
        <v>908.83963571569984</v>
      </c>
      <c r="F57" s="51">
        <f t="shared" si="0"/>
        <v>52</v>
      </c>
      <c r="G57" s="200">
        <f t="shared" si="1"/>
        <v>47</v>
      </c>
      <c r="H57" s="200">
        <f t="shared" si="2"/>
        <v>-5</v>
      </c>
      <c r="I57" s="46" t="s">
        <v>30</v>
      </c>
      <c r="J57" s="15">
        <v>1027.022958674386</v>
      </c>
      <c r="L57" s="51">
        <f t="shared" si="3"/>
        <v>52</v>
      </c>
      <c r="M57" s="46" t="s">
        <v>4</v>
      </c>
      <c r="N57" s="15">
        <v>1011.2324243470257</v>
      </c>
    </row>
    <row r="58" spans="2:14" x14ac:dyDescent="0.25">
      <c r="B58" s="46" t="s">
        <v>51</v>
      </c>
      <c r="C58" s="15">
        <v>975.74330466400954</v>
      </c>
      <c r="D58" s="15">
        <v>982.63224050796941</v>
      </c>
      <c r="F58" s="51">
        <f t="shared" si="0"/>
        <v>53</v>
      </c>
      <c r="G58" s="200">
        <f t="shared" si="1"/>
        <v>48</v>
      </c>
      <c r="H58" s="200">
        <f t="shared" si="2"/>
        <v>-5</v>
      </c>
      <c r="I58" s="46" t="s">
        <v>73</v>
      </c>
      <c r="J58" s="15">
        <v>1028.6896977760882</v>
      </c>
      <c r="L58" s="51">
        <f t="shared" si="3"/>
        <v>53</v>
      </c>
      <c r="M58" s="46" t="s">
        <v>67</v>
      </c>
      <c r="N58" s="15">
        <v>1011.5041228877816</v>
      </c>
    </row>
    <row r="59" spans="2:14" x14ac:dyDescent="0.25">
      <c r="B59" s="46" t="s">
        <v>52</v>
      </c>
      <c r="C59" s="15">
        <v>946.69026107988907</v>
      </c>
      <c r="D59" s="15">
        <v>946.01356462104786</v>
      </c>
      <c r="F59" s="51">
        <f t="shared" si="0"/>
        <v>54</v>
      </c>
      <c r="G59" s="200">
        <f t="shared" si="1"/>
        <v>59</v>
      </c>
      <c r="H59" s="200">
        <f t="shared" si="2"/>
        <v>5</v>
      </c>
      <c r="I59" s="46" t="s">
        <v>69</v>
      </c>
      <c r="J59" s="15">
        <v>1028.7512624440917</v>
      </c>
      <c r="L59" s="51">
        <f t="shared" si="3"/>
        <v>54</v>
      </c>
      <c r="M59" s="46" t="s">
        <v>37</v>
      </c>
      <c r="N59" s="15">
        <v>1012.7568497683653</v>
      </c>
    </row>
    <row r="60" spans="2:14" x14ac:dyDescent="0.25">
      <c r="B60" s="46" t="s">
        <v>53</v>
      </c>
      <c r="C60" s="15">
        <v>987.6780159730979</v>
      </c>
      <c r="D60" s="15">
        <v>1010.8838635492526</v>
      </c>
      <c r="F60" s="51">
        <f t="shared" si="0"/>
        <v>55</v>
      </c>
      <c r="G60" s="200">
        <f t="shared" si="1"/>
        <v>61</v>
      </c>
      <c r="H60" s="200">
        <f t="shared" si="2"/>
        <v>6</v>
      </c>
      <c r="I60" s="46" t="s">
        <v>21</v>
      </c>
      <c r="J60" s="15">
        <v>1029.2808720267637</v>
      </c>
      <c r="L60" s="51">
        <f t="shared" si="3"/>
        <v>55</v>
      </c>
      <c r="M60" s="46" t="s">
        <v>68</v>
      </c>
      <c r="N60" s="15">
        <v>1014.0994240305541</v>
      </c>
    </row>
    <row r="61" spans="2:14" x14ac:dyDescent="0.25">
      <c r="B61" s="46" t="s">
        <v>54</v>
      </c>
      <c r="C61" s="15">
        <v>1031.9764020839718</v>
      </c>
      <c r="D61" s="15">
        <v>1068.0704666457877</v>
      </c>
      <c r="F61" s="51">
        <f t="shared" si="0"/>
        <v>56</v>
      </c>
      <c r="G61" s="200">
        <f t="shared" si="1"/>
        <v>52</v>
      </c>
      <c r="H61" s="200">
        <f t="shared" si="2"/>
        <v>-4</v>
      </c>
      <c r="I61" s="46" t="s">
        <v>4</v>
      </c>
      <c r="J61" s="15">
        <v>1031.3918606386153</v>
      </c>
      <c r="L61" s="51">
        <f t="shared" si="3"/>
        <v>56</v>
      </c>
      <c r="M61" s="46" t="s">
        <v>22</v>
      </c>
      <c r="N61" s="15">
        <v>1014.3476475989845</v>
      </c>
    </row>
    <row r="62" spans="2:14" x14ac:dyDescent="0.25">
      <c r="B62" s="46" t="s">
        <v>55</v>
      </c>
      <c r="C62" s="15">
        <v>997.88461538461536</v>
      </c>
      <c r="D62" s="15">
        <v>1021.4832471328986</v>
      </c>
      <c r="F62" s="51">
        <f t="shared" si="0"/>
        <v>57</v>
      </c>
      <c r="G62" s="200">
        <f t="shared" si="1"/>
        <v>57</v>
      </c>
      <c r="H62" s="200">
        <f t="shared" si="2"/>
        <v>0</v>
      </c>
      <c r="I62" s="46" t="s">
        <v>71</v>
      </c>
      <c r="J62" s="15">
        <v>1031.7979881805609</v>
      </c>
      <c r="L62" s="51">
        <f t="shared" si="3"/>
        <v>57</v>
      </c>
      <c r="M62" s="46" t="s">
        <v>71</v>
      </c>
      <c r="N62" s="15">
        <v>1016.513170675133</v>
      </c>
    </row>
    <row r="63" spans="2:14" x14ac:dyDescent="0.25">
      <c r="B63" s="46" t="s">
        <v>56</v>
      </c>
      <c r="C63" s="15">
        <v>988.67059243397568</v>
      </c>
      <c r="D63" s="15">
        <v>996.17904233171407</v>
      </c>
      <c r="F63" s="51">
        <f t="shared" si="0"/>
        <v>58</v>
      </c>
      <c r="G63" s="200">
        <f t="shared" si="1"/>
        <v>66</v>
      </c>
      <c r="H63" s="200">
        <f t="shared" si="2"/>
        <v>8</v>
      </c>
      <c r="I63" s="46" t="s">
        <v>38</v>
      </c>
      <c r="J63" s="15">
        <v>1033.0837090870511</v>
      </c>
      <c r="L63" s="51">
        <f t="shared" si="3"/>
        <v>58</v>
      </c>
      <c r="M63" s="46" t="s">
        <v>25</v>
      </c>
      <c r="N63" s="15">
        <v>1017.194564475779</v>
      </c>
    </row>
    <row r="64" spans="2:14" x14ac:dyDescent="0.25">
      <c r="B64" s="46" t="s">
        <v>57</v>
      </c>
      <c r="C64" s="15">
        <v>947.3458356315499</v>
      </c>
      <c r="D64" s="15">
        <v>936.80957683741644</v>
      </c>
      <c r="F64" s="51">
        <f t="shared" si="0"/>
        <v>59</v>
      </c>
      <c r="G64" s="200">
        <f t="shared" si="1"/>
        <v>60</v>
      </c>
      <c r="H64" s="200">
        <f t="shared" si="2"/>
        <v>1</v>
      </c>
      <c r="I64" s="46" t="s">
        <v>1</v>
      </c>
      <c r="J64" s="15">
        <v>1042.4294905462184</v>
      </c>
      <c r="L64" s="51">
        <f t="shared" si="3"/>
        <v>59</v>
      </c>
      <c r="M64" s="46" t="s">
        <v>69</v>
      </c>
      <c r="N64" s="15">
        <v>1019.1199727209054</v>
      </c>
    </row>
    <row r="65" spans="2:14" x14ac:dyDescent="0.25">
      <c r="B65" s="46" t="s">
        <v>58</v>
      </c>
      <c r="C65" s="15">
        <v>967.42468876030159</v>
      </c>
      <c r="D65" s="15">
        <v>994.69711375212228</v>
      </c>
      <c r="F65" s="51">
        <f t="shared" si="0"/>
        <v>60</v>
      </c>
      <c r="G65" s="200">
        <f t="shared" si="1"/>
        <v>62</v>
      </c>
      <c r="H65" s="200">
        <f t="shared" si="2"/>
        <v>2</v>
      </c>
      <c r="I65" s="46" t="s">
        <v>2</v>
      </c>
      <c r="J65" s="15">
        <v>1042.8171419152793</v>
      </c>
      <c r="L65" s="51">
        <f t="shared" si="3"/>
        <v>60</v>
      </c>
      <c r="M65" s="46" t="s">
        <v>1</v>
      </c>
      <c r="N65" s="15">
        <v>1020.0784638304916</v>
      </c>
    </row>
    <row r="66" spans="2:14" x14ac:dyDescent="0.25">
      <c r="B66" s="46" t="s">
        <v>59</v>
      </c>
      <c r="C66" s="15">
        <v>991.00715712804435</v>
      </c>
      <c r="D66" s="15">
        <v>991.08318281205436</v>
      </c>
      <c r="F66" s="51">
        <f t="shared" si="0"/>
        <v>61</v>
      </c>
      <c r="G66" s="200">
        <f t="shared" si="1"/>
        <v>50</v>
      </c>
      <c r="H66" s="200">
        <f t="shared" si="2"/>
        <v>-11</v>
      </c>
      <c r="I66" s="46" t="s">
        <v>32</v>
      </c>
      <c r="J66" s="15">
        <v>1045.5158969210174</v>
      </c>
      <c r="L66" s="51">
        <f t="shared" si="3"/>
        <v>61</v>
      </c>
      <c r="M66" s="46" t="s">
        <v>21</v>
      </c>
      <c r="N66" s="15">
        <v>1020.8356799523586</v>
      </c>
    </row>
    <row r="67" spans="2:14" x14ac:dyDescent="0.25">
      <c r="B67" s="46" t="s">
        <v>60</v>
      </c>
      <c r="C67" s="15">
        <v>926.50854979767655</v>
      </c>
      <c r="D67" s="15">
        <v>914.22624885075084</v>
      </c>
      <c r="F67" s="51">
        <f t="shared" si="0"/>
        <v>62</v>
      </c>
      <c r="G67" s="200">
        <f t="shared" si="1"/>
        <v>58</v>
      </c>
      <c r="H67" s="200">
        <f t="shared" si="2"/>
        <v>-4</v>
      </c>
      <c r="I67" s="46" t="s">
        <v>25</v>
      </c>
      <c r="J67" s="15">
        <v>1052.071459694989</v>
      </c>
      <c r="L67" s="51">
        <f t="shared" si="3"/>
        <v>62</v>
      </c>
      <c r="M67" s="46" t="s">
        <v>2</v>
      </c>
      <c r="N67" s="15">
        <v>1021.9225861163833</v>
      </c>
    </row>
    <row r="68" spans="2:14" x14ac:dyDescent="0.25">
      <c r="B68" s="46" t="s">
        <v>61</v>
      </c>
      <c r="C68" s="15">
        <v>981.62574760765551</v>
      </c>
      <c r="D68" s="15">
        <v>993.57949959644873</v>
      </c>
      <c r="F68" s="51">
        <f t="shared" si="0"/>
        <v>63</v>
      </c>
      <c r="G68" s="200">
        <f t="shared" si="1"/>
        <v>65</v>
      </c>
      <c r="H68" s="200">
        <f t="shared" si="2"/>
        <v>2</v>
      </c>
      <c r="I68" s="46" t="s">
        <v>5</v>
      </c>
      <c r="J68" s="15">
        <v>1055.1534653465346</v>
      </c>
      <c r="L68" s="51">
        <f t="shared" si="3"/>
        <v>63</v>
      </c>
      <c r="M68" s="46" t="s">
        <v>54</v>
      </c>
      <c r="N68" s="15">
        <v>1031.9764020839718</v>
      </c>
    </row>
    <row r="69" spans="2:14" x14ac:dyDescent="0.25">
      <c r="B69" s="46" t="s">
        <v>62</v>
      </c>
      <c r="C69" s="15">
        <v>973.13795620437952</v>
      </c>
      <c r="D69" s="15">
        <v>993.19283813210745</v>
      </c>
      <c r="F69" s="51">
        <f t="shared" si="0"/>
        <v>64</v>
      </c>
      <c r="G69" s="200">
        <f t="shared" si="1"/>
        <v>64</v>
      </c>
      <c r="H69" s="200">
        <f t="shared" si="2"/>
        <v>0</v>
      </c>
      <c r="I69" s="46" t="s">
        <v>16</v>
      </c>
      <c r="J69" s="15">
        <v>1056.5879923230975</v>
      </c>
      <c r="L69" s="51">
        <f t="shared" si="3"/>
        <v>64</v>
      </c>
      <c r="M69" s="46" t="s">
        <v>16</v>
      </c>
      <c r="N69" s="15">
        <v>1034.2189018241818</v>
      </c>
    </row>
    <row r="70" spans="2:14" x14ac:dyDescent="0.25">
      <c r="B70" s="46" t="s">
        <v>63</v>
      </c>
      <c r="C70" s="15">
        <v>998.31301472798316</v>
      </c>
      <c r="D70" s="15">
        <v>1012.6376466681426</v>
      </c>
      <c r="F70" s="51">
        <f t="shared" si="0"/>
        <v>65</v>
      </c>
      <c r="G70" s="200">
        <f t="shared" si="1"/>
        <v>19</v>
      </c>
      <c r="H70" s="200">
        <f t="shared" si="2"/>
        <v>-46</v>
      </c>
      <c r="I70" s="46" t="s">
        <v>65</v>
      </c>
      <c r="J70" s="15">
        <v>1056.7454545454545</v>
      </c>
      <c r="L70" s="51">
        <f t="shared" si="3"/>
        <v>65</v>
      </c>
      <c r="M70" s="46" t="s">
        <v>5</v>
      </c>
      <c r="N70" s="15">
        <v>1040.2874231032126</v>
      </c>
    </row>
    <row r="71" spans="2:14" x14ac:dyDescent="0.25">
      <c r="B71" s="46" t="s">
        <v>64</v>
      </c>
      <c r="C71" s="15">
        <v>941.48036539269219</v>
      </c>
      <c r="D71" s="15">
        <v>962.65266433294437</v>
      </c>
      <c r="F71" s="51">
        <f t="shared" ref="F71:F83" si="4">RANK(J71,$J$6:$J$83,1)</f>
        <v>66</v>
      </c>
      <c r="G71" s="200">
        <f t="shared" ref="G71:G83" si="5">SUMIF(M:M,I71,L:L)</f>
        <v>69</v>
      </c>
      <c r="H71" s="200">
        <f t="shared" ref="H71:H83" si="6">G71-F71</f>
        <v>3</v>
      </c>
      <c r="I71" s="46" t="s">
        <v>33</v>
      </c>
      <c r="J71" s="15">
        <v>1062.8719883505428</v>
      </c>
      <c r="L71" s="51">
        <f t="shared" ref="L71:L83" si="7">RANK(N71,$N$6:$N$83,1)</f>
        <v>66</v>
      </c>
      <c r="M71" s="46" t="s">
        <v>38</v>
      </c>
      <c r="N71" s="15">
        <v>1040.4211604095563</v>
      </c>
    </row>
    <row r="72" spans="2:14" x14ac:dyDescent="0.25">
      <c r="B72" s="46" t="s">
        <v>65</v>
      </c>
      <c r="C72" s="15">
        <v>975.58477508650515</v>
      </c>
      <c r="D72" s="15">
        <v>1056.7454545454545</v>
      </c>
      <c r="F72" s="51">
        <f t="shared" si="4"/>
        <v>67</v>
      </c>
      <c r="G72" s="200">
        <f t="shared" si="5"/>
        <v>68</v>
      </c>
      <c r="H72" s="200">
        <f t="shared" si="6"/>
        <v>1</v>
      </c>
      <c r="I72" s="46" t="s">
        <v>27</v>
      </c>
      <c r="J72" s="15">
        <v>1066.5490797546013</v>
      </c>
      <c r="L72" s="51">
        <f t="shared" si="7"/>
        <v>67</v>
      </c>
      <c r="M72" s="46" t="s">
        <v>66</v>
      </c>
      <c r="N72" s="15">
        <v>1042.1326923076922</v>
      </c>
    </row>
    <row r="73" spans="2:14" x14ac:dyDescent="0.25">
      <c r="B73" s="46" t="s">
        <v>66</v>
      </c>
      <c r="C73" s="15">
        <v>1042.1326923076922</v>
      </c>
      <c r="D73" s="15">
        <v>1068.4937188033903</v>
      </c>
      <c r="F73" s="51">
        <f t="shared" si="4"/>
        <v>68</v>
      </c>
      <c r="G73" s="200">
        <f t="shared" si="5"/>
        <v>63</v>
      </c>
      <c r="H73" s="200">
        <f t="shared" si="6"/>
        <v>-5</v>
      </c>
      <c r="I73" s="46" t="s">
        <v>54</v>
      </c>
      <c r="J73" s="15">
        <v>1068.0704666457877</v>
      </c>
      <c r="L73" s="51">
        <f t="shared" si="7"/>
        <v>68</v>
      </c>
      <c r="M73" s="46" t="s">
        <v>27</v>
      </c>
      <c r="N73" s="15">
        <v>1044.1223832528181</v>
      </c>
    </row>
    <row r="74" spans="2:14" x14ac:dyDescent="0.25">
      <c r="B74" s="46" t="s">
        <v>67</v>
      </c>
      <c r="C74" s="15">
        <v>1011.5041228877816</v>
      </c>
      <c r="D74" s="15">
        <v>1018.6032649936983</v>
      </c>
      <c r="F74" s="51">
        <f t="shared" si="4"/>
        <v>69</v>
      </c>
      <c r="G74" s="200">
        <f t="shared" si="5"/>
        <v>67</v>
      </c>
      <c r="H74" s="200">
        <f t="shared" si="6"/>
        <v>-2</v>
      </c>
      <c r="I74" s="46" t="s">
        <v>66</v>
      </c>
      <c r="J74" s="15">
        <v>1068.4937188033903</v>
      </c>
      <c r="L74" s="51">
        <f t="shared" si="7"/>
        <v>69</v>
      </c>
      <c r="M74" s="46" t="s">
        <v>33</v>
      </c>
      <c r="N74" s="15">
        <v>1045.8056982061203</v>
      </c>
    </row>
    <row r="75" spans="2:14" x14ac:dyDescent="0.25">
      <c r="B75" s="46" t="s">
        <v>68</v>
      </c>
      <c r="C75" s="15">
        <v>1014.0994240305541</v>
      </c>
      <c r="D75" s="15">
        <v>1021.0700185575139</v>
      </c>
      <c r="F75" s="51">
        <f t="shared" si="4"/>
        <v>70</v>
      </c>
      <c r="G75" s="200">
        <f t="shared" si="5"/>
        <v>73</v>
      </c>
      <c r="H75" s="200">
        <f t="shared" si="6"/>
        <v>3</v>
      </c>
      <c r="I75" s="46" t="s">
        <v>216</v>
      </c>
      <c r="J75" s="15">
        <v>1077.8492943548388</v>
      </c>
      <c r="L75" s="51">
        <f t="shared" si="7"/>
        <v>70</v>
      </c>
      <c r="M75" s="46" t="s">
        <v>13</v>
      </c>
      <c r="N75" s="15">
        <v>1051.6662480376765</v>
      </c>
    </row>
    <row r="76" spans="2:14" x14ac:dyDescent="0.25">
      <c r="B76" s="46" t="s">
        <v>69</v>
      </c>
      <c r="C76" s="15">
        <v>1019.1199727209054</v>
      </c>
      <c r="D76" s="15">
        <v>1028.7512624440917</v>
      </c>
      <c r="F76" s="51">
        <f t="shared" si="4"/>
        <v>71</v>
      </c>
      <c r="G76" s="200">
        <f t="shared" si="5"/>
        <v>70</v>
      </c>
      <c r="H76" s="200">
        <f t="shared" si="6"/>
        <v>-1</v>
      </c>
      <c r="I76" s="46" t="s">
        <v>13</v>
      </c>
      <c r="J76" s="15">
        <v>1083.8653970303421</v>
      </c>
      <c r="L76" s="51">
        <f t="shared" si="7"/>
        <v>71</v>
      </c>
      <c r="M76" s="46" t="s">
        <v>31</v>
      </c>
      <c r="N76" s="15">
        <v>1058.4324503311259</v>
      </c>
    </row>
    <row r="77" spans="2:14" x14ac:dyDescent="0.25">
      <c r="B77" s="46" t="s">
        <v>70</v>
      </c>
      <c r="C77" s="15">
        <v>999.61803690548379</v>
      </c>
      <c r="D77" s="15">
        <v>1012.6067750815661</v>
      </c>
      <c r="F77" s="51">
        <f t="shared" si="4"/>
        <v>72</v>
      </c>
      <c r="G77" s="200">
        <f t="shared" si="5"/>
        <v>71</v>
      </c>
      <c r="H77" s="200">
        <f t="shared" si="6"/>
        <v>-1</v>
      </c>
      <c r="I77" s="46" t="s">
        <v>31</v>
      </c>
      <c r="J77" s="15">
        <v>1088.0904216427004</v>
      </c>
      <c r="L77" s="51">
        <f t="shared" si="7"/>
        <v>72</v>
      </c>
      <c r="M77" s="46" t="s">
        <v>8</v>
      </c>
      <c r="N77" s="15">
        <v>1059.7516848107828</v>
      </c>
    </row>
    <row r="78" spans="2:14" x14ac:dyDescent="0.25">
      <c r="B78" s="46" t="s">
        <v>71</v>
      </c>
      <c r="C78" s="15">
        <v>1016.513170675133</v>
      </c>
      <c r="D78" s="15">
        <v>1031.7979881805609</v>
      </c>
      <c r="F78" s="51">
        <f t="shared" si="4"/>
        <v>73</v>
      </c>
      <c r="G78" s="200">
        <f t="shared" si="5"/>
        <v>72</v>
      </c>
      <c r="H78" s="200">
        <f t="shared" si="6"/>
        <v>-1</v>
      </c>
      <c r="I78" s="46" t="s">
        <v>8</v>
      </c>
      <c r="J78" s="15">
        <v>1090.1372084320819</v>
      </c>
      <c r="L78" s="51">
        <f t="shared" si="7"/>
        <v>73</v>
      </c>
      <c r="M78" s="46" t="s">
        <v>216</v>
      </c>
      <c r="N78" s="15">
        <v>1065.8685458612974</v>
      </c>
    </row>
    <row r="79" spans="2:14" x14ac:dyDescent="0.25">
      <c r="B79" s="46" t="s">
        <v>72</v>
      </c>
      <c r="C79" s="15">
        <v>984.14695122359035</v>
      </c>
      <c r="D79" s="15">
        <v>981.41046026343054</v>
      </c>
      <c r="F79" s="51">
        <f t="shared" si="4"/>
        <v>74</v>
      </c>
      <c r="G79" s="200">
        <f t="shared" si="5"/>
        <v>75</v>
      </c>
      <c r="H79" s="200">
        <f t="shared" si="6"/>
        <v>1</v>
      </c>
      <c r="I79" s="46" t="s">
        <v>19</v>
      </c>
      <c r="J79" s="15">
        <v>1091.7417155841697</v>
      </c>
      <c r="L79" s="51">
        <f t="shared" si="7"/>
        <v>74</v>
      </c>
      <c r="M79" s="46" t="s">
        <v>0</v>
      </c>
      <c r="N79" s="15">
        <v>1076.2095074209508</v>
      </c>
    </row>
    <row r="80" spans="2:14" x14ac:dyDescent="0.25">
      <c r="B80" s="46" t="s">
        <v>73</v>
      </c>
      <c r="C80" s="15">
        <v>1006.0929182281156</v>
      </c>
      <c r="D80" s="15">
        <v>1028.6896977760882</v>
      </c>
      <c r="F80" s="51">
        <f t="shared" si="4"/>
        <v>75</v>
      </c>
      <c r="G80" s="200">
        <f t="shared" si="5"/>
        <v>74</v>
      </c>
      <c r="H80" s="200">
        <f t="shared" si="6"/>
        <v>-1</v>
      </c>
      <c r="I80" s="46" t="s">
        <v>0</v>
      </c>
      <c r="J80" s="15">
        <v>1113.4297733437543</v>
      </c>
      <c r="L80" s="51">
        <f t="shared" si="7"/>
        <v>75</v>
      </c>
      <c r="M80" s="46" t="s">
        <v>19</v>
      </c>
      <c r="N80" s="15">
        <v>1077.2893648749407</v>
      </c>
    </row>
    <row r="81" spans="2:14" x14ac:dyDescent="0.25">
      <c r="B81" s="46" t="s">
        <v>74</v>
      </c>
      <c r="C81" s="15">
        <v>974.76450460759099</v>
      </c>
      <c r="D81" s="15">
        <v>971.57486204474765</v>
      </c>
      <c r="F81" s="51">
        <f t="shared" si="4"/>
        <v>76</v>
      </c>
      <c r="G81" s="200">
        <f t="shared" si="5"/>
        <v>76</v>
      </c>
      <c r="H81" s="200">
        <f t="shared" si="6"/>
        <v>0</v>
      </c>
      <c r="I81" s="46" t="s">
        <v>23</v>
      </c>
      <c r="J81" s="15">
        <v>1163.6465517241379</v>
      </c>
      <c r="L81" s="51">
        <f t="shared" si="7"/>
        <v>76</v>
      </c>
      <c r="M81" s="46" t="s">
        <v>23</v>
      </c>
      <c r="N81" s="15">
        <v>1099.1204060203011</v>
      </c>
    </row>
    <row r="82" spans="2:14" x14ac:dyDescent="0.25">
      <c r="B82" s="46" t="s">
        <v>75</v>
      </c>
      <c r="C82" s="15">
        <v>976.16263883175645</v>
      </c>
      <c r="D82" s="15">
        <v>973.19230260722406</v>
      </c>
      <c r="F82" s="51">
        <f t="shared" si="4"/>
        <v>77</v>
      </c>
      <c r="G82" s="51">
        <f t="shared" si="5"/>
        <v>77</v>
      </c>
      <c r="H82" s="51">
        <f t="shared" si="6"/>
        <v>0</v>
      </c>
      <c r="I82" s="46" t="s">
        <v>15</v>
      </c>
      <c r="J82" s="15">
        <v>1167.104786545925</v>
      </c>
      <c r="L82" s="51">
        <f t="shared" si="7"/>
        <v>77</v>
      </c>
      <c r="M82" s="46" t="s">
        <v>15</v>
      </c>
      <c r="N82" s="15">
        <v>1145.6655439541933</v>
      </c>
    </row>
    <row r="83" spans="2:14" x14ac:dyDescent="0.25">
      <c r="B83" s="46" t="s">
        <v>76</v>
      </c>
      <c r="C83" s="15">
        <v>977.01255409825228</v>
      </c>
      <c r="D83" s="15">
        <v>994.33963367708168</v>
      </c>
      <c r="F83" s="51">
        <f t="shared" si="4"/>
        <v>78</v>
      </c>
      <c r="G83" s="51">
        <f t="shared" si="5"/>
        <v>78</v>
      </c>
      <c r="H83" s="51">
        <f t="shared" si="6"/>
        <v>0</v>
      </c>
      <c r="I83" s="46" t="s">
        <v>14</v>
      </c>
      <c r="J83" s="15">
        <v>1176.7542016806722</v>
      </c>
      <c r="L83" s="51">
        <f t="shared" si="7"/>
        <v>78</v>
      </c>
      <c r="M83" s="46" t="s">
        <v>14</v>
      </c>
      <c r="N83" s="15">
        <v>1148.7324066029539</v>
      </c>
    </row>
    <row r="84" spans="2:14" x14ac:dyDescent="0.25"/>
    <row r="85" spans="2:14" x14ac:dyDescent="0.25">
      <c r="B85" s="20" t="s">
        <v>323</v>
      </c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</row>
    <row r="86" spans="2:14" x14ac:dyDescent="0.25"/>
    <row r="87" spans="2:14" hidden="1" x14ac:dyDescent="0.25"/>
    <row r="88" spans="2:14" hidden="1" x14ac:dyDescent="0.25"/>
    <row r="89" spans="2:14" hidden="1" x14ac:dyDescent="0.25"/>
    <row r="90" spans="2:14" hidden="1" x14ac:dyDescent="0.25"/>
    <row r="91" spans="2:14" hidden="1" x14ac:dyDescent="0.25"/>
    <row r="92" spans="2:14" hidden="1" x14ac:dyDescent="0.25"/>
  </sheetData>
  <sortState xmlns:xlrd2="http://schemas.microsoft.com/office/spreadsheetml/2017/richdata2" ref="M6:N83">
    <sortCondition ref="N6:N83"/>
  </sortState>
  <pageMargins left="0.7" right="0.7" top="0.75" bottom="0.75" header="0.3" footer="0.3"/>
  <pageSetup orientation="portrait" horizontalDpi="0" verticalDpi="0" r:id="rId1"/>
  <headerFooter>
    <oddHeader>&amp;L&amp;16&amp;F&amp;R&amp;G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049ED-6AF6-4BE0-B688-1273CD99862C}">
  <sheetPr>
    <tabColor theme="7" tint="-0.249977111117893"/>
    <pageSetUpPr fitToPage="1"/>
  </sheetPr>
  <dimension ref="A1:BD88"/>
  <sheetViews>
    <sheetView showGridLines="0" zoomScale="86" zoomScaleNormal="86" workbookViewId="0">
      <pane xSplit="3" ySplit="5" topLeftCell="D6" activePane="bottomRight" state="frozen"/>
      <selection activeCell="H18" sqref="H17:H18"/>
      <selection pane="topRight" activeCell="H18" sqref="H17:H18"/>
      <selection pane="bottomLeft" activeCell="H18" sqref="H17:H18"/>
      <selection pane="bottomRight" activeCell="AM6" sqref="AM6"/>
    </sheetView>
  </sheetViews>
  <sheetFormatPr defaultColWidth="0" defaultRowHeight="13.2" zeroHeight="1" x14ac:dyDescent="0.25"/>
  <cols>
    <col min="1" max="1" width="3.81640625" style="7" customWidth="1"/>
    <col min="2" max="2" width="7.453125" style="7" customWidth="1"/>
    <col min="3" max="3" width="28.6328125" style="7" customWidth="1"/>
    <col min="4" max="15" width="13.6328125" style="9" bestFit="1" customWidth="1"/>
    <col min="16" max="16" width="3" style="7" customWidth="1"/>
    <col min="17" max="28" width="12.6328125" style="9" customWidth="1"/>
    <col min="29" max="29" width="2.81640625" style="7" customWidth="1"/>
    <col min="30" max="37" width="13.81640625" style="9" customWidth="1"/>
    <col min="38" max="38" width="2.6328125" style="7" customWidth="1"/>
    <col min="39" max="46" width="12.36328125" style="9" customWidth="1"/>
    <col min="47" max="47" width="3.453125" style="7" customWidth="1"/>
    <col min="48" max="56" width="8.90625" style="7" customWidth="1"/>
    <col min="57" max="16384" width="8.90625" style="7" hidden="1"/>
  </cols>
  <sheetData>
    <row r="1" spans="2:55" x14ac:dyDescent="0.25">
      <c r="B1" s="6"/>
      <c r="D1" s="8"/>
      <c r="AD1" s="8"/>
      <c r="AM1" s="8"/>
    </row>
    <row r="2" spans="2:55" x14ac:dyDescent="0.25">
      <c r="B2" s="20" t="s">
        <v>276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V2" s="20"/>
      <c r="AW2" s="20"/>
      <c r="AX2" s="20"/>
      <c r="AY2" s="20"/>
      <c r="AZ2" s="20"/>
      <c r="BA2" s="20"/>
      <c r="BB2" s="20"/>
      <c r="BC2" s="20"/>
    </row>
    <row r="3" spans="2:55" x14ac:dyDescent="0.25">
      <c r="B3" s="20" t="s">
        <v>324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V3" s="20" t="s">
        <v>309</v>
      </c>
      <c r="AW3" s="20"/>
      <c r="AX3" s="20"/>
      <c r="AY3" s="20"/>
      <c r="AZ3" s="20"/>
      <c r="BA3" s="20"/>
      <c r="BB3" s="20"/>
      <c r="BC3" s="20"/>
    </row>
    <row r="4" spans="2:55" x14ac:dyDescent="0.25">
      <c r="B4" s="6"/>
      <c r="D4" s="8"/>
      <c r="AD4" s="8"/>
      <c r="AM4" s="8"/>
    </row>
    <row r="5" spans="2:55" ht="28.5" customHeight="1" x14ac:dyDescent="0.25">
      <c r="B5" s="12" t="s">
        <v>84</v>
      </c>
      <c r="C5" s="13" t="s">
        <v>85</v>
      </c>
      <c r="D5" s="13" t="s">
        <v>251</v>
      </c>
      <c r="E5" s="13" t="s">
        <v>253</v>
      </c>
      <c r="F5" s="13" t="s">
        <v>255</v>
      </c>
      <c r="G5" s="13" t="s">
        <v>257</v>
      </c>
      <c r="H5" s="13" t="s">
        <v>230</v>
      </c>
      <c r="I5" s="13" t="s">
        <v>232</v>
      </c>
      <c r="J5" s="13" t="s">
        <v>234</v>
      </c>
      <c r="K5" s="13" t="s">
        <v>236</v>
      </c>
      <c r="L5" s="13" t="s">
        <v>268</v>
      </c>
      <c r="M5" s="13" t="s">
        <v>269</v>
      </c>
      <c r="N5" s="13" t="s">
        <v>270</v>
      </c>
      <c r="O5" s="13" t="s">
        <v>271</v>
      </c>
      <c r="Q5" s="13" t="s">
        <v>252</v>
      </c>
      <c r="R5" s="13" t="s">
        <v>254</v>
      </c>
      <c r="S5" s="13" t="s">
        <v>256</v>
      </c>
      <c r="T5" s="13" t="s">
        <v>258</v>
      </c>
      <c r="U5" s="13" t="s">
        <v>231</v>
      </c>
      <c r="V5" s="13" t="s">
        <v>233</v>
      </c>
      <c r="W5" s="13" t="s">
        <v>235</v>
      </c>
      <c r="X5" s="13" t="s">
        <v>237</v>
      </c>
      <c r="Y5" s="13" t="s">
        <v>275</v>
      </c>
      <c r="Z5" s="13" t="s">
        <v>272</v>
      </c>
      <c r="AA5" s="13" t="s">
        <v>273</v>
      </c>
      <c r="AB5" s="13" t="s">
        <v>274</v>
      </c>
      <c r="AD5" s="13" t="s">
        <v>277</v>
      </c>
      <c r="AE5" s="13" t="s">
        <v>278</v>
      </c>
      <c r="AF5" s="13" t="s">
        <v>279</v>
      </c>
      <c r="AG5" s="13" t="s">
        <v>280</v>
      </c>
      <c r="AH5" s="13" t="s">
        <v>281</v>
      </c>
      <c r="AI5" s="13" t="s">
        <v>282</v>
      </c>
      <c r="AJ5" s="13" t="s">
        <v>283</v>
      </c>
      <c r="AK5" s="13" t="s">
        <v>291</v>
      </c>
      <c r="AM5" s="13" t="s">
        <v>284</v>
      </c>
      <c r="AN5" s="13" t="s">
        <v>285</v>
      </c>
      <c r="AO5" s="13" t="s">
        <v>286</v>
      </c>
      <c r="AP5" s="13" t="s">
        <v>287</v>
      </c>
      <c r="AQ5" s="13" t="s">
        <v>288</v>
      </c>
      <c r="AR5" s="13" t="s">
        <v>289</v>
      </c>
      <c r="AS5" s="13" t="s">
        <v>290</v>
      </c>
      <c r="AT5" s="13" t="s">
        <v>292</v>
      </c>
      <c r="AV5" s="13" t="s">
        <v>317</v>
      </c>
      <c r="AW5" s="13" t="s">
        <v>310</v>
      </c>
      <c r="AX5" s="13" t="s">
        <v>311</v>
      </c>
      <c r="AY5" s="13" t="s">
        <v>312</v>
      </c>
      <c r="AZ5" s="13" t="s">
        <v>313</v>
      </c>
      <c r="BA5" s="13" t="s">
        <v>314</v>
      </c>
      <c r="BB5" s="13" t="s">
        <v>315</v>
      </c>
      <c r="BC5" s="13" t="s">
        <v>316</v>
      </c>
    </row>
    <row r="6" spans="2:55" x14ac:dyDescent="0.25">
      <c r="B6" s="14">
        <v>1</v>
      </c>
      <c r="C6" s="158" t="s">
        <v>0</v>
      </c>
      <c r="D6" s="15">
        <v>24592824</v>
      </c>
      <c r="E6" s="15">
        <v>25527552</v>
      </c>
      <c r="F6" s="15">
        <v>25530890</v>
      </c>
      <c r="G6" s="15">
        <v>21993921</v>
      </c>
      <c r="H6" s="15">
        <v>25343468</v>
      </c>
      <c r="I6" s="15">
        <v>23740253</v>
      </c>
      <c r="J6" s="15">
        <v>25156986</v>
      </c>
      <c r="K6" s="15">
        <v>27418515</v>
      </c>
      <c r="L6" s="15">
        <v>38781942</v>
      </c>
      <c r="M6" s="15">
        <v>28547850</v>
      </c>
      <c r="N6" s="15"/>
      <c r="O6" s="15"/>
      <c r="Q6" s="15">
        <v>14478139</v>
      </c>
      <c r="R6" s="15">
        <v>15071796</v>
      </c>
      <c r="S6" s="15">
        <v>14664286</v>
      </c>
      <c r="T6" s="15">
        <v>12317569</v>
      </c>
      <c r="U6" s="15">
        <v>14266004</v>
      </c>
      <c r="V6" s="15">
        <v>13350421</v>
      </c>
      <c r="W6" s="15">
        <v>14849179</v>
      </c>
      <c r="X6" s="15">
        <v>16530767</v>
      </c>
      <c r="Y6" s="15">
        <v>23712584</v>
      </c>
      <c r="Z6" s="15">
        <v>18874634</v>
      </c>
      <c r="AA6" s="15"/>
      <c r="AB6" s="15"/>
      <c r="AD6" s="16">
        <f>SUM(D6:G6)</f>
        <v>97645187</v>
      </c>
      <c r="AE6" s="16">
        <f t="shared" ref="AE6:AJ6" si="0">SUM(E6:H6)</f>
        <v>98395831</v>
      </c>
      <c r="AF6" s="16">
        <f t="shared" si="0"/>
        <v>96608532</v>
      </c>
      <c r="AG6" s="16">
        <f t="shared" si="0"/>
        <v>96234628</v>
      </c>
      <c r="AH6" s="16">
        <f t="shared" si="0"/>
        <v>101659222</v>
      </c>
      <c r="AI6" s="16">
        <f t="shared" si="0"/>
        <v>115097696</v>
      </c>
      <c r="AJ6" s="16">
        <f t="shared" si="0"/>
        <v>119905293</v>
      </c>
      <c r="AK6" s="16"/>
      <c r="AM6" s="16">
        <f>SUM(Q6:T6)</f>
        <v>56531790</v>
      </c>
      <c r="AN6" s="16">
        <f t="shared" ref="AN6:AS6" si="1">SUM(R6:U6)</f>
        <v>56319655</v>
      </c>
      <c r="AO6" s="16">
        <f t="shared" si="1"/>
        <v>54598280</v>
      </c>
      <c r="AP6" s="16">
        <f t="shared" si="1"/>
        <v>54783173</v>
      </c>
      <c r="AQ6" s="16">
        <f t="shared" si="1"/>
        <v>58996371</v>
      </c>
      <c r="AR6" s="16">
        <f t="shared" si="1"/>
        <v>68442951</v>
      </c>
      <c r="AS6" s="16">
        <f t="shared" si="1"/>
        <v>73967164</v>
      </c>
      <c r="AT6" s="16"/>
      <c r="AV6" s="17">
        <f>AM6/AD6</f>
        <v>0.57895111614666683</v>
      </c>
      <c r="AW6" s="17">
        <f t="shared" ref="AW6:BB6" si="2">AN6/AE6</f>
        <v>0.57237846794545599</v>
      </c>
      <c r="AX6" s="17">
        <f t="shared" si="2"/>
        <v>0.56514967021753315</v>
      </c>
      <c r="AY6" s="17">
        <f t="shared" si="2"/>
        <v>0.56926674045022552</v>
      </c>
      <c r="AZ6" s="17">
        <f t="shared" si="2"/>
        <v>0.58033466949019141</v>
      </c>
      <c r="BA6" s="17">
        <f t="shared" si="2"/>
        <v>0.59465092159620636</v>
      </c>
      <c r="BB6" s="17">
        <f t="shared" si="2"/>
        <v>0.6168798903648065</v>
      </c>
    </row>
    <row r="7" spans="2:55" x14ac:dyDescent="0.25">
      <c r="B7" s="14">
        <v>2</v>
      </c>
      <c r="C7" s="158" t="s">
        <v>1</v>
      </c>
      <c r="D7" s="15">
        <v>16745194</v>
      </c>
      <c r="E7" s="15">
        <v>16188473</v>
      </c>
      <c r="F7" s="15">
        <v>13720012</v>
      </c>
      <c r="G7" s="15">
        <v>10632441</v>
      </c>
      <c r="H7" s="15">
        <v>10395943</v>
      </c>
      <c r="I7" s="15">
        <v>18713036</v>
      </c>
      <c r="J7" s="15">
        <v>16022466</v>
      </c>
      <c r="K7" s="15">
        <v>15783423</v>
      </c>
      <c r="L7" s="15">
        <v>18422434</v>
      </c>
      <c r="M7" s="15">
        <v>19178024</v>
      </c>
      <c r="N7" s="15"/>
      <c r="O7" s="15"/>
      <c r="Q7" s="15">
        <v>10403574</v>
      </c>
      <c r="R7" s="15">
        <v>9982226</v>
      </c>
      <c r="S7" s="15">
        <v>8319308</v>
      </c>
      <c r="T7" s="15">
        <v>6318607</v>
      </c>
      <c r="U7" s="15">
        <v>6175153</v>
      </c>
      <c r="V7" s="15">
        <v>11156834</v>
      </c>
      <c r="W7" s="15">
        <v>9783054</v>
      </c>
      <c r="X7" s="15">
        <v>9628005</v>
      </c>
      <c r="Y7" s="15">
        <v>11351778</v>
      </c>
      <c r="Z7" s="15">
        <v>11818620</v>
      </c>
      <c r="AA7" s="15"/>
      <c r="AB7" s="15"/>
      <c r="AD7" s="16">
        <f t="shared" ref="AD7:AD70" si="3">SUM(D7:G7)</f>
        <v>57286120</v>
      </c>
      <c r="AE7" s="16">
        <f t="shared" ref="AE7:AE70" si="4">SUM(E7:H7)</f>
        <v>50936869</v>
      </c>
      <c r="AF7" s="16">
        <f t="shared" ref="AF7:AF70" si="5">SUM(F7:I7)</f>
        <v>53461432</v>
      </c>
      <c r="AG7" s="16">
        <f t="shared" ref="AG7:AG70" si="6">SUM(G7:J7)</f>
        <v>55763886</v>
      </c>
      <c r="AH7" s="16">
        <f t="shared" ref="AH7:AH70" si="7">SUM(H7:K7)</f>
        <v>60914868</v>
      </c>
      <c r="AI7" s="16">
        <f t="shared" ref="AI7:AI70" si="8">SUM(I7:L7)</f>
        <v>68941359</v>
      </c>
      <c r="AJ7" s="16">
        <f t="shared" ref="AJ7:AJ70" si="9">SUM(J7:M7)</f>
        <v>69406347</v>
      </c>
      <c r="AK7" s="16"/>
      <c r="AM7" s="16">
        <f t="shared" ref="AM7:AM70" si="10">SUM(Q7:T7)</f>
        <v>35023715</v>
      </c>
      <c r="AN7" s="16">
        <f t="shared" ref="AN7:AN70" si="11">SUM(R7:U7)</f>
        <v>30795294</v>
      </c>
      <c r="AO7" s="16">
        <f t="shared" ref="AO7:AO70" si="12">SUM(S7:V7)</f>
        <v>31969902</v>
      </c>
      <c r="AP7" s="16">
        <f t="shared" ref="AP7:AP70" si="13">SUM(T7:W7)</f>
        <v>33433648</v>
      </c>
      <c r="AQ7" s="16">
        <f t="shared" ref="AQ7:AQ70" si="14">SUM(U7:X7)</f>
        <v>36743046</v>
      </c>
      <c r="AR7" s="16">
        <f t="shared" ref="AR7:AR70" si="15">SUM(V7:Y7)</f>
        <v>41919671</v>
      </c>
      <c r="AS7" s="16">
        <f t="shared" ref="AS7:AS70" si="16">SUM(W7:Z7)</f>
        <v>42581457</v>
      </c>
      <c r="AT7" s="16"/>
      <c r="AV7" s="17">
        <f t="shared" ref="AV7:AV70" si="17">AM7/AD7</f>
        <v>0.6113822161459006</v>
      </c>
      <c r="AW7" s="17">
        <f t="shared" ref="AW7:AW70" si="18">AN7/AE7</f>
        <v>0.60457767830213516</v>
      </c>
      <c r="AX7" s="17">
        <f t="shared" ref="AX7:AX70" si="19">AO7/AF7</f>
        <v>0.59799935774260593</v>
      </c>
      <c r="AY7" s="17">
        <f t="shared" ref="AY7:AY70" si="20">AP7/AG7</f>
        <v>0.59955735509537478</v>
      </c>
      <c r="AZ7" s="17">
        <f t="shared" ref="AZ7:AZ70" si="21">AQ7/AH7</f>
        <v>0.6031868278857635</v>
      </c>
      <c r="BA7" s="17">
        <f t="shared" ref="BA7:BA70" si="22">AR7/AI7</f>
        <v>0.60804822544910964</v>
      </c>
      <c r="BB7" s="17">
        <f t="shared" ref="BB7:BB70" si="23">AS7/AJ7</f>
        <v>0.61350955410461239</v>
      </c>
    </row>
    <row r="8" spans="2:55" x14ac:dyDescent="0.25">
      <c r="B8" s="14">
        <v>3</v>
      </c>
      <c r="C8" s="158" t="s">
        <v>2</v>
      </c>
      <c r="D8" s="15">
        <v>21881297</v>
      </c>
      <c r="E8" s="15">
        <v>28961958</v>
      </c>
      <c r="F8" s="15">
        <v>31918250</v>
      </c>
      <c r="G8" s="15">
        <v>34130303</v>
      </c>
      <c r="H8" s="15">
        <v>20738347</v>
      </c>
      <c r="I8" s="15">
        <v>25694254</v>
      </c>
      <c r="J8" s="15">
        <v>32742124</v>
      </c>
      <c r="K8" s="15">
        <v>29414139</v>
      </c>
      <c r="L8" s="15">
        <v>34754776</v>
      </c>
      <c r="M8" s="15">
        <v>42142856</v>
      </c>
      <c r="N8" s="15"/>
      <c r="O8" s="15"/>
      <c r="Q8" s="15">
        <v>11947675</v>
      </c>
      <c r="R8" s="15">
        <v>16328687</v>
      </c>
      <c r="S8" s="15">
        <v>16858050</v>
      </c>
      <c r="T8" s="15">
        <v>17335558</v>
      </c>
      <c r="U8" s="15">
        <v>10879731</v>
      </c>
      <c r="V8" s="15">
        <v>13606497</v>
      </c>
      <c r="W8" s="15">
        <v>18199678</v>
      </c>
      <c r="X8" s="15">
        <v>15803225</v>
      </c>
      <c r="Y8" s="15">
        <v>19431283</v>
      </c>
      <c r="Z8" s="15">
        <v>22770920</v>
      </c>
      <c r="AA8" s="15"/>
      <c r="AB8" s="15"/>
      <c r="AD8" s="16">
        <f t="shared" si="3"/>
        <v>116891808</v>
      </c>
      <c r="AE8" s="16">
        <f t="shared" si="4"/>
        <v>115748858</v>
      </c>
      <c r="AF8" s="16">
        <f t="shared" si="5"/>
        <v>112481154</v>
      </c>
      <c r="AG8" s="16">
        <f t="shared" si="6"/>
        <v>113305028</v>
      </c>
      <c r="AH8" s="16">
        <f t="shared" si="7"/>
        <v>108588864</v>
      </c>
      <c r="AI8" s="16">
        <f t="shared" si="8"/>
        <v>122605293</v>
      </c>
      <c r="AJ8" s="16">
        <f t="shared" si="9"/>
        <v>139053895</v>
      </c>
      <c r="AK8" s="16"/>
      <c r="AM8" s="16">
        <f t="shared" si="10"/>
        <v>62469970</v>
      </c>
      <c r="AN8" s="16">
        <f t="shared" si="11"/>
        <v>61402026</v>
      </c>
      <c r="AO8" s="16">
        <f t="shared" si="12"/>
        <v>58679836</v>
      </c>
      <c r="AP8" s="16">
        <f t="shared" si="13"/>
        <v>60021464</v>
      </c>
      <c r="AQ8" s="16">
        <f t="shared" si="14"/>
        <v>58489131</v>
      </c>
      <c r="AR8" s="16">
        <f t="shared" si="15"/>
        <v>67040683</v>
      </c>
      <c r="AS8" s="16">
        <f t="shared" si="16"/>
        <v>76205106</v>
      </c>
      <c r="AT8" s="16"/>
      <c r="AV8" s="17">
        <f t="shared" si="17"/>
        <v>0.53442556042935019</v>
      </c>
      <c r="AW8" s="17">
        <f t="shared" si="18"/>
        <v>0.53047630068194707</v>
      </c>
      <c r="AX8" s="17">
        <f t="shared" si="19"/>
        <v>0.52168593505006178</v>
      </c>
      <c r="AY8" s="17">
        <f t="shared" si="20"/>
        <v>0.52973345542970962</v>
      </c>
      <c r="AZ8" s="17">
        <f t="shared" si="21"/>
        <v>0.53862918208629573</v>
      </c>
      <c r="BA8" s="17">
        <f t="shared" si="22"/>
        <v>0.54680088729937626</v>
      </c>
      <c r="BB8" s="17">
        <f t="shared" si="23"/>
        <v>0.54802568457359646</v>
      </c>
    </row>
    <row r="9" spans="2:55" x14ac:dyDescent="0.25">
      <c r="B9" s="14">
        <v>4</v>
      </c>
      <c r="C9" s="158" t="s">
        <v>3</v>
      </c>
      <c r="D9" s="15">
        <v>557627220.22000003</v>
      </c>
      <c r="E9" s="15">
        <v>551041699.88</v>
      </c>
      <c r="F9" s="15">
        <v>508630641</v>
      </c>
      <c r="G9" s="15">
        <v>719003274</v>
      </c>
      <c r="H9" s="15">
        <v>662691611</v>
      </c>
      <c r="I9" s="15">
        <v>637855691</v>
      </c>
      <c r="J9" s="15">
        <v>675445299</v>
      </c>
      <c r="K9" s="15">
        <v>759689546</v>
      </c>
      <c r="L9" s="15">
        <v>836073680</v>
      </c>
      <c r="M9" s="15">
        <v>984276738</v>
      </c>
      <c r="N9" s="15"/>
      <c r="O9" s="15"/>
      <c r="Q9" s="15">
        <v>290601636.21000004</v>
      </c>
      <c r="R9" s="15">
        <v>285596106.75999999</v>
      </c>
      <c r="S9" s="15">
        <v>262741616.69450003</v>
      </c>
      <c r="T9" s="15">
        <v>371055142</v>
      </c>
      <c r="U9" s="15">
        <v>358618262</v>
      </c>
      <c r="V9" s="15">
        <v>342154391</v>
      </c>
      <c r="W9" s="15">
        <v>352303740</v>
      </c>
      <c r="X9" s="15">
        <v>400301403</v>
      </c>
      <c r="Y9" s="15">
        <v>433037499</v>
      </c>
      <c r="Z9" s="15">
        <v>515295721</v>
      </c>
      <c r="AA9" s="15"/>
      <c r="AB9" s="15"/>
      <c r="AD9" s="16">
        <f t="shared" si="3"/>
        <v>2336302835.0999999</v>
      </c>
      <c r="AE9" s="16">
        <f t="shared" si="4"/>
        <v>2441367225.8800001</v>
      </c>
      <c r="AF9" s="16">
        <f t="shared" si="5"/>
        <v>2528181217</v>
      </c>
      <c r="AG9" s="16">
        <f t="shared" si="6"/>
        <v>2694995875</v>
      </c>
      <c r="AH9" s="16">
        <f t="shared" si="7"/>
        <v>2735682147</v>
      </c>
      <c r="AI9" s="16">
        <f t="shared" si="8"/>
        <v>2909064216</v>
      </c>
      <c r="AJ9" s="16">
        <f t="shared" si="9"/>
        <v>3255485263</v>
      </c>
      <c r="AK9" s="16"/>
      <c r="AM9" s="16">
        <f t="shared" si="10"/>
        <v>1209994501.6645</v>
      </c>
      <c r="AN9" s="16">
        <f t="shared" si="11"/>
        <v>1278011127.4545</v>
      </c>
      <c r="AO9" s="16">
        <f t="shared" si="12"/>
        <v>1334569411.6945</v>
      </c>
      <c r="AP9" s="16">
        <f t="shared" si="13"/>
        <v>1424131535</v>
      </c>
      <c r="AQ9" s="16">
        <f t="shared" si="14"/>
        <v>1453377796</v>
      </c>
      <c r="AR9" s="16">
        <f t="shared" si="15"/>
        <v>1527797033</v>
      </c>
      <c r="AS9" s="16">
        <f t="shared" si="16"/>
        <v>1700938363</v>
      </c>
      <c r="AT9" s="16"/>
      <c r="AV9" s="17">
        <f t="shared" si="17"/>
        <v>0.51790995734194234</v>
      </c>
      <c r="AW9" s="17">
        <f t="shared" si="18"/>
        <v>0.52348172528360049</v>
      </c>
      <c r="AX9" s="17">
        <f t="shared" si="19"/>
        <v>0.52787727506263649</v>
      </c>
      <c r="AY9" s="17">
        <f t="shared" si="20"/>
        <v>0.52843551569443492</v>
      </c>
      <c r="AZ9" s="17">
        <f t="shared" si="21"/>
        <v>0.53126705439584831</v>
      </c>
      <c r="BA9" s="17">
        <f t="shared" si="22"/>
        <v>0.52518504906046393</v>
      </c>
      <c r="BB9" s="17">
        <f t="shared" si="23"/>
        <v>0.52248381595576587</v>
      </c>
    </row>
    <row r="10" spans="2:55" x14ac:dyDescent="0.25">
      <c r="B10" s="14">
        <v>11</v>
      </c>
      <c r="C10" s="158" t="s">
        <v>4</v>
      </c>
      <c r="D10" s="15">
        <v>21893199</v>
      </c>
      <c r="E10" s="15">
        <v>45574060</v>
      </c>
      <c r="F10" s="15">
        <v>46782968</v>
      </c>
      <c r="G10" s="15">
        <v>36018581</v>
      </c>
      <c r="H10" s="15">
        <v>26427339</v>
      </c>
      <c r="I10" s="15">
        <v>22401233</v>
      </c>
      <c r="J10" s="15">
        <v>17149650</v>
      </c>
      <c r="K10" s="15">
        <v>20194175</v>
      </c>
      <c r="L10" s="15">
        <v>25231334</v>
      </c>
      <c r="M10" s="15">
        <v>60415882</v>
      </c>
      <c r="N10" s="15"/>
      <c r="O10" s="15"/>
      <c r="Q10" s="15">
        <v>11097129</v>
      </c>
      <c r="R10" s="15">
        <v>24074077</v>
      </c>
      <c r="S10" s="15">
        <v>24765631.199999999</v>
      </c>
      <c r="T10" s="15">
        <v>18614806.25</v>
      </c>
      <c r="U10" s="15">
        <v>9499812</v>
      </c>
      <c r="V10" s="15">
        <v>8721218</v>
      </c>
      <c r="W10" s="15">
        <v>8657675</v>
      </c>
      <c r="X10" s="15">
        <v>10190311</v>
      </c>
      <c r="Y10" s="15">
        <v>14629994</v>
      </c>
      <c r="Z10" s="15">
        <v>32752134</v>
      </c>
      <c r="AA10" s="15"/>
      <c r="AB10" s="15"/>
      <c r="AD10" s="16">
        <f t="shared" si="3"/>
        <v>150268808</v>
      </c>
      <c r="AE10" s="16">
        <f t="shared" si="4"/>
        <v>154802948</v>
      </c>
      <c r="AF10" s="16">
        <f t="shared" si="5"/>
        <v>131630121</v>
      </c>
      <c r="AG10" s="16">
        <f t="shared" si="6"/>
        <v>101996803</v>
      </c>
      <c r="AH10" s="16">
        <f t="shared" si="7"/>
        <v>86172397</v>
      </c>
      <c r="AI10" s="16">
        <f t="shared" si="8"/>
        <v>84976392</v>
      </c>
      <c r="AJ10" s="16">
        <f t="shared" si="9"/>
        <v>122991041</v>
      </c>
      <c r="AK10" s="16"/>
      <c r="AM10" s="16">
        <f t="shared" si="10"/>
        <v>78551643.450000003</v>
      </c>
      <c r="AN10" s="16">
        <f t="shared" si="11"/>
        <v>76954326.450000003</v>
      </c>
      <c r="AO10" s="16">
        <f t="shared" si="12"/>
        <v>61601467.450000003</v>
      </c>
      <c r="AP10" s="16">
        <f t="shared" si="13"/>
        <v>45493511.25</v>
      </c>
      <c r="AQ10" s="16">
        <f t="shared" si="14"/>
        <v>37069016</v>
      </c>
      <c r="AR10" s="16">
        <f t="shared" si="15"/>
        <v>42199198</v>
      </c>
      <c r="AS10" s="16">
        <f t="shared" si="16"/>
        <v>66230114</v>
      </c>
      <c r="AT10" s="16"/>
      <c r="AV10" s="17">
        <f t="shared" si="17"/>
        <v>0.52274084352888461</v>
      </c>
      <c r="AW10" s="17">
        <f t="shared" si="18"/>
        <v>0.49711150494369138</v>
      </c>
      <c r="AX10" s="17">
        <f t="shared" si="19"/>
        <v>0.46798914246990631</v>
      </c>
      <c r="AY10" s="17">
        <f t="shared" si="20"/>
        <v>0.44602879611824697</v>
      </c>
      <c r="AZ10" s="17">
        <f t="shared" si="21"/>
        <v>0.43017273849304666</v>
      </c>
      <c r="BA10" s="17">
        <f t="shared" si="22"/>
        <v>0.49659907895359923</v>
      </c>
      <c r="BB10" s="17">
        <f t="shared" si="23"/>
        <v>0.53849543398856181</v>
      </c>
    </row>
    <row r="11" spans="2:55" x14ac:dyDescent="0.25">
      <c r="B11" s="14">
        <v>12</v>
      </c>
      <c r="C11" s="158" t="s">
        <v>5</v>
      </c>
      <c r="D11" s="15">
        <v>5506510.9900000002</v>
      </c>
      <c r="E11" s="15">
        <v>5123074.0199999996</v>
      </c>
      <c r="F11" s="15">
        <v>5773656</v>
      </c>
      <c r="G11" s="15">
        <v>4442235</v>
      </c>
      <c r="H11" s="15">
        <v>4682042</v>
      </c>
      <c r="I11" s="15">
        <v>5656410</v>
      </c>
      <c r="J11" s="15">
        <v>4563923</v>
      </c>
      <c r="K11" s="15">
        <v>4644503</v>
      </c>
      <c r="L11" s="15">
        <v>7714800</v>
      </c>
      <c r="M11" s="15">
        <v>6414879</v>
      </c>
      <c r="N11" s="15"/>
      <c r="O11" s="15"/>
      <c r="Q11" s="15">
        <v>2984866.49</v>
      </c>
      <c r="R11" s="15">
        <v>2806040.6799999997</v>
      </c>
      <c r="S11" s="15">
        <v>3168204</v>
      </c>
      <c r="T11" s="15">
        <v>2373282</v>
      </c>
      <c r="U11" s="15">
        <v>2530104</v>
      </c>
      <c r="V11" s="15">
        <v>3035406</v>
      </c>
      <c r="W11" s="15">
        <v>2556028</v>
      </c>
      <c r="X11" s="15">
        <v>2647367</v>
      </c>
      <c r="Y11" s="15">
        <v>4511070</v>
      </c>
      <c r="Z11" s="15">
        <v>3987271</v>
      </c>
      <c r="AA11" s="15"/>
      <c r="AB11" s="15"/>
      <c r="AD11" s="16">
        <f t="shared" si="3"/>
        <v>20845476.009999998</v>
      </c>
      <c r="AE11" s="16">
        <f t="shared" si="4"/>
        <v>20021007.02</v>
      </c>
      <c r="AF11" s="16">
        <f t="shared" si="5"/>
        <v>20554343</v>
      </c>
      <c r="AG11" s="16">
        <f t="shared" si="6"/>
        <v>19344610</v>
      </c>
      <c r="AH11" s="16">
        <f t="shared" si="7"/>
        <v>19546878</v>
      </c>
      <c r="AI11" s="16">
        <f t="shared" si="8"/>
        <v>22579636</v>
      </c>
      <c r="AJ11" s="16">
        <f t="shared" si="9"/>
        <v>23338105</v>
      </c>
      <c r="AK11" s="16"/>
      <c r="AM11" s="16">
        <f t="shared" si="10"/>
        <v>11332393.17</v>
      </c>
      <c r="AN11" s="16">
        <f t="shared" si="11"/>
        <v>10877630.68</v>
      </c>
      <c r="AO11" s="16">
        <f t="shared" si="12"/>
        <v>11106996</v>
      </c>
      <c r="AP11" s="16">
        <f t="shared" si="13"/>
        <v>10494820</v>
      </c>
      <c r="AQ11" s="16">
        <f t="shared" si="14"/>
        <v>10768905</v>
      </c>
      <c r="AR11" s="16">
        <f t="shared" si="15"/>
        <v>12749871</v>
      </c>
      <c r="AS11" s="16">
        <f t="shared" si="16"/>
        <v>13701736</v>
      </c>
      <c r="AT11" s="16"/>
      <c r="AV11" s="17">
        <f t="shared" si="17"/>
        <v>0.54363801357012054</v>
      </c>
      <c r="AW11" s="17">
        <f t="shared" si="18"/>
        <v>0.54331086688765373</v>
      </c>
      <c r="AX11" s="17">
        <f t="shared" si="19"/>
        <v>0.54037222206518598</v>
      </c>
      <c r="AY11" s="17">
        <f t="shared" si="20"/>
        <v>0.54251907895791129</v>
      </c>
      <c r="AZ11" s="17">
        <f t="shared" si="21"/>
        <v>0.55092710968984404</v>
      </c>
      <c r="BA11" s="17">
        <f t="shared" si="22"/>
        <v>0.56466237985413048</v>
      </c>
      <c r="BB11" s="17">
        <f t="shared" si="23"/>
        <v>0.58709719576632291</v>
      </c>
    </row>
    <row r="12" spans="2:55" x14ac:dyDescent="0.25">
      <c r="B12" s="14">
        <v>13</v>
      </c>
      <c r="C12" s="158" t="s">
        <v>6</v>
      </c>
      <c r="D12" s="15">
        <v>10646834</v>
      </c>
      <c r="E12" s="15">
        <v>10722358</v>
      </c>
      <c r="F12" s="15">
        <v>10522545</v>
      </c>
      <c r="G12" s="15">
        <v>10484125</v>
      </c>
      <c r="H12" s="15">
        <v>10650577</v>
      </c>
      <c r="I12" s="15">
        <v>10758916</v>
      </c>
      <c r="J12" s="15">
        <v>10775051</v>
      </c>
      <c r="K12" s="15">
        <v>11837982</v>
      </c>
      <c r="L12" s="15">
        <v>12399979</v>
      </c>
      <c r="M12" s="15">
        <v>10702647</v>
      </c>
      <c r="N12" s="15"/>
      <c r="O12" s="15"/>
      <c r="Q12" s="15">
        <v>5197903</v>
      </c>
      <c r="R12" s="15">
        <v>5244203</v>
      </c>
      <c r="S12" s="15">
        <v>5137337</v>
      </c>
      <c r="T12" s="15">
        <v>5105590</v>
      </c>
      <c r="U12" s="15">
        <v>5158214</v>
      </c>
      <c r="V12" s="15">
        <v>5221035</v>
      </c>
      <c r="W12" s="15">
        <v>5495278</v>
      </c>
      <c r="X12" s="15">
        <v>6037372</v>
      </c>
      <c r="Y12" s="15">
        <v>6697372</v>
      </c>
      <c r="Z12" s="15">
        <v>5574864</v>
      </c>
      <c r="AA12" s="15"/>
      <c r="AB12" s="15"/>
      <c r="AD12" s="16">
        <f t="shared" si="3"/>
        <v>42375862</v>
      </c>
      <c r="AE12" s="16">
        <f t="shared" si="4"/>
        <v>42379605</v>
      </c>
      <c r="AF12" s="16">
        <f t="shared" si="5"/>
        <v>42416163</v>
      </c>
      <c r="AG12" s="16">
        <f t="shared" si="6"/>
        <v>42668669</v>
      </c>
      <c r="AH12" s="16">
        <f t="shared" si="7"/>
        <v>44022526</v>
      </c>
      <c r="AI12" s="16">
        <f t="shared" si="8"/>
        <v>45771928</v>
      </c>
      <c r="AJ12" s="16">
        <f t="shared" si="9"/>
        <v>45715659</v>
      </c>
      <c r="AK12" s="16"/>
      <c r="AM12" s="16">
        <f t="shared" si="10"/>
        <v>20685033</v>
      </c>
      <c r="AN12" s="16">
        <f t="shared" si="11"/>
        <v>20645344</v>
      </c>
      <c r="AO12" s="16">
        <f t="shared" si="12"/>
        <v>20622176</v>
      </c>
      <c r="AP12" s="16">
        <f t="shared" si="13"/>
        <v>20980117</v>
      </c>
      <c r="AQ12" s="16">
        <f t="shared" si="14"/>
        <v>21911899</v>
      </c>
      <c r="AR12" s="16">
        <f t="shared" si="15"/>
        <v>23451057</v>
      </c>
      <c r="AS12" s="16">
        <f t="shared" si="16"/>
        <v>23804886</v>
      </c>
      <c r="AT12" s="16"/>
      <c r="AV12" s="17">
        <f t="shared" si="17"/>
        <v>0.48813244200200578</v>
      </c>
      <c r="AW12" s="17">
        <f t="shared" si="18"/>
        <v>0.48715281796515092</v>
      </c>
      <c r="AX12" s="17">
        <f t="shared" si="19"/>
        <v>0.48618673971052023</v>
      </c>
      <c r="AY12" s="17">
        <f t="shared" si="20"/>
        <v>0.49169841693444905</v>
      </c>
      <c r="AZ12" s="17">
        <f t="shared" si="21"/>
        <v>0.49774288281413021</v>
      </c>
      <c r="BA12" s="17">
        <f t="shared" si="22"/>
        <v>0.51234584219393164</v>
      </c>
      <c r="BB12" s="17">
        <f t="shared" si="23"/>
        <v>0.5207162386087445</v>
      </c>
    </row>
    <row r="13" spans="2:55" x14ac:dyDescent="0.25">
      <c r="B13" s="14">
        <v>14</v>
      </c>
      <c r="C13" s="158" t="s">
        <v>7</v>
      </c>
      <c r="D13" s="15">
        <v>4983227</v>
      </c>
      <c r="E13" s="15">
        <v>5261060</v>
      </c>
      <c r="F13" s="15">
        <v>5300950</v>
      </c>
      <c r="G13" s="15">
        <v>4698149</v>
      </c>
      <c r="H13" s="15">
        <v>6257556</v>
      </c>
      <c r="I13" s="15">
        <v>5698174</v>
      </c>
      <c r="J13" s="15">
        <v>5449390</v>
      </c>
      <c r="K13" s="15">
        <v>5796057</v>
      </c>
      <c r="L13" s="15">
        <v>6211504</v>
      </c>
      <c r="M13" s="15">
        <v>9167270</v>
      </c>
      <c r="N13" s="15"/>
      <c r="O13" s="15"/>
      <c r="Q13" s="15">
        <v>2678982</v>
      </c>
      <c r="R13" s="15">
        <v>2832973</v>
      </c>
      <c r="S13" s="15">
        <v>2836850</v>
      </c>
      <c r="T13" s="15">
        <v>2479991</v>
      </c>
      <c r="U13" s="15">
        <v>3285489</v>
      </c>
      <c r="V13" s="15">
        <v>2979777</v>
      </c>
      <c r="W13" s="15">
        <v>2997167</v>
      </c>
      <c r="X13" s="15">
        <v>3245795</v>
      </c>
      <c r="Y13" s="15">
        <v>3649135</v>
      </c>
      <c r="Z13" s="15">
        <v>5317018</v>
      </c>
      <c r="AA13" s="15"/>
      <c r="AB13" s="15"/>
      <c r="AD13" s="16">
        <f t="shared" si="3"/>
        <v>20243386</v>
      </c>
      <c r="AE13" s="16">
        <f t="shared" si="4"/>
        <v>21517715</v>
      </c>
      <c r="AF13" s="16">
        <f t="shared" si="5"/>
        <v>21954829</v>
      </c>
      <c r="AG13" s="16">
        <f t="shared" si="6"/>
        <v>22103269</v>
      </c>
      <c r="AH13" s="16">
        <f t="shared" si="7"/>
        <v>23201177</v>
      </c>
      <c r="AI13" s="16">
        <f t="shared" si="8"/>
        <v>23155125</v>
      </c>
      <c r="AJ13" s="16">
        <f t="shared" si="9"/>
        <v>26624221</v>
      </c>
      <c r="AK13" s="16"/>
      <c r="AM13" s="16">
        <f t="shared" si="10"/>
        <v>10828796</v>
      </c>
      <c r="AN13" s="16">
        <f t="shared" si="11"/>
        <v>11435303</v>
      </c>
      <c r="AO13" s="16">
        <f t="shared" si="12"/>
        <v>11582107</v>
      </c>
      <c r="AP13" s="16">
        <f t="shared" si="13"/>
        <v>11742424</v>
      </c>
      <c r="AQ13" s="16">
        <f t="shared" si="14"/>
        <v>12508228</v>
      </c>
      <c r="AR13" s="16">
        <f t="shared" si="15"/>
        <v>12871874</v>
      </c>
      <c r="AS13" s="16">
        <f t="shared" si="16"/>
        <v>15209115</v>
      </c>
      <c r="AT13" s="16"/>
      <c r="AV13" s="17">
        <f t="shared" si="17"/>
        <v>0.53493007543303284</v>
      </c>
      <c r="AW13" s="17">
        <f t="shared" si="18"/>
        <v>0.53143667903399594</v>
      </c>
      <c r="AX13" s="17">
        <f t="shared" si="19"/>
        <v>0.52754257389114712</v>
      </c>
      <c r="AY13" s="17">
        <f t="shared" si="20"/>
        <v>0.53125282056694867</v>
      </c>
      <c r="AZ13" s="17">
        <f t="shared" si="21"/>
        <v>0.53912040755518564</v>
      </c>
      <c r="BA13" s="17">
        <f t="shared" si="22"/>
        <v>0.55589740932083065</v>
      </c>
      <c r="BB13" s="17">
        <f t="shared" si="23"/>
        <v>0.57125107998465008</v>
      </c>
    </row>
    <row r="14" spans="2:55" x14ac:dyDescent="0.25">
      <c r="B14" s="14">
        <v>15</v>
      </c>
      <c r="C14" s="158" t="s">
        <v>8</v>
      </c>
      <c r="D14" s="15">
        <v>5055331</v>
      </c>
      <c r="E14" s="15">
        <v>5090578</v>
      </c>
      <c r="F14" s="15">
        <v>5219231</v>
      </c>
      <c r="G14" s="15">
        <v>4820740</v>
      </c>
      <c r="H14" s="15">
        <v>5006679</v>
      </c>
      <c r="I14" s="15">
        <v>5355974</v>
      </c>
      <c r="J14" s="15">
        <v>5208374</v>
      </c>
      <c r="K14" s="15">
        <v>5255011</v>
      </c>
      <c r="L14" s="15">
        <v>7757945</v>
      </c>
      <c r="M14" s="15">
        <v>6556355</v>
      </c>
      <c r="N14" s="15"/>
      <c r="O14" s="15"/>
      <c r="Q14" s="15">
        <v>2546931</v>
      </c>
      <c r="R14" s="15">
        <v>2566102</v>
      </c>
      <c r="S14" s="15">
        <v>2622019</v>
      </c>
      <c r="T14" s="15">
        <v>2457831</v>
      </c>
      <c r="U14" s="15">
        <v>2538319</v>
      </c>
      <c r="V14" s="15">
        <v>2737585</v>
      </c>
      <c r="W14" s="15">
        <v>2760438</v>
      </c>
      <c r="X14" s="15">
        <v>2837811</v>
      </c>
      <c r="Y14" s="15">
        <v>5051009</v>
      </c>
      <c r="Z14" s="15">
        <v>4064939</v>
      </c>
      <c r="AA14" s="15"/>
      <c r="AB14" s="15"/>
      <c r="AD14" s="16">
        <f t="shared" si="3"/>
        <v>20185880</v>
      </c>
      <c r="AE14" s="16">
        <f t="shared" si="4"/>
        <v>20137228</v>
      </c>
      <c r="AF14" s="16">
        <f t="shared" si="5"/>
        <v>20402624</v>
      </c>
      <c r="AG14" s="16">
        <f t="shared" si="6"/>
        <v>20391767</v>
      </c>
      <c r="AH14" s="16">
        <f t="shared" si="7"/>
        <v>20826038</v>
      </c>
      <c r="AI14" s="16">
        <f t="shared" si="8"/>
        <v>23577304</v>
      </c>
      <c r="AJ14" s="16">
        <f t="shared" si="9"/>
        <v>24777685</v>
      </c>
      <c r="AK14" s="16"/>
      <c r="AM14" s="16">
        <f t="shared" si="10"/>
        <v>10192883</v>
      </c>
      <c r="AN14" s="16">
        <f t="shared" si="11"/>
        <v>10184271</v>
      </c>
      <c r="AO14" s="16">
        <f t="shared" si="12"/>
        <v>10355754</v>
      </c>
      <c r="AP14" s="16">
        <f t="shared" si="13"/>
        <v>10494173</v>
      </c>
      <c r="AQ14" s="16">
        <f t="shared" si="14"/>
        <v>10874153</v>
      </c>
      <c r="AR14" s="16">
        <f t="shared" si="15"/>
        <v>13386843</v>
      </c>
      <c r="AS14" s="16">
        <f t="shared" si="16"/>
        <v>14714197</v>
      </c>
      <c r="AT14" s="16"/>
      <c r="AV14" s="17">
        <f t="shared" si="17"/>
        <v>0.50495113415912507</v>
      </c>
      <c r="AW14" s="17">
        <f t="shared" si="18"/>
        <v>0.50574344194742193</v>
      </c>
      <c r="AX14" s="17">
        <f t="shared" si="19"/>
        <v>0.50756971260167316</v>
      </c>
      <c r="AY14" s="17">
        <f t="shared" si="20"/>
        <v>0.51462793783393068</v>
      </c>
      <c r="AZ14" s="17">
        <f t="shared" si="21"/>
        <v>0.52214218566200643</v>
      </c>
      <c r="BA14" s="17">
        <f t="shared" si="22"/>
        <v>0.56778514625760435</v>
      </c>
      <c r="BB14" s="17">
        <f t="shared" si="23"/>
        <v>0.5938487392990911</v>
      </c>
    </row>
    <row r="15" spans="2:55" x14ac:dyDescent="0.25">
      <c r="B15" s="14">
        <v>16</v>
      </c>
      <c r="C15" s="158" t="s">
        <v>9</v>
      </c>
      <c r="D15" s="15">
        <v>66312932</v>
      </c>
      <c r="E15" s="15">
        <v>24630478</v>
      </c>
      <c r="F15" s="15">
        <v>6274610</v>
      </c>
      <c r="G15" s="15">
        <v>4808173</v>
      </c>
      <c r="H15" s="15">
        <v>4734139</v>
      </c>
      <c r="I15" s="15">
        <v>4736060</v>
      </c>
      <c r="J15" s="15">
        <v>5119346</v>
      </c>
      <c r="K15" s="15">
        <v>5121784</v>
      </c>
      <c r="L15" s="15">
        <v>5391246</v>
      </c>
      <c r="M15" s="15">
        <v>7707942</v>
      </c>
      <c r="N15" s="15"/>
      <c r="O15" s="15"/>
      <c r="Q15" s="15">
        <v>34751736.590000004</v>
      </c>
      <c r="R15" s="15">
        <v>12692184.100000001</v>
      </c>
      <c r="S15" s="15">
        <v>2959466</v>
      </c>
      <c r="T15" s="15">
        <v>2129545</v>
      </c>
      <c r="U15" s="15">
        <v>2067108</v>
      </c>
      <c r="V15" s="15">
        <v>2071244</v>
      </c>
      <c r="W15" s="15">
        <v>2559677</v>
      </c>
      <c r="X15" s="15">
        <v>2612109</v>
      </c>
      <c r="Y15" s="15">
        <v>2804178</v>
      </c>
      <c r="Z15" s="15">
        <v>4408645</v>
      </c>
      <c r="AA15" s="15"/>
      <c r="AB15" s="15"/>
      <c r="AD15" s="16">
        <f t="shared" si="3"/>
        <v>102026193</v>
      </c>
      <c r="AE15" s="16">
        <f t="shared" si="4"/>
        <v>40447400</v>
      </c>
      <c r="AF15" s="16">
        <f t="shared" si="5"/>
        <v>20552982</v>
      </c>
      <c r="AG15" s="16">
        <f t="shared" si="6"/>
        <v>19397718</v>
      </c>
      <c r="AH15" s="16">
        <f t="shared" si="7"/>
        <v>19711329</v>
      </c>
      <c r="AI15" s="16">
        <f t="shared" si="8"/>
        <v>20368436</v>
      </c>
      <c r="AJ15" s="16">
        <f t="shared" si="9"/>
        <v>23340318</v>
      </c>
      <c r="AK15" s="16"/>
      <c r="AM15" s="16">
        <f t="shared" si="10"/>
        <v>52532931.690000005</v>
      </c>
      <c r="AN15" s="16">
        <f t="shared" si="11"/>
        <v>19848303.100000001</v>
      </c>
      <c r="AO15" s="16">
        <f t="shared" si="12"/>
        <v>9227363</v>
      </c>
      <c r="AP15" s="16">
        <f t="shared" si="13"/>
        <v>8827574</v>
      </c>
      <c r="AQ15" s="16">
        <f t="shared" si="14"/>
        <v>9310138</v>
      </c>
      <c r="AR15" s="16">
        <f t="shared" si="15"/>
        <v>10047208</v>
      </c>
      <c r="AS15" s="16">
        <f t="shared" si="16"/>
        <v>12384609</v>
      </c>
      <c r="AT15" s="16"/>
      <c r="AV15" s="17">
        <f t="shared" si="17"/>
        <v>0.51489651966137762</v>
      </c>
      <c r="AW15" s="17">
        <f t="shared" si="18"/>
        <v>0.49071888675168246</v>
      </c>
      <c r="AX15" s="17">
        <f t="shared" si="19"/>
        <v>0.44895494970024302</v>
      </c>
      <c r="AY15" s="17">
        <f t="shared" si="20"/>
        <v>0.4550831185400262</v>
      </c>
      <c r="AZ15" s="17">
        <f t="shared" si="21"/>
        <v>0.47232421517595286</v>
      </c>
      <c r="BA15" s="17">
        <f t="shared" si="22"/>
        <v>0.49327341578901784</v>
      </c>
      <c r="BB15" s="17">
        <f t="shared" si="23"/>
        <v>0.5306101227926715</v>
      </c>
    </row>
    <row r="16" spans="2:55" x14ac:dyDescent="0.25">
      <c r="B16" s="14">
        <v>17</v>
      </c>
      <c r="C16" s="158" t="s">
        <v>10</v>
      </c>
      <c r="D16" s="15">
        <v>10804463</v>
      </c>
      <c r="E16" s="15">
        <v>10312369</v>
      </c>
      <c r="F16" s="15">
        <v>11193099</v>
      </c>
      <c r="G16" s="15">
        <v>10528255</v>
      </c>
      <c r="H16" s="15">
        <v>10199396</v>
      </c>
      <c r="I16" s="15">
        <v>10551025</v>
      </c>
      <c r="J16" s="15">
        <v>10823308</v>
      </c>
      <c r="K16" s="15">
        <v>11851926</v>
      </c>
      <c r="L16" s="15">
        <v>13153198</v>
      </c>
      <c r="M16" s="15">
        <v>15317440</v>
      </c>
      <c r="N16" s="15"/>
      <c r="O16" s="15"/>
      <c r="Q16" s="15">
        <v>4774444</v>
      </c>
      <c r="R16" s="15">
        <v>4566094</v>
      </c>
      <c r="S16" s="15">
        <v>5001239</v>
      </c>
      <c r="T16" s="15">
        <v>4663126</v>
      </c>
      <c r="U16" s="15">
        <v>4542199</v>
      </c>
      <c r="V16" s="15">
        <v>4672402</v>
      </c>
      <c r="W16" s="15">
        <v>4989987</v>
      </c>
      <c r="X16" s="15">
        <v>5580045</v>
      </c>
      <c r="Y16" s="15">
        <v>6714977</v>
      </c>
      <c r="Z16" s="15">
        <v>7951464</v>
      </c>
      <c r="AA16" s="15"/>
      <c r="AB16" s="15"/>
      <c r="AD16" s="16">
        <f t="shared" si="3"/>
        <v>42838186</v>
      </c>
      <c r="AE16" s="16">
        <f t="shared" si="4"/>
        <v>42233119</v>
      </c>
      <c r="AF16" s="16">
        <f t="shared" si="5"/>
        <v>42471775</v>
      </c>
      <c r="AG16" s="16">
        <f t="shared" si="6"/>
        <v>42101984</v>
      </c>
      <c r="AH16" s="16">
        <f t="shared" si="7"/>
        <v>43425655</v>
      </c>
      <c r="AI16" s="16">
        <f t="shared" si="8"/>
        <v>46379457</v>
      </c>
      <c r="AJ16" s="16">
        <f t="shared" si="9"/>
        <v>51145872</v>
      </c>
      <c r="AK16" s="16"/>
      <c r="AM16" s="16">
        <f t="shared" si="10"/>
        <v>19004903</v>
      </c>
      <c r="AN16" s="16">
        <f t="shared" si="11"/>
        <v>18772658</v>
      </c>
      <c r="AO16" s="16">
        <f t="shared" si="12"/>
        <v>18878966</v>
      </c>
      <c r="AP16" s="16">
        <f t="shared" si="13"/>
        <v>18867714</v>
      </c>
      <c r="AQ16" s="16">
        <f t="shared" si="14"/>
        <v>19784633</v>
      </c>
      <c r="AR16" s="16">
        <f t="shared" si="15"/>
        <v>21957411</v>
      </c>
      <c r="AS16" s="16">
        <f t="shared" si="16"/>
        <v>25236473</v>
      </c>
      <c r="AT16" s="16"/>
      <c r="AV16" s="17">
        <f t="shared" si="17"/>
        <v>0.4436439722260882</v>
      </c>
      <c r="AW16" s="17">
        <f t="shared" si="18"/>
        <v>0.44450086672499844</v>
      </c>
      <c r="AX16" s="17">
        <f t="shared" si="19"/>
        <v>0.44450616909700619</v>
      </c>
      <c r="AY16" s="17">
        <f t="shared" si="20"/>
        <v>0.44814310888532</v>
      </c>
      <c r="AZ16" s="17">
        <f t="shared" si="21"/>
        <v>0.45559780272744305</v>
      </c>
      <c r="BA16" s="17">
        <f t="shared" si="22"/>
        <v>0.47342966951941673</v>
      </c>
      <c r="BB16" s="17">
        <f t="shared" si="23"/>
        <v>0.49342150232574</v>
      </c>
    </row>
    <row r="17" spans="2:54" x14ac:dyDescent="0.25">
      <c r="B17" s="14">
        <v>18</v>
      </c>
      <c r="C17" s="158" t="s">
        <v>11</v>
      </c>
      <c r="D17" s="15">
        <v>28463040.539999999</v>
      </c>
      <c r="E17" s="15">
        <v>28606298.93</v>
      </c>
      <c r="F17" s="15">
        <v>28841744</v>
      </c>
      <c r="G17" s="15">
        <v>27364138</v>
      </c>
      <c r="H17" s="15">
        <v>25646431</v>
      </c>
      <c r="I17" s="15">
        <v>32983895</v>
      </c>
      <c r="J17" s="15">
        <v>32554594</v>
      </c>
      <c r="K17" s="15">
        <v>33841735</v>
      </c>
      <c r="L17" s="15">
        <v>34054498</v>
      </c>
      <c r="M17" s="15">
        <v>32917025</v>
      </c>
      <c r="N17" s="15"/>
      <c r="O17" s="15"/>
      <c r="Q17" s="15">
        <v>15006873.300000001</v>
      </c>
      <c r="R17" s="15">
        <v>15144551.559999999</v>
      </c>
      <c r="S17" s="15">
        <v>15301360</v>
      </c>
      <c r="T17" s="15">
        <v>14855906</v>
      </c>
      <c r="U17" s="15">
        <v>13798265</v>
      </c>
      <c r="V17" s="15">
        <v>17819633</v>
      </c>
      <c r="W17" s="15">
        <v>17528774</v>
      </c>
      <c r="X17" s="15">
        <v>17786168</v>
      </c>
      <c r="Y17" s="15">
        <v>18028146</v>
      </c>
      <c r="Z17" s="15">
        <v>17443738</v>
      </c>
      <c r="AA17" s="15"/>
      <c r="AB17" s="15"/>
      <c r="AD17" s="16">
        <f t="shared" si="3"/>
        <v>113275221.47</v>
      </c>
      <c r="AE17" s="16">
        <f t="shared" si="4"/>
        <v>110458611.93000001</v>
      </c>
      <c r="AF17" s="16">
        <f t="shared" si="5"/>
        <v>114836208</v>
      </c>
      <c r="AG17" s="16">
        <f t="shared" si="6"/>
        <v>118549058</v>
      </c>
      <c r="AH17" s="16">
        <f t="shared" si="7"/>
        <v>125026655</v>
      </c>
      <c r="AI17" s="16">
        <f t="shared" si="8"/>
        <v>133434722</v>
      </c>
      <c r="AJ17" s="16">
        <f t="shared" si="9"/>
        <v>133367852</v>
      </c>
      <c r="AK17" s="16"/>
      <c r="AM17" s="16">
        <f t="shared" si="10"/>
        <v>60308690.859999999</v>
      </c>
      <c r="AN17" s="16">
        <f t="shared" si="11"/>
        <v>59100082.560000002</v>
      </c>
      <c r="AO17" s="16">
        <f t="shared" si="12"/>
        <v>61775164</v>
      </c>
      <c r="AP17" s="16">
        <f t="shared" si="13"/>
        <v>64002578</v>
      </c>
      <c r="AQ17" s="16">
        <f t="shared" si="14"/>
        <v>66932840</v>
      </c>
      <c r="AR17" s="16">
        <f t="shared" si="15"/>
        <v>71162721</v>
      </c>
      <c r="AS17" s="16">
        <f t="shared" si="16"/>
        <v>70786826</v>
      </c>
      <c r="AT17" s="16"/>
      <c r="AV17" s="17">
        <f t="shared" si="17"/>
        <v>0.53240850097099346</v>
      </c>
      <c r="AW17" s="17">
        <f t="shared" si="18"/>
        <v>0.53504277780942056</v>
      </c>
      <c r="AX17" s="17">
        <f t="shared" si="19"/>
        <v>0.53794151753948549</v>
      </c>
      <c r="AY17" s="17">
        <f t="shared" si="20"/>
        <v>0.539882636604333</v>
      </c>
      <c r="AZ17" s="17">
        <f t="shared" si="21"/>
        <v>0.53534856227258099</v>
      </c>
      <c r="BA17" s="17">
        <f t="shared" si="22"/>
        <v>0.53331486687550489</v>
      </c>
      <c r="BB17" s="17">
        <f t="shared" si="23"/>
        <v>0.53076378556355541</v>
      </c>
    </row>
    <row r="18" spans="2:54" x14ac:dyDescent="0.25">
      <c r="B18" s="14">
        <v>19</v>
      </c>
      <c r="C18" s="158" t="s">
        <v>12</v>
      </c>
      <c r="D18" s="15">
        <v>12336991</v>
      </c>
      <c r="E18" s="15">
        <v>11593236</v>
      </c>
      <c r="F18" s="15">
        <v>15780547</v>
      </c>
      <c r="G18" s="15">
        <v>12498694</v>
      </c>
      <c r="H18" s="15">
        <v>15298230</v>
      </c>
      <c r="I18" s="15">
        <v>14526313</v>
      </c>
      <c r="J18" s="15">
        <v>12326742</v>
      </c>
      <c r="K18" s="15">
        <v>12438767</v>
      </c>
      <c r="L18" s="15">
        <v>14596318</v>
      </c>
      <c r="M18" s="15">
        <v>13379341</v>
      </c>
      <c r="N18" s="15"/>
      <c r="O18" s="15"/>
      <c r="Q18" s="15">
        <v>6142324</v>
      </c>
      <c r="R18" s="15">
        <v>5705276</v>
      </c>
      <c r="S18" s="15">
        <v>7781529</v>
      </c>
      <c r="T18" s="15">
        <v>6208158</v>
      </c>
      <c r="U18" s="15">
        <v>7881073</v>
      </c>
      <c r="V18" s="15">
        <v>7353216</v>
      </c>
      <c r="W18" s="15">
        <v>6432706</v>
      </c>
      <c r="X18" s="15">
        <v>6343772</v>
      </c>
      <c r="Y18" s="15">
        <v>8406524</v>
      </c>
      <c r="Z18" s="15">
        <v>6835501</v>
      </c>
      <c r="AA18" s="15"/>
      <c r="AB18" s="15"/>
      <c r="AD18" s="16">
        <f t="shared" si="3"/>
        <v>52209468</v>
      </c>
      <c r="AE18" s="16">
        <f t="shared" si="4"/>
        <v>55170707</v>
      </c>
      <c r="AF18" s="16">
        <f t="shared" si="5"/>
        <v>58103784</v>
      </c>
      <c r="AG18" s="16">
        <f t="shared" si="6"/>
        <v>54649979</v>
      </c>
      <c r="AH18" s="16">
        <f t="shared" si="7"/>
        <v>54590052</v>
      </c>
      <c r="AI18" s="16">
        <f t="shared" si="8"/>
        <v>53888140</v>
      </c>
      <c r="AJ18" s="16">
        <f t="shared" si="9"/>
        <v>52741168</v>
      </c>
      <c r="AK18" s="16"/>
      <c r="AM18" s="16">
        <f t="shared" si="10"/>
        <v>25837287</v>
      </c>
      <c r="AN18" s="16">
        <f t="shared" si="11"/>
        <v>27576036</v>
      </c>
      <c r="AO18" s="16">
        <f t="shared" si="12"/>
        <v>29223976</v>
      </c>
      <c r="AP18" s="16">
        <f t="shared" si="13"/>
        <v>27875153</v>
      </c>
      <c r="AQ18" s="16">
        <f t="shared" si="14"/>
        <v>28010767</v>
      </c>
      <c r="AR18" s="16">
        <f t="shared" si="15"/>
        <v>28536218</v>
      </c>
      <c r="AS18" s="16">
        <f t="shared" si="16"/>
        <v>28018503</v>
      </c>
      <c r="AT18" s="16"/>
      <c r="AV18" s="17">
        <f t="shared" si="17"/>
        <v>0.49487742338228768</v>
      </c>
      <c r="AW18" s="17">
        <f t="shared" si="18"/>
        <v>0.4998311150879397</v>
      </c>
      <c r="AX18" s="17">
        <f t="shared" si="19"/>
        <v>0.5029616659734244</v>
      </c>
      <c r="AY18" s="17">
        <f t="shared" si="20"/>
        <v>0.5100670395500061</v>
      </c>
      <c r="AZ18" s="17">
        <f t="shared" si="21"/>
        <v>0.51311119835533403</v>
      </c>
      <c r="BA18" s="17">
        <f t="shared" si="22"/>
        <v>0.52954542502301993</v>
      </c>
      <c r="BB18" s="17">
        <f t="shared" si="23"/>
        <v>0.53124540207376525</v>
      </c>
    </row>
    <row r="19" spans="2:54" x14ac:dyDescent="0.25">
      <c r="B19" s="14">
        <v>20</v>
      </c>
      <c r="C19" s="158" t="s">
        <v>13</v>
      </c>
      <c r="D19" s="15">
        <v>7196417</v>
      </c>
      <c r="E19" s="15">
        <v>7819862</v>
      </c>
      <c r="F19" s="15">
        <v>8254431</v>
      </c>
      <c r="G19" s="15">
        <v>7200500</v>
      </c>
      <c r="H19" s="15">
        <v>9749828</v>
      </c>
      <c r="I19" s="15">
        <v>8455484</v>
      </c>
      <c r="J19" s="15">
        <v>9069268</v>
      </c>
      <c r="K19" s="15">
        <v>9552216</v>
      </c>
      <c r="L19" s="15">
        <v>10838314</v>
      </c>
      <c r="M19" s="15">
        <v>11043232</v>
      </c>
      <c r="N19" s="15"/>
      <c r="O19" s="15"/>
      <c r="Q19" s="15">
        <v>4229677</v>
      </c>
      <c r="R19" s="15">
        <v>4569181</v>
      </c>
      <c r="S19" s="15">
        <v>4821031</v>
      </c>
      <c r="T19" s="15">
        <v>4272352</v>
      </c>
      <c r="U19" s="15">
        <v>5741663</v>
      </c>
      <c r="V19" s="15">
        <v>4992564</v>
      </c>
      <c r="W19" s="15">
        <v>5621981</v>
      </c>
      <c r="X19" s="15">
        <v>6013157</v>
      </c>
      <c r="Y19" s="15">
        <v>7001124</v>
      </c>
      <c r="Z19" s="15">
        <v>8070944</v>
      </c>
      <c r="AA19" s="15"/>
      <c r="AB19" s="15"/>
      <c r="AD19" s="16">
        <f t="shared" si="3"/>
        <v>30471210</v>
      </c>
      <c r="AE19" s="16">
        <f t="shared" si="4"/>
        <v>33024621</v>
      </c>
      <c r="AF19" s="16">
        <f t="shared" si="5"/>
        <v>33660243</v>
      </c>
      <c r="AG19" s="16">
        <f t="shared" si="6"/>
        <v>34475080</v>
      </c>
      <c r="AH19" s="16">
        <f t="shared" si="7"/>
        <v>36826796</v>
      </c>
      <c r="AI19" s="16">
        <f t="shared" si="8"/>
        <v>37915282</v>
      </c>
      <c r="AJ19" s="16">
        <f t="shared" si="9"/>
        <v>40503030</v>
      </c>
      <c r="AK19" s="16"/>
      <c r="AM19" s="16">
        <f t="shared" si="10"/>
        <v>17892241</v>
      </c>
      <c r="AN19" s="16">
        <f t="shared" si="11"/>
        <v>19404227</v>
      </c>
      <c r="AO19" s="16">
        <f t="shared" si="12"/>
        <v>19827610</v>
      </c>
      <c r="AP19" s="16">
        <f t="shared" si="13"/>
        <v>20628560</v>
      </c>
      <c r="AQ19" s="16">
        <f t="shared" si="14"/>
        <v>22369365</v>
      </c>
      <c r="AR19" s="16">
        <f t="shared" si="15"/>
        <v>23628826</v>
      </c>
      <c r="AS19" s="16">
        <f t="shared" si="16"/>
        <v>26707206</v>
      </c>
      <c r="AT19" s="16"/>
      <c r="AV19" s="17">
        <f t="shared" si="17"/>
        <v>0.58718511670524409</v>
      </c>
      <c r="AW19" s="17">
        <f t="shared" si="18"/>
        <v>0.58756849927210364</v>
      </c>
      <c r="AX19" s="17">
        <f t="shared" si="19"/>
        <v>0.5890513030461485</v>
      </c>
      <c r="AY19" s="17">
        <f t="shared" si="20"/>
        <v>0.59836148313506454</v>
      </c>
      <c r="AZ19" s="17">
        <f t="shared" si="21"/>
        <v>0.60742088451028975</v>
      </c>
      <c r="BA19" s="17">
        <f t="shared" si="22"/>
        <v>0.62320058703506409</v>
      </c>
      <c r="BB19" s="17">
        <f t="shared" si="23"/>
        <v>0.65938785320505655</v>
      </c>
    </row>
    <row r="20" spans="2:54" x14ac:dyDescent="0.25">
      <c r="B20" s="14">
        <v>21</v>
      </c>
      <c r="C20" s="158" t="s">
        <v>14</v>
      </c>
      <c r="D20" s="15">
        <v>448315</v>
      </c>
      <c r="E20" s="15">
        <v>524652</v>
      </c>
      <c r="F20" s="15">
        <v>492254</v>
      </c>
      <c r="G20" s="15">
        <v>460137</v>
      </c>
      <c r="H20" s="15">
        <v>524202</v>
      </c>
      <c r="I20" s="15">
        <v>508392</v>
      </c>
      <c r="J20" s="15">
        <v>544655</v>
      </c>
      <c r="K20" s="15">
        <v>586297</v>
      </c>
      <c r="L20" s="15">
        <v>774479</v>
      </c>
      <c r="M20" s="15">
        <v>762423</v>
      </c>
      <c r="N20" s="15"/>
      <c r="O20" s="15"/>
      <c r="Q20" s="15">
        <v>301685</v>
      </c>
      <c r="R20" s="15">
        <v>356469</v>
      </c>
      <c r="S20" s="15">
        <v>334402</v>
      </c>
      <c r="T20" s="15">
        <v>306370</v>
      </c>
      <c r="U20" s="15">
        <v>343457</v>
      </c>
      <c r="V20" s="15">
        <v>323003</v>
      </c>
      <c r="W20" s="15">
        <v>359472</v>
      </c>
      <c r="X20" s="15">
        <v>392819</v>
      </c>
      <c r="Y20" s="15">
        <v>597917</v>
      </c>
      <c r="Z20" s="15">
        <v>571817</v>
      </c>
      <c r="AA20" s="15"/>
      <c r="AB20" s="15"/>
      <c r="AD20" s="16">
        <f t="shared" si="3"/>
        <v>1925358</v>
      </c>
      <c r="AE20" s="16">
        <f t="shared" si="4"/>
        <v>2001245</v>
      </c>
      <c r="AF20" s="16">
        <f t="shared" si="5"/>
        <v>1984985</v>
      </c>
      <c r="AG20" s="16">
        <f t="shared" si="6"/>
        <v>2037386</v>
      </c>
      <c r="AH20" s="16">
        <f t="shared" si="7"/>
        <v>2163546</v>
      </c>
      <c r="AI20" s="16">
        <f t="shared" si="8"/>
        <v>2413823</v>
      </c>
      <c r="AJ20" s="16">
        <f t="shared" si="9"/>
        <v>2667854</v>
      </c>
      <c r="AK20" s="16"/>
      <c r="AM20" s="16">
        <f t="shared" si="10"/>
        <v>1298926</v>
      </c>
      <c r="AN20" s="16">
        <f t="shared" si="11"/>
        <v>1340698</v>
      </c>
      <c r="AO20" s="16">
        <f t="shared" si="12"/>
        <v>1307232</v>
      </c>
      <c r="AP20" s="16">
        <f t="shared" si="13"/>
        <v>1332302</v>
      </c>
      <c r="AQ20" s="16">
        <f t="shared" si="14"/>
        <v>1418751</v>
      </c>
      <c r="AR20" s="16">
        <f t="shared" si="15"/>
        <v>1673211</v>
      </c>
      <c r="AS20" s="16">
        <f t="shared" si="16"/>
        <v>1922025</v>
      </c>
      <c r="AT20" s="16"/>
      <c r="AV20" s="17">
        <f t="shared" si="17"/>
        <v>0.6746412874904304</v>
      </c>
      <c r="AW20" s="17">
        <f t="shared" si="18"/>
        <v>0.66993196735032445</v>
      </c>
      <c r="AX20" s="17">
        <f t="shared" si="19"/>
        <v>0.65856014025294907</v>
      </c>
      <c r="AY20" s="17">
        <f t="shared" si="20"/>
        <v>0.65392713997249419</v>
      </c>
      <c r="AZ20" s="17">
        <f t="shared" si="21"/>
        <v>0.65575263941695716</v>
      </c>
      <c r="BA20" s="17">
        <f t="shared" si="22"/>
        <v>0.69317882877079218</v>
      </c>
      <c r="BB20" s="17">
        <f t="shared" si="23"/>
        <v>0.72043859971347757</v>
      </c>
    </row>
    <row r="21" spans="2:54" x14ac:dyDescent="0.25">
      <c r="B21" s="14">
        <v>22</v>
      </c>
      <c r="C21" s="158" t="s">
        <v>15</v>
      </c>
      <c r="D21" s="15">
        <v>2051580</v>
      </c>
      <c r="E21" s="15">
        <v>2186430</v>
      </c>
      <c r="F21" s="15">
        <v>2269249</v>
      </c>
      <c r="G21" s="15">
        <v>2236911</v>
      </c>
      <c r="H21" s="15">
        <v>2327368</v>
      </c>
      <c r="I21" s="15">
        <v>2466320</v>
      </c>
      <c r="J21" s="15">
        <v>2664464</v>
      </c>
      <c r="K21" s="15">
        <v>3563683</v>
      </c>
      <c r="L21" s="15">
        <v>3272995</v>
      </c>
      <c r="M21" s="15">
        <v>3358404</v>
      </c>
      <c r="N21" s="15"/>
      <c r="O21" s="15"/>
      <c r="Q21" s="15">
        <v>1056305</v>
      </c>
      <c r="R21" s="15">
        <v>1123231</v>
      </c>
      <c r="S21" s="15">
        <v>1170652</v>
      </c>
      <c r="T21" s="15">
        <v>1127430</v>
      </c>
      <c r="U21" s="15">
        <v>1176392</v>
      </c>
      <c r="V21" s="15">
        <v>1262188</v>
      </c>
      <c r="W21" s="15">
        <v>1431717</v>
      </c>
      <c r="X21" s="15">
        <v>1977765</v>
      </c>
      <c r="Y21" s="15">
        <v>1882216</v>
      </c>
      <c r="Z21" s="15">
        <v>2524250</v>
      </c>
      <c r="AA21" s="15"/>
      <c r="AB21" s="15"/>
      <c r="AD21" s="16">
        <f t="shared" si="3"/>
        <v>8744170</v>
      </c>
      <c r="AE21" s="16">
        <f t="shared" si="4"/>
        <v>9019958</v>
      </c>
      <c r="AF21" s="16">
        <f t="shared" si="5"/>
        <v>9299848</v>
      </c>
      <c r="AG21" s="16">
        <f t="shared" si="6"/>
        <v>9695063</v>
      </c>
      <c r="AH21" s="16">
        <f t="shared" si="7"/>
        <v>11021835</v>
      </c>
      <c r="AI21" s="16">
        <f t="shared" si="8"/>
        <v>11967462</v>
      </c>
      <c r="AJ21" s="16">
        <f t="shared" si="9"/>
        <v>12859546</v>
      </c>
      <c r="AK21" s="16"/>
      <c r="AM21" s="16">
        <f t="shared" si="10"/>
        <v>4477618</v>
      </c>
      <c r="AN21" s="16">
        <f t="shared" si="11"/>
        <v>4597705</v>
      </c>
      <c r="AO21" s="16">
        <f t="shared" si="12"/>
        <v>4736662</v>
      </c>
      <c r="AP21" s="16">
        <f t="shared" si="13"/>
        <v>4997727</v>
      </c>
      <c r="AQ21" s="16">
        <f t="shared" si="14"/>
        <v>5848062</v>
      </c>
      <c r="AR21" s="16">
        <f t="shared" si="15"/>
        <v>6553886</v>
      </c>
      <c r="AS21" s="16">
        <f t="shared" si="16"/>
        <v>7815948</v>
      </c>
      <c r="AT21" s="16"/>
      <c r="AV21" s="17">
        <f t="shared" si="17"/>
        <v>0.51206895565845589</v>
      </c>
      <c r="AW21" s="17">
        <f t="shared" si="18"/>
        <v>0.50972576590711394</v>
      </c>
      <c r="AX21" s="17">
        <f t="shared" si="19"/>
        <v>0.50932681910500044</v>
      </c>
      <c r="AY21" s="17">
        <f t="shared" si="20"/>
        <v>0.51549195709197559</v>
      </c>
      <c r="AZ21" s="17">
        <f t="shared" si="21"/>
        <v>0.53058878126918063</v>
      </c>
      <c r="BA21" s="17">
        <f t="shared" si="22"/>
        <v>0.54764209821597931</v>
      </c>
      <c r="BB21" s="17">
        <f t="shared" si="23"/>
        <v>0.60779346331511241</v>
      </c>
    </row>
    <row r="22" spans="2:54" x14ac:dyDescent="0.25">
      <c r="B22" s="14">
        <v>23</v>
      </c>
      <c r="C22" s="158" t="s">
        <v>16</v>
      </c>
      <c r="D22" s="15">
        <v>11384724</v>
      </c>
      <c r="E22" s="15">
        <v>10981629</v>
      </c>
      <c r="F22" s="15">
        <v>14361550</v>
      </c>
      <c r="G22" s="15">
        <v>15960753</v>
      </c>
      <c r="H22" s="15">
        <v>12022664</v>
      </c>
      <c r="I22" s="15">
        <v>9989219</v>
      </c>
      <c r="J22" s="15">
        <v>9460042</v>
      </c>
      <c r="K22" s="15">
        <v>11126763</v>
      </c>
      <c r="L22" s="15">
        <v>13271483</v>
      </c>
      <c r="M22" s="15">
        <v>13506734</v>
      </c>
      <c r="N22" s="15"/>
      <c r="O22" s="15"/>
      <c r="Q22" s="15">
        <v>5497269</v>
      </c>
      <c r="R22" s="15">
        <v>5273107</v>
      </c>
      <c r="S22" s="15">
        <v>7178248</v>
      </c>
      <c r="T22" s="15">
        <v>8073316</v>
      </c>
      <c r="U22" s="15">
        <v>5862453</v>
      </c>
      <c r="V22" s="15">
        <v>4792880</v>
      </c>
      <c r="W22" s="15">
        <v>4825706</v>
      </c>
      <c r="X22" s="15">
        <v>5785918</v>
      </c>
      <c r="Y22" s="15">
        <v>7033888</v>
      </c>
      <c r="Z22" s="15">
        <v>7428706</v>
      </c>
      <c r="AA22" s="15"/>
      <c r="AB22" s="15"/>
      <c r="AD22" s="16">
        <f t="shared" si="3"/>
        <v>52688656</v>
      </c>
      <c r="AE22" s="16">
        <f t="shared" si="4"/>
        <v>53326596</v>
      </c>
      <c r="AF22" s="16">
        <f t="shared" si="5"/>
        <v>52334186</v>
      </c>
      <c r="AG22" s="16">
        <f t="shared" si="6"/>
        <v>47432678</v>
      </c>
      <c r="AH22" s="16">
        <f t="shared" si="7"/>
        <v>42598688</v>
      </c>
      <c r="AI22" s="16">
        <f t="shared" si="8"/>
        <v>43847507</v>
      </c>
      <c r="AJ22" s="16">
        <f t="shared" si="9"/>
        <v>47365022</v>
      </c>
      <c r="AK22" s="16"/>
      <c r="AM22" s="16">
        <f t="shared" si="10"/>
        <v>26021940</v>
      </c>
      <c r="AN22" s="16">
        <f t="shared" si="11"/>
        <v>26387124</v>
      </c>
      <c r="AO22" s="16">
        <f t="shared" si="12"/>
        <v>25906897</v>
      </c>
      <c r="AP22" s="16">
        <f t="shared" si="13"/>
        <v>23554355</v>
      </c>
      <c r="AQ22" s="16">
        <f t="shared" si="14"/>
        <v>21266957</v>
      </c>
      <c r="AR22" s="16">
        <f t="shared" si="15"/>
        <v>22438392</v>
      </c>
      <c r="AS22" s="16">
        <f t="shared" si="16"/>
        <v>25074218</v>
      </c>
      <c r="AT22" s="16"/>
      <c r="AV22" s="17">
        <f t="shared" si="17"/>
        <v>0.49388126354940615</v>
      </c>
      <c r="AW22" s="17">
        <f t="shared" si="18"/>
        <v>0.49482108327334451</v>
      </c>
      <c r="AX22" s="17">
        <f t="shared" si="19"/>
        <v>0.4950281829166121</v>
      </c>
      <c r="AY22" s="17">
        <f t="shared" si="20"/>
        <v>0.49658497038687127</v>
      </c>
      <c r="AZ22" s="17">
        <f t="shared" si="21"/>
        <v>0.49923971836879105</v>
      </c>
      <c r="BA22" s="17">
        <f t="shared" si="22"/>
        <v>0.51173700707773417</v>
      </c>
      <c r="BB22" s="17">
        <f t="shared" si="23"/>
        <v>0.52938258954044193</v>
      </c>
    </row>
    <row r="23" spans="2:54" x14ac:dyDescent="0.25">
      <c r="B23" s="14">
        <v>24</v>
      </c>
      <c r="C23" s="158" t="s">
        <v>17</v>
      </c>
      <c r="D23" s="15">
        <v>15018617</v>
      </c>
      <c r="E23" s="15">
        <v>17713396</v>
      </c>
      <c r="F23" s="15">
        <v>13350578</v>
      </c>
      <c r="G23" s="15">
        <v>15074410</v>
      </c>
      <c r="H23" s="15">
        <v>17294297</v>
      </c>
      <c r="I23" s="15">
        <v>20970653</v>
      </c>
      <c r="J23" s="15">
        <v>15147241</v>
      </c>
      <c r="K23" s="15">
        <v>15187584</v>
      </c>
      <c r="L23" s="15">
        <v>66004569</v>
      </c>
      <c r="M23" s="15">
        <v>32699754</v>
      </c>
      <c r="N23" s="15"/>
      <c r="O23" s="15"/>
      <c r="Q23" s="15">
        <v>7066218</v>
      </c>
      <c r="R23" s="15">
        <v>8453983</v>
      </c>
      <c r="S23" s="15">
        <v>6155693</v>
      </c>
      <c r="T23" s="15">
        <v>6856299</v>
      </c>
      <c r="U23" s="15">
        <v>7866900</v>
      </c>
      <c r="V23" s="15">
        <v>9862387</v>
      </c>
      <c r="W23" s="15">
        <v>7121664</v>
      </c>
      <c r="X23" s="15">
        <v>7372613</v>
      </c>
      <c r="Y23" s="15">
        <v>34100060</v>
      </c>
      <c r="Z23" s="15">
        <v>16903682</v>
      </c>
      <c r="AA23" s="15"/>
      <c r="AB23" s="15"/>
      <c r="AD23" s="16">
        <f t="shared" si="3"/>
        <v>61157001</v>
      </c>
      <c r="AE23" s="16">
        <f t="shared" si="4"/>
        <v>63432681</v>
      </c>
      <c r="AF23" s="16">
        <f t="shared" si="5"/>
        <v>66689938</v>
      </c>
      <c r="AG23" s="16">
        <f t="shared" si="6"/>
        <v>68486601</v>
      </c>
      <c r="AH23" s="16">
        <f t="shared" si="7"/>
        <v>68599775</v>
      </c>
      <c r="AI23" s="16">
        <f t="shared" si="8"/>
        <v>117310047</v>
      </c>
      <c r="AJ23" s="16">
        <f t="shared" si="9"/>
        <v>129039148</v>
      </c>
      <c r="AK23" s="16"/>
      <c r="AM23" s="16">
        <f t="shared" si="10"/>
        <v>28532193</v>
      </c>
      <c r="AN23" s="16">
        <f t="shared" si="11"/>
        <v>29332875</v>
      </c>
      <c r="AO23" s="16">
        <f t="shared" si="12"/>
        <v>30741279</v>
      </c>
      <c r="AP23" s="16">
        <f t="shared" si="13"/>
        <v>31707250</v>
      </c>
      <c r="AQ23" s="16">
        <f t="shared" si="14"/>
        <v>32223564</v>
      </c>
      <c r="AR23" s="16">
        <f t="shared" si="15"/>
        <v>58456724</v>
      </c>
      <c r="AS23" s="16">
        <f t="shared" si="16"/>
        <v>65498019</v>
      </c>
      <c r="AT23" s="16"/>
      <c r="AV23" s="17">
        <f t="shared" si="17"/>
        <v>0.46654009407688257</v>
      </c>
      <c r="AW23" s="17">
        <f t="shared" si="18"/>
        <v>0.46242527570291408</v>
      </c>
      <c r="AX23" s="17">
        <f t="shared" si="19"/>
        <v>0.46095827829379599</v>
      </c>
      <c r="AY23" s="17">
        <f t="shared" si="20"/>
        <v>0.46297012170307589</v>
      </c>
      <c r="AZ23" s="17">
        <f t="shared" si="21"/>
        <v>0.46973279431310089</v>
      </c>
      <c r="BA23" s="17">
        <f t="shared" si="22"/>
        <v>0.4983096119635857</v>
      </c>
      <c r="BB23" s="17">
        <f t="shared" si="23"/>
        <v>0.5075825438649052</v>
      </c>
    </row>
    <row r="24" spans="2:54" x14ac:dyDescent="0.25">
      <c r="B24" s="14">
        <v>25</v>
      </c>
      <c r="C24" s="158" t="s">
        <v>18</v>
      </c>
      <c r="D24" s="15">
        <v>12537386</v>
      </c>
      <c r="E24" s="15">
        <v>13939226</v>
      </c>
      <c r="F24" s="15">
        <v>15242102</v>
      </c>
      <c r="G24" s="15">
        <v>13405687</v>
      </c>
      <c r="H24" s="15">
        <v>15107964</v>
      </c>
      <c r="I24" s="15">
        <v>13408863</v>
      </c>
      <c r="J24" s="15">
        <v>13772568</v>
      </c>
      <c r="K24" s="15">
        <v>16187961</v>
      </c>
      <c r="L24" s="15">
        <v>25571416</v>
      </c>
      <c r="M24" s="15">
        <v>23141852</v>
      </c>
      <c r="N24" s="15"/>
      <c r="O24" s="15"/>
      <c r="Q24" s="15">
        <v>5723334</v>
      </c>
      <c r="R24" s="15">
        <v>6416157</v>
      </c>
      <c r="S24" s="15">
        <v>7170962</v>
      </c>
      <c r="T24" s="15">
        <v>6304407</v>
      </c>
      <c r="U24" s="15">
        <v>7144295</v>
      </c>
      <c r="V24" s="15">
        <v>6301166</v>
      </c>
      <c r="W24" s="15">
        <v>6748558</v>
      </c>
      <c r="X24" s="15">
        <v>8093982</v>
      </c>
      <c r="Y24" s="15">
        <v>13041423</v>
      </c>
      <c r="Z24" s="15">
        <v>11802344</v>
      </c>
      <c r="AA24" s="15"/>
      <c r="AB24" s="15"/>
      <c r="AD24" s="16">
        <f t="shared" si="3"/>
        <v>55124401</v>
      </c>
      <c r="AE24" s="16">
        <f t="shared" si="4"/>
        <v>57694979</v>
      </c>
      <c r="AF24" s="16">
        <f t="shared" si="5"/>
        <v>57164616</v>
      </c>
      <c r="AG24" s="16">
        <f t="shared" si="6"/>
        <v>55695082</v>
      </c>
      <c r="AH24" s="16">
        <f t="shared" si="7"/>
        <v>58477356</v>
      </c>
      <c r="AI24" s="16">
        <f t="shared" si="8"/>
        <v>68940808</v>
      </c>
      <c r="AJ24" s="16">
        <f t="shared" si="9"/>
        <v>78673797</v>
      </c>
      <c r="AK24" s="16"/>
      <c r="AM24" s="16">
        <f t="shared" si="10"/>
        <v>25614860</v>
      </c>
      <c r="AN24" s="16">
        <f t="shared" si="11"/>
        <v>27035821</v>
      </c>
      <c r="AO24" s="16">
        <f t="shared" si="12"/>
        <v>26920830</v>
      </c>
      <c r="AP24" s="16">
        <f t="shared" si="13"/>
        <v>26498426</v>
      </c>
      <c r="AQ24" s="16">
        <f t="shared" si="14"/>
        <v>28288001</v>
      </c>
      <c r="AR24" s="16">
        <f t="shared" si="15"/>
        <v>34185129</v>
      </c>
      <c r="AS24" s="16">
        <f t="shared" si="16"/>
        <v>39686307</v>
      </c>
      <c r="AT24" s="16"/>
      <c r="AV24" s="17">
        <f t="shared" si="17"/>
        <v>0.46467371137511315</v>
      </c>
      <c r="AW24" s="17">
        <f t="shared" si="18"/>
        <v>0.4685991999407782</v>
      </c>
      <c r="AX24" s="17">
        <f t="shared" si="19"/>
        <v>0.47093520229367064</v>
      </c>
      <c r="AY24" s="17">
        <f t="shared" si="20"/>
        <v>0.47577676607065594</v>
      </c>
      <c r="AZ24" s="17">
        <f t="shared" si="21"/>
        <v>0.48374281833125288</v>
      </c>
      <c r="BA24" s="17">
        <f t="shared" si="22"/>
        <v>0.495862029931532</v>
      </c>
      <c r="BB24" s="17">
        <f t="shared" si="23"/>
        <v>0.5044412309221582</v>
      </c>
    </row>
    <row r="25" spans="2:54" x14ac:dyDescent="0.25">
      <c r="B25" s="14">
        <v>26</v>
      </c>
      <c r="C25" s="158" t="s">
        <v>216</v>
      </c>
      <c r="D25" s="15">
        <v>8927289</v>
      </c>
      <c r="E25" s="15">
        <v>11988632</v>
      </c>
      <c r="F25" s="15">
        <v>8462308</v>
      </c>
      <c r="G25" s="15">
        <v>9308508</v>
      </c>
      <c r="H25" s="15">
        <v>9171396</v>
      </c>
      <c r="I25" s="15">
        <v>9805440</v>
      </c>
      <c r="J25" s="15">
        <v>10195589</v>
      </c>
      <c r="K25" s="15">
        <v>9472692</v>
      </c>
      <c r="L25" s="15">
        <v>13745196</v>
      </c>
      <c r="M25" s="15">
        <v>11406856</v>
      </c>
      <c r="N25" s="15"/>
      <c r="O25" s="15"/>
      <c r="Q25" s="15">
        <v>4611963</v>
      </c>
      <c r="R25" s="15">
        <v>6705604</v>
      </c>
      <c r="S25" s="15">
        <v>4672828</v>
      </c>
      <c r="T25" s="15">
        <v>5124234</v>
      </c>
      <c r="U25" s="15">
        <v>4518497</v>
      </c>
      <c r="V25" s="15">
        <v>4970090</v>
      </c>
      <c r="W25" s="15">
        <v>5488952</v>
      </c>
      <c r="X25" s="15">
        <v>5118836</v>
      </c>
      <c r="Y25" s="15">
        <v>7952644</v>
      </c>
      <c r="Z25" s="15">
        <v>7504338</v>
      </c>
      <c r="AA25" s="15"/>
      <c r="AB25" s="15"/>
      <c r="AD25" s="16">
        <f t="shared" si="3"/>
        <v>38686737</v>
      </c>
      <c r="AE25" s="16">
        <f t="shared" si="4"/>
        <v>38930844</v>
      </c>
      <c r="AF25" s="16">
        <f t="shared" si="5"/>
        <v>36747652</v>
      </c>
      <c r="AG25" s="16">
        <f t="shared" si="6"/>
        <v>38480933</v>
      </c>
      <c r="AH25" s="16">
        <f t="shared" si="7"/>
        <v>38645117</v>
      </c>
      <c r="AI25" s="16">
        <f t="shared" si="8"/>
        <v>43218917</v>
      </c>
      <c r="AJ25" s="16">
        <f t="shared" si="9"/>
        <v>44820333</v>
      </c>
      <c r="AK25" s="16"/>
      <c r="AM25" s="16">
        <f t="shared" si="10"/>
        <v>21114629</v>
      </c>
      <c r="AN25" s="16">
        <f t="shared" si="11"/>
        <v>21021163</v>
      </c>
      <c r="AO25" s="16">
        <f t="shared" si="12"/>
        <v>19285649</v>
      </c>
      <c r="AP25" s="16">
        <f t="shared" si="13"/>
        <v>20101773</v>
      </c>
      <c r="AQ25" s="16">
        <f t="shared" si="14"/>
        <v>20096375</v>
      </c>
      <c r="AR25" s="16">
        <f t="shared" si="15"/>
        <v>23530522</v>
      </c>
      <c r="AS25" s="16">
        <f t="shared" si="16"/>
        <v>26064770</v>
      </c>
      <c r="AT25" s="16"/>
      <c r="AV25" s="17">
        <f t="shared" si="17"/>
        <v>0.54578469618670611</v>
      </c>
      <c r="AW25" s="17">
        <f t="shared" si="18"/>
        <v>0.53996165610999858</v>
      </c>
      <c r="AX25" s="17">
        <f t="shared" si="19"/>
        <v>0.52481309554145117</v>
      </c>
      <c r="AY25" s="17">
        <f t="shared" si="20"/>
        <v>0.52238268235336183</v>
      </c>
      <c r="AZ25" s="17">
        <f t="shared" si="21"/>
        <v>0.52002365525248639</v>
      </c>
      <c r="BA25" s="17">
        <f t="shared" si="22"/>
        <v>0.54444959830899975</v>
      </c>
      <c r="BB25" s="17">
        <f t="shared" si="23"/>
        <v>0.58153896357708901</v>
      </c>
    </row>
    <row r="26" spans="2:54" x14ac:dyDescent="0.25">
      <c r="B26" s="14">
        <v>27</v>
      </c>
      <c r="C26" s="158" t="s">
        <v>19</v>
      </c>
      <c r="D26" s="15">
        <v>20645971</v>
      </c>
      <c r="E26" s="15">
        <v>20840655</v>
      </c>
      <c r="F26" s="15">
        <v>21037196</v>
      </c>
      <c r="G26" s="15">
        <v>19495218</v>
      </c>
      <c r="H26" s="15">
        <v>20650107</v>
      </c>
      <c r="I26" s="15">
        <v>21154085</v>
      </c>
      <c r="J26" s="15">
        <v>20581131</v>
      </c>
      <c r="K26" s="15">
        <v>20972778</v>
      </c>
      <c r="L26" s="15">
        <v>21303434</v>
      </c>
      <c r="M26" s="15">
        <v>28996939</v>
      </c>
      <c r="N26" s="15"/>
      <c r="O26" s="15"/>
      <c r="Q26" s="15">
        <v>12432470</v>
      </c>
      <c r="R26" s="15">
        <v>12497611</v>
      </c>
      <c r="S26" s="15">
        <v>12552318</v>
      </c>
      <c r="T26" s="15">
        <v>11416524</v>
      </c>
      <c r="U26" s="15">
        <v>12109288</v>
      </c>
      <c r="V26" s="15">
        <v>12400973</v>
      </c>
      <c r="W26" s="15">
        <v>12588355</v>
      </c>
      <c r="X26" s="15">
        <v>13037546</v>
      </c>
      <c r="Y26" s="15">
        <v>13516070</v>
      </c>
      <c r="Z26" s="15">
        <v>19811946</v>
      </c>
      <c r="AA26" s="15"/>
      <c r="AB26" s="15"/>
      <c r="AD26" s="16">
        <f t="shared" si="3"/>
        <v>82019040</v>
      </c>
      <c r="AE26" s="16">
        <f t="shared" si="4"/>
        <v>82023176</v>
      </c>
      <c r="AF26" s="16">
        <f t="shared" si="5"/>
        <v>82336606</v>
      </c>
      <c r="AG26" s="16">
        <f t="shared" si="6"/>
        <v>81880541</v>
      </c>
      <c r="AH26" s="16">
        <f t="shared" si="7"/>
        <v>83358101</v>
      </c>
      <c r="AI26" s="16">
        <f t="shared" si="8"/>
        <v>84011428</v>
      </c>
      <c r="AJ26" s="16">
        <f t="shared" si="9"/>
        <v>91854282</v>
      </c>
      <c r="AK26" s="16"/>
      <c r="AM26" s="16">
        <f t="shared" si="10"/>
        <v>48898923</v>
      </c>
      <c r="AN26" s="16">
        <f t="shared" si="11"/>
        <v>48575741</v>
      </c>
      <c r="AO26" s="16">
        <f t="shared" si="12"/>
        <v>48479103</v>
      </c>
      <c r="AP26" s="16">
        <f t="shared" si="13"/>
        <v>48515140</v>
      </c>
      <c r="AQ26" s="16">
        <f t="shared" si="14"/>
        <v>50136162</v>
      </c>
      <c r="AR26" s="16">
        <f t="shared" si="15"/>
        <v>51542944</v>
      </c>
      <c r="AS26" s="16">
        <f t="shared" si="16"/>
        <v>58953917</v>
      </c>
      <c r="AT26" s="16"/>
      <c r="AV26" s="17">
        <f t="shared" si="17"/>
        <v>0.59618989688247992</v>
      </c>
      <c r="AW26" s="17">
        <f t="shared" si="18"/>
        <v>0.5922197038554079</v>
      </c>
      <c r="AX26" s="17">
        <f t="shared" si="19"/>
        <v>0.58879161232368504</v>
      </c>
      <c r="AY26" s="17">
        <f t="shared" si="20"/>
        <v>0.5925112292553123</v>
      </c>
      <c r="AZ26" s="17">
        <f t="shared" si="21"/>
        <v>0.60145518430176326</v>
      </c>
      <c r="BA26" s="17">
        <f t="shared" si="22"/>
        <v>0.61352300784602776</v>
      </c>
      <c r="BB26" s="17">
        <f t="shared" si="23"/>
        <v>0.64182001879890582</v>
      </c>
    </row>
    <row r="27" spans="2:54" x14ac:dyDescent="0.25">
      <c r="B27" s="14">
        <v>28</v>
      </c>
      <c r="C27" s="158" t="s">
        <v>20</v>
      </c>
      <c r="D27" s="15">
        <v>9422754</v>
      </c>
      <c r="E27" s="15">
        <v>11229752</v>
      </c>
      <c r="F27" s="15">
        <v>11093361</v>
      </c>
      <c r="G27" s="15">
        <v>7218124</v>
      </c>
      <c r="H27" s="15">
        <v>10437540</v>
      </c>
      <c r="I27" s="15">
        <v>13830232</v>
      </c>
      <c r="J27" s="15">
        <v>10378287</v>
      </c>
      <c r="K27" s="15">
        <v>11067236</v>
      </c>
      <c r="L27" s="15">
        <v>11025443</v>
      </c>
      <c r="M27" s="15">
        <v>10529917</v>
      </c>
      <c r="N27" s="15"/>
      <c r="O27" s="15"/>
      <c r="Q27" s="15">
        <v>5471731</v>
      </c>
      <c r="R27" s="15">
        <v>6559227</v>
      </c>
      <c r="S27" s="15">
        <v>6398053</v>
      </c>
      <c r="T27" s="15">
        <v>4211218</v>
      </c>
      <c r="U27" s="15">
        <v>6136748</v>
      </c>
      <c r="V27" s="15">
        <v>8079729</v>
      </c>
      <c r="W27" s="15">
        <v>6226972</v>
      </c>
      <c r="X27" s="15">
        <v>6640341</v>
      </c>
      <c r="Y27" s="15">
        <v>6615267</v>
      </c>
      <c r="Z27" s="15">
        <v>6317949</v>
      </c>
      <c r="AA27" s="15"/>
      <c r="AB27" s="15"/>
      <c r="AD27" s="16">
        <f t="shared" si="3"/>
        <v>38963991</v>
      </c>
      <c r="AE27" s="16">
        <f t="shared" si="4"/>
        <v>39978777</v>
      </c>
      <c r="AF27" s="16">
        <f t="shared" si="5"/>
        <v>42579257</v>
      </c>
      <c r="AG27" s="16">
        <f t="shared" si="6"/>
        <v>41864183</v>
      </c>
      <c r="AH27" s="16">
        <f t="shared" si="7"/>
        <v>45713295</v>
      </c>
      <c r="AI27" s="16">
        <f t="shared" si="8"/>
        <v>46301198</v>
      </c>
      <c r="AJ27" s="16">
        <f t="shared" si="9"/>
        <v>43000883</v>
      </c>
      <c r="AK27" s="16"/>
      <c r="AM27" s="16">
        <f t="shared" si="10"/>
        <v>22640229</v>
      </c>
      <c r="AN27" s="16">
        <f t="shared" si="11"/>
        <v>23305246</v>
      </c>
      <c r="AO27" s="16">
        <f t="shared" si="12"/>
        <v>24825748</v>
      </c>
      <c r="AP27" s="16">
        <f t="shared" si="13"/>
        <v>24654667</v>
      </c>
      <c r="AQ27" s="16">
        <f t="shared" si="14"/>
        <v>27083790</v>
      </c>
      <c r="AR27" s="16">
        <f t="shared" si="15"/>
        <v>27562309</v>
      </c>
      <c r="AS27" s="16">
        <f t="shared" si="16"/>
        <v>25800529</v>
      </c>
      <c r="AT27" s="16"/>
      <c r="AV27" s="17">
        <f t="shared" si="17"/>
        <v>0.58105518502968545</v>
      </c>
      <c r="AW27" s="17">
        <f t="shared" si="18"/>
        <v>0.58294044362587683</v>
      </c>
      <c r="AX27" s="17">
        <f t="shared" si="19"/>
        <v>0.58304793810751554</v>
      </c>
      <c r="AY27" s="17">
        <f t="shared" si="20"/>
        <v>0.58892029494520415</v>
      </c>
      <c r="AZ27" s="17">
        <f t="shared" si="21"/>
        <v>0.59247074620195284</v>
      </c>
      <c r="BA27" s="17">
        <f t="shared" si="22"/>
        <v>0.59528284775698459</v>
      </c>
      <c r="BB27" s="17">
        <f t="shared" si="23"/>
        <v>0.59999998139573085</v>
      </c>
    </row>
    <row r="28" spans="2:54" x14ac:dyDescent="0.25">
      <c r="B28" s="14">
        <v>29</v>
      </c>
      <c r="C28" s="158" t="s">
        <v>21</v>
      </c>
      <c r="D28" s="15">
        <v>18069680</v>
      </c>
      <c r="E28" s="15">
        <v>21167653</v>
      </c>
      <c r="F28" s="15">
        <v>19550790</v>
      </c>
      <c r="G28" s="15">
        <v>16962625</v>
      </c>
      <c r="H28" s="15">
        <v>19224300</v>
      </c>
      <c r="I28" s="15">
        <v>23068113</v>
      </c>
      <c r="J28" s="15">
        <v>23474813</v>
      </c>
      <c r="K28" s="15">
        <v>28689014</v>
      </c>
      <c r="L28" s="15">
        <v>30058522</v>
      </c>
      <c r="M28" s="15">
        <v>29249944</v>
      </c>
      <c r="N28" s="15"/>
      <c r="O28" s="15"/>
      <c r="Q28" s="15">
        <v>9613370</v>
      </c>
      <c r="R28" s="15">
        <v>11461557</v>
      </c>
      <c r="S28" s="15">
        <v>10525129</v>
      </c>
      <c r="T28" s="15">
        <v>8919386</v>
      </c>
      <c r="U28" s="15">
        <v>10180927</v>
      </c>
      <c r="V28" s="15">
        <v>12465521</v>
      </c>
      <c r="W28" s="15">
        <v>12874914</v>
      </c>
      <c r="X28" s="15">
        <v>16034159</v>
      </c>
      <c r="Y28" s="15">
        <v>17130403</v>
      </c>
      <c r="Z28" s="15">
        <v>16811779</v>
      </c>
      <c r="AA28" s="15"/>
      <c r="AB28" s="15"/>
      <c r="AD28" s="16">
        <f t="shared" si="3"/>
        <v>75750748</v>
      </c>
      <c r="AE28" s="16">
        <f t="shared" si="4"/>
        <v>76905368</v>
      </c>
      <c r="AF28" s="16">
        <f t="shared" si="5"/>
        <v>78805828</v>
      </c>
      <c r="AG28" s="16">
        <f t="shared" si="6"/>
        <v>82729851</v>
      </c>
      <c r="AH28" s="16">
        <f t="shared" si="7"/>
        <v>94456240</v>
      </c>
      <c r="AI28" s="16">
        <f t="shared" si="8"/>
        <v>105290462</v>
      </c>
      <c r="AJ28" s="16">
        <f t="shared" si="9"/>
        <v>111472293</v>
      </c>
      <c r="AK28" s="16"/>
      <c r="AM28" s="16">
        <f t="shared" si="10"/>
        <v>40519442</v>
      </c>
      <c r="AN28" s="16">
        <f t="shared" si="11"/>
        <v>41086999</v>
      </c>
      <c r="AO28" s="16">
        <f t="shared" si="12"/>
        <v>42090963</v>
      </c>
      <c r="AP28" s="16">
        <f t="shared" si="13"/>
        <v>44440748</v>
      </c>
      <c r="AQ28" s="16">
        <f t="shared" si="14"/>
        <v>51555521</v>
      </c>
      <c r="AR28" s="16">
        <f t="shared" si="15"/>
        <v>58504997</v>
      </c>
      <c r="AS28" s="16">
        <f t="shared" si="16"/>
        <v>62851255</v>
      </c>
      <c r="AT28" s="16"/>
      <c r="AV28" s="17">
        <f t="shared" si="17"/>
        <v>0.53490484344788247</v>
      </c>
      <c r="AW28" s="17">
        <f t="shared" si="18"/>
        <v>0.53425398081444719</v>
      </c>
      <c r="AX28" s="17">
        <f t="shared" si="19"/>
        <v>0.53410977421619121</v>
      </c>
      <c r="AY28" s="17">
        <f t="shared" si="20"/>
        <v>0.53717911325622958</v>
      </c>
      <c r="AZ28" s="17">
        <f t="shared" si="21"/>
        <v>0.54581381812360941</v>
      </c>
      <c r="BA28" s="17">
        <f t="shared" si="22"/>
        <v>0.55565334113549625</v>
      </c>
      <c r="BB28" s="17">
        <f t="shared" si="23"/>
        <v>0.56382849323822559</v>
      </c>
    </row>
    <row r="29" spans="2:54" x14ac:dyDescent="0.25">
      <c r="B29" s="14">
        <v>30</v>
      </c>
      <c r="C29" s="158" t="s">
        <v>22</v>
      </c>
      <c r="D29" s="15">
        <v>6329133</v>
      </c>
      <c r="E29" s="15">
        <v>5961098</v>
      </c>
      <c r="F29" s="15">
        <v>7730184</v>
      </c>
      <c r="G29" s="15">
        <v>6151700</v>
      </c>
      <c r="H29" s="15">
        <v>6608485</v>
      </c>
      <c r="I29" s="15">
        <v>6965454</v>
      </c>
      <c r="J29" s="15">
        <v>7757586</v>
      </c>
      <c r="K29" s="15">
        <v>8228220</v>
      </c>
      <c r="L29" s="15">
        <v>9989031</v>
      </c>
      <c r="M29" s="15">
        <v>10699785</v>
      </c>
      <c r="N29" s="15"/>
      <c r="O29" s="15"/>
      <c r="Q29" s="15">
        <v>3110665</v>
      </c>
      <c r="R29" s="15">
        <v>2934831</v>
      </c>
      <c r="S29" s="15">
        <v>3788206</v>
      </c>
      <c r="T29" s="15">
        <v>2996001</v>
      </c>
      <c r="U29" s="15">
        <v>3202029</v>
      </c>
      <c r="V29" s="15">
        <v>3373375</v>
      </c>
      <c r="W29" s="15">
        <v>3956368</v>
      </c>
      <c r="X29" s="15">
        <v>4196392</v>
      </c>
      <c r="Y29" s="15">
        <v>5094407</v>
      </c>
      <c r="Z29" s="15">
        <v>5943127</v>
      </c>
      <c r="AA29" s="15"/>
      <c r="AB29" s="15"/>
      <c r="AD29" s="16">
        <f t="shared" si="3"/>
        <v>26172115</v>
      </c>
      <c r="AE29" s="16">
        <f t="shared" si="4"/>
        <v>26451467</v>
      </c>
      <c r="AF29" s="16">
        <f t="shared" si="5"/>
        <v>27455823</v>
      </c>
      <c r="AG29" s="16">
        <f t="shared" si="6"/>
        <v>27483225</v>
      </c>
      <c r="AH29" s="16">
        <f t="shared" si="7"/>
        <v>29559745</v>
      </c>
      <c r="AI29" s="16">
        <f t="shared" si="8"/>
        <v>32940291</v>
      </c>
      <c r="AJ29" s="16">
        <f t="shared" si="9"/>
        <v>36674622</v>
      </c>
      <c r="AK29" s="16"/>
      <c r="AM29" s="16">
        <f t="shared" si="10"/>
        <v>12829703</v>
      </c>
      <c r="AN29" s="16">
        <f t="shared" si="11"/>
        <v>12921067</v>
      </c>
      <c r="AO29" s="16">
        <f t="shared" si="12"/>
        <v>13359611</v>
      </c>
      <c r="AP29" s="16">
        <f t="shared" si="13"/>
        <v>13527773</v>
      </c>
      <c r="AQ29" s="16">
        <f t="shared" si="14"/>
        <v>14728164</v>
      </c>
      <c r="AR29" s="16">
        <f t="shared" si="15"/>
        <v>16620542</v>
      </c>
      <c r="AS29" s="16">
        <f t="shared" si="16"/>
        <v>19190294</v>
      </c>
      <c r="AT29" s="16"/>
      <c r="AV29" s="17">
        <f t="shared" si="17"/>
        <v>0.49020505220919286</v>
      </c>
      <c r="AW29" s="17">
        <f t="shared" si="18"/>
        <v>0.48848205659066091</v>
      </c>
      <c r="AX29" s="17">
        <f t="shared" si="19"/>
        <v>0.48658570533471168</v>
      </c>
      <c r="AY29" s="17">
        <f t="shared" si="20"/>
        <v>0.49221927193770015</v>
      </c>
      <c r="AZ29" s="17">
        <f t="shared" si="21"/>
        <v>0.49825071224396555</v>
      </c>
      <c r="BA29" s="17">
        <f t="shared" si="22"/>
        <v>0.50456573076418787</v>
      </c>
      <c r="BB29" s="17">
        <f t="shared" si="23"/>
        <v>0.52325812655955939</v>
      </c>
    </row>
    <row r="30" spans="2:54" x14ac:dyDescent="0.25">
      <c r="B30" s="14">
        <v>31</v>
      </c>
      <c r="C30" s="158" t="s">
        <v>23</v>
      </c>
      <c r="D30" s="15">
        <v>6937548</v>
      </c>
      <c r="E30" s="15">
        <v>7186610</v>
      </c>
      <c r="F30" s="15">
        <v>8637754</v>
      </c>
      <c r="G30" s="15">
        <v>7422527</v>
      </c>
      <c r="H30" s="15">
        <v>6122044</v>
      </c>
      <c r="I30" s="15">
        <v>7491336</v>
      </c>
      <c r="J30" s="15">
        <v>6013961</v>
      </c>
      <c r="K30" s="15">
        <v>6335350</v>
      </c>
      <c r="L30" s="15">
        <v>7299527</v>
      </c>
      <c r="M30" s="15">
        <v>9121933</v>
      </c>
      <c r="N30" s="15"/>
      <c r="O30" s="15"/>
      <c r="Q30" s="15">
        <v>4729213</v>
      </c>
      <c r="R30" s="15">
        <v>4867981</v>
      </c>
      <c r="S30" s="15">
        <v>6036216</v>
      </c>
      <c r="T30" s="15">
        <v>5007986</v>
      </c>
      <c r="U30" s="15">
        <v>3984150</v>
      </c>
      <c r="V30" s="15">
        <v>4906941</v>
      </c>
      <c r="W30" s="15">
        <v>4089494</v>
      </c>
      <c r="X30" s="15">
        <v>4371391</v>
      </c>
      <c r="Y30" s="15">
        <v>5109669</v>
      </c>
      <c r="Z30" s="15">
        <v>6841452</v>
      </c>
      <c r="AA30" s="15"/>
      <c r="AB30" s="15"/>
      <c r="AD30" s="16">
        <f t="shared" si="3"/>
        <v>30184439</v>
      </c>
      <c r="AE30" s="16">
        <f t="shared" si="4"/>
        <v>29368935</v>
      </c>
      <c r="AF30" s="16">
        <f t="shared" si="5"/>
        <v>29673661</v>
      </c>
      <c r="AG30" s="16">
        <f t="shared" si="6"/>
        <v>27049868</v>
      </c>
      <c r="AH30" s="16">
        <f t="shared" si="7"/>
        <v>25962691</v>
      </c>
      <c r="AI30" s="16">
        <f t="shared" si="8"/>
        <v>27140174</v>
      </c>
      <c r="AJ30" s="16">
        <f t="shared" si="9"/>
        <v>28770771</v>
      </c>
      <c r="AK30" s="16"/>
      <c r="AM30" s="16">
        <f t="shared" si="10"/>
        <v>20641396</v>
      </c>
      <c r="AN30" s="16">
        <f t="shared" si="11"/>
        <v>19896333</v>
      </c>
      <c r="AO30" s="16">
        <f t="shared" si="12"/>
        <v>19935293</v>
      </c>
      <c r="AP30" s="16">
        <f t="shared" si="13"/>
        <v>17988571</v>
      </c>
      <c r="AQ30" s="16">
        <f t="shared" si="14"/>
        <v>17351976</v>
      </c>
      <c r="AR30" s="16">
        <f t="shared" si="15"/>
        <v>18477495</v>
      </c>
      <c r="AS30" s="16">
        <f t="shared" si="16"/>
        <v>20412006</v>
      </c>
      <c r="AT30" s="16"/>
      <c r="AV30" s="17">
        <f t="shared" si="17"/>
        <v>0.68384229370636973</v>
      </c>
      <c r="AW30" s="17">
        <f t="shared" si="18"/>
        <v>0.67746184871872273</v>
      </c>
      <c r="AX30" s="17">
        <f t="shared" si="19"/>
        <v>0.67181777806250464</v>
      </c>
      <c r="AY30" s="17">
        <f t="shared" si="20"/>
        <v>0.66501511208853215</v>
      </c>
      <c r="AZ30" s="17">
        <f t="shared" si="21"/>
        <v>0.6683427384318521</v>
      </c>
      <c r="BA30" s="17">
        <f t="shared" si="22"/>
        <v>0.6808171163530492</v>
      </c>
      <c r="BB30" s="17">
        <f t="shared" si="23"/>
        <v>0.70947024673061421</v>
      </c>
    </row>
    <row r="31" spans="2:54" x14ac:dyDescent="0.25">
      <c r="B31" s="14">
        <v>32</v>
      </c>
      <c r="C31" s="158" t="s">
        <v>24</v>
      </c>
      <c r="D31" s="15">
        <v>14366072</v>
      </c>
      <c r="E31" s="15">
        <v>14896049</v>
      </c>
      <c r="F31" s="15">
        <v>16144738</v>
      </c>
      <c r="G31" s="15">
        <v>14155203</v>
      </c>
      <c r="H31" s="15">
        <v>16150564</v>
      </c>
      <c r="I31" s="15">
        <v>14055590</v>
      </c>
      <c r="J31" s="15">
        <v>12727216</v>
      </c>
      <c r="K31" s="15">
        <v>13987314</v>
      </c>
      <c r="L31" s="15">
        <v>15794667</v>
      </c>
      <c r="M31" s="15">
        <v>16014152</v>
      </c>
      <c r="N31" s="15"/>
      <c r="O31" s="15"/>
      <c r="Q31" s="15">
        <v>7701381</v>
      </c>
      <c r="R31" s="15">
        <v>7853123</v>
      </c>
      <c r="S31" s="15">
        <v>8697588</v>
      </c>
      <c r="T31" s="15">
        <v>7427925</v>
      </c>
      <c r="U31" s="15">
        <v>8280806</v>
      </c>
      <c r="V31" s="15">
        <v>7237455</v>
      </c>
      <c r="W31" s="15">
        <v>6670875</v>
      </c>
      <c r="X31" s="15">
        <v>7594255</v>
      </c>
      <c r="Y31" s="15">
        <v>8423643</v>
      </c>
      <c r="Z31" s="15">
        <v>8828131</v>
      </c>
      <c r="AA31" s="15"/>
      <c r="AB31" s="15"/>
      <c r="AD31" s="16">
        <f t="shared" si="3"/>
        <v>59562062</v>
      </c>
      <c r="AE31" s="16">
        <f t="shared" si="4"/>
        <v>61346554</v>
      </c>
      <c r="AF31" s="16">
        <f t="shared" si="5"/>
        <v>60506095</v>
      </c>
      <c r="AG31" s="16">
        <f t="shared" si="6"/>
        <v>57088573</v>
      </c>
      <c r="AH31" s="16">
        <f t="shared" si="7"/>
        <v>56920684</v>
      </c>
      <c r="AI31" s="16">
        <f t="shared" si="8"/>
        <v>56564787</v>
      </c>
      <c r="AJ31" s="16">
        <f t="shared" si="9"/>
        <v>58523349</v>
      </c>
      <c r="AK31" s="16"/>
      <c r="AM31" s="16">
        <f t="shared" si="10"/>
        <v>31680017</v>
      </c>
      <c r="AN31" s="16">
        <f t="shared" si="11"/>
        <v>32259442</v>
      </c>
      <c r="AO31" s="16">
        <f t="shared" si="12"/>
        <v>31643774</v>
      </c>
      <c r="AP31" s="16">
        <f t="shared" si="13"/>
        <v>29617061</v>
      </c>
      <c r="AQ31" s="16">
        <f t="shared" si="14"/>
        <v>29783391</v>
      </c>
      <c r="AR31" s="16">
        <f t="shared" si="15"/>
        <v>29926228</v>
      </c>
      <c r="AS31" s="16">
        <f t="shared" si="16"/>
        <v>31516904</v>
      </c>
      <c r="AT31" s="16"/>
      <c r="AV31" s="17">
        <f t="shared" si="17"/>
        <v>0.53188247579474335</v>
      </c>
      <c r="AW31" s="17">
        <f t="shared" si="18"/>
        <v>0.5258558125367564</v>
      </c>
      <c r="AX31" s="17">
        <f t="shared" si="19"/>
        <v>0.522984899289898</v>
      </c>
      <c r="AY31" s="17">
        <f t="shared" si="20"/>
        <v>0.51879140506805099</v>
      </c>
      <c r="AZ31" s="17">
        <f t="shared" si="21"/>
        <v>0.52324372981884759</v>
      </c>
      <c r="BA31" s="17">
        <f t="shared" si="22"/>
        <v>0.52906109237183196</v>
      </c>
      <c r="BB31" s="17">
        <f t="shared" si="23"/>
        <v>0.53853555099862793</v>
      </c>
    </row>
    <row r="32" spans="2:54" x14ac:dyDescent="0.25">
      <c r="B32" s="14">
        <v>33</v>
      </c>
      <c r="C32" s="158" t="s">
        <v>25</v>
      </c>
      <c r="D32" s="15">
        <v>12175817</v>
      </c>
      <c r="E32" s="15">
        <v>11528293</v>
      </c>
      <c r="F32" s="15">
        <v>12736193</v>
      </c>
      <c r="G32" s="15">
        <v>12166369</v>
      </c>
      <c r="H32" s="15">
        <v>12573940</v>
      </c>
      <c r="I32" s="15">
        <v>12179763</v>
      </c>
      <c r="J32" s="15">
        <v>12666124</v>
      </c>
      <c r="K32" s="15">
        <v>13592645</v>
      </c>
      <c r="L32" s="15">
        <v>17124244</v>
      </c>
      <c r="M32" s="15">
        <v>14615877</v>
      </c>
      <c r="N32" s="15"/>
      <c r="O32" s="15"/>
      <c r="Q32" s="15">
        <v>6265873</v>
      </c>
      <c r="R32" s="15">
        <v>5901730</v>
      </c>
      <c r="S32" s="15">
        <v>6550077</v>
      </c>
      <c r="T32" s="15">
        <v>6293251</v>
      </c>
      <c r="U32" s="15">
        <v>6498307</v>
      </c>
      <c r="V32" s="15">
        <v>6301902</v>
      </c>
      <c r="W32" s="15">
        <v>6889658</v>
      </c>
      <c r="X32" s="15">
        <v>7819647</v>
      </c>
      <c r="Y32" s="15">
        <v>9824563</v>
      </c>
      <c r="Z32" s="15">
        <v>8606080</v>
      </c>
      <c r="AA32" s="15"/>
      <c r="AB32" s="15"/>
      <c r="AD32" s="16">
        <f t="shared" si="3"/>
        <v>48606672</v>
      </c>
      <c r="AE32" s="16">
        <f t="shared" si="4"/>
        <v>49004795</v>
      </c>
      <c r="AF32" s="16">
        <f t="shared" si="5"/>
        <v>49656265</v>
      </c>
      <c r="AG32" s="16">
        <f t="shared" si="6"/>
        <v>49586196</v>
      </c>
      <c r="AH32" s="16">
        <f t="shared" si="7"/>
        <v>51012472</v>
      </c>
      <c r="AI32" s="16">
        <f t="shared" si="8"/>
        <v>55562776</v>
      </c>
      <c r="AJ32" s="16">
        <f t="shared" si="9"/>
        <v>57998890</v>
      </c>
      <c r="AK32" s="16"/>
      <c r="AM32" s="16">
        <f t="shared" si="10"/>
        <v>25010931</v>
      </c>
      <c r="AN32" s="16">
        <f t="shared" si="11"/>
        <v>25243365</v>
      </c>
      <c r="AO32" s="16">
        <f t="shared" si="12"/>
        <v>25643537</v>
      </c>
      <c r="AP32" s="16">
        <f t="shared" si="13"/>
        <v>25983118</v>
      </c>
      <c r="AQ32" s="16">
        <f t="shared" si="14"/>
        <v>27509514</v>
      </c>
      <c r="AR32" s="16">
        <f t="shared" si="15"/>
        <v>30835770</v>
      </c>
      <c r="AS32" s="16">
        <f t="shared" si="16"/>
        <v>33139948</v>
      </c>
      <c r="AT32" s="16"/>
      <c r="AV32" s="17">
        <f t="shared" si="17"/>
        <v>0.5145575693805986</v>
      </c>
      <c r="AW32" s="17">
        <f t="shared" si="18"/>
        <v>0.51512030608433312</v>
      </c>
      <c r="AX32" s="17">
        <f t="shared" si="19"/>
        <v>0.51642097930643793</v>
      </c>
      <c r="AY32" s="17">
        <f t="shared" si="20"/>
        <v>0.52399901779116109</v>
      </c>
      <c r="AZ32" s="17">
        <f t="shared" si="21"/>
        <v>0.53927035725694694</v>
      </c>
      <c r="BA32" s="17">
        <f t="shared" si="22"/>
        <v>0.55497173143400902</v>
      </c>
      <c r="BB32" s="17">
        <f t="shared" si="23"/>
        <v>0.57138934900305849</v>
      </c>
    </row>
    <row r="33" spans="2:54" x14ac:dyDescent="0.25">
      <c r="B33" s="14">
        <v>34</v>
      </c>
      <c r="C33" s="158" t="s">
        <v>26</v>
      </c>
      <c r="D33" s="15">
        <v>4215946</v>
      </c>
      <c r="E33" s="15">
        <v>3878787</v>
      </c>
      <c r="F33" s="15">
        <v>4836136</v>
      </c>
      <c r="G33" s="15">
        <v>4148885</v>
      </c>
      <c r="H33" s="15">
        <v>4298441</v>
      </c>
      <c r="I33" s="15">
        <v>5194086</v>
      </c>
      <c r="J33" s="15">
        <v>4370183</v>
      </c>
      <c r="K33" s="15">
        <v>4737915</v>
      </c>
      <c r="L33" s="15">
        <v>6151053</v>
      </c>
      <c r="M33" s="15">
        <v>6903785</v>
      </c>
      <c r="N33" s="15"/>
      <c r="O33" s="15"/>
      <c r="Q33" s="15">
        <v>2238769</v>
      </c>
      <c r="R33" s="15">
        <v>2092417</v>
      </c>
      <c r="S33" s="15">
        <v>2658631</v>
      </c>
      <c r="T33" s="15">
        <v>2248934</v>
      </c>
      <c r="U33" s="15">
        <v>2252587</v>
      </c>
      <c r="V33" s="15">
        <v>2736215</v>
      </c>
      <c r="W33" s="15">
        <v>2403601</v>
      </c>
      <c r="X33" s="15">
        <v>2653231</v>
      </c>
      <c r="Y33" s="15">
        <v>3524359</v>
      </c>
      <c r="Z33" s="15">
        <v>3936344</v>
      </c>
      <c r="AA33" s="15"/>
      <c r="AB33" s="15"/>
      <c r="AD33" s="16">
        <f t="shared" si="3"/>
        <v>17079754</v>
      </c>
      <c r="AE33" s="16">
        <f t="shared" si="4"/>
        <v>17162249</v>
      </c>
      <c r="AF33" s="16">
        <f t="shared" si="5"/>
        <v>18477548</v>
      </c>
      <c r="AG33" s="16">
        <f t="shared" si="6"/>
        <v>18011595</v>
      </c>
      <c r="AH33" s="16">
        <f t="shared" si="7"/>
        <v>18600625</v>
      </c>
      <c r="AI33" s="16">
        <f t="shared" si="8"/>
        <v>20453237</v>
      </c>
      <c r="AJ33" s="16">
        <f t="shared" si="9"/>
        <v>22162936</v>
      </c>
      <c r="AK33" s="16"/>
      <c r="AM33" s="16">
        <f t="shared" si="10"/>
        <v>9238751</v>
      </c>
      <c r="AN33" s="16">
        <f t="shared" si="11"/>
        <v>9252569</v>
      </c>
      <c r="AO33" s="16">
        <f t="shared" si="12"/>
        <v>9896367</v>
      </c>
      <c r="AP33" s="16">
        <f t="shared" si="13"/>
        <v>9641337</v>
      </c>
      <c r="AQ33" s="16">
        <f t="shared" si="14"/>
        <v>10045634</v>
      </c>
      <c r="AR33" s="16">
        <f t="shared" si="15"/>
        <v>11317406</v>
      </c>
      <c r="AS33" s="16">
        <f t="shared" si="16"/>
        <v>12517535</v>
      </c>
      <c r="AT33" s="16"/>
      <c r="AV33" s="17">
        <f t="shared" si="17"/>
        <v>0.5409182708369219</v>
      </c>
      <c r="AW33" s="17">
        <f t="shared" si="18"/>
        <v>0.53912333983733718</v>
      </c>
      <c r="AX33" s="17">
        <f t="shared" si="19"/>
        <v>0.5355887588548004</v>
      </c>
      <c r="AY33" s="17">
        <f t="shared" si="20"/>
        <v>0.53528502056591876</v>
      </c>
      <c r="AZ33" s="17">
        <f t="shared" si="21"/>
        <v>0.54006970195893955</v>
      </c>
      <c r="BA33" s="17">
        <f t="shared" si="22"/>
        <v>0.55333080040093408</v>
      </c>
      <c r="BB33" s="17">
        <f t="shared" si="23"/>
        <v>0.56479588263937597</v>
      </c>
    </row>
    <row r="34" spans="2:54" x14ac:dyDescent="0.25">
      <c r="B34" s="14">
        <v>35</v>
      </c>
      <c r="C34" s="158" t="s">
        <v>27</v>
      </c>
      <c r="D34" s="15">
        <v>4274376</v>
      </c>
      <c r="E34" s="15">
        <v>4006260</v>
      </c>
      <c r="F34" s="15">
        <v>4036213</v>
      </c>
      <c r="G34" s="15">
        <v>4309649</v>
      </c>
      <c r="H34" s="15">
        <v>4168409</v>
      </c>
      <c r="I34" s="15">
        <v>4433947</v>
      </c>
      <c r="J34" s="15">
        <v>5972965</v>
      </c>
      <c r="K34" s="15">
        <v>5506005</v>
      </c>
      <c r="L34" s="15">
        <v>8911138</v>
      </c>
      <c r="M34" s="15">
        <v>7877834</v>
      </c>
      <c r="N34" s="15"/>
      <c r="O34" s="15"/>
      <c r="Q34" s="15">
        <v>2050372</v>
      </c>
      <c r="R34" s="15">
        <v>1899728</v>
      </c>
      <c r="S34" s="15">
        <v>1906766</v>
      </c>
      <c r="T34" s="15">
        <v>2067733</v>
      </c>
      <c r="U34" s="15">
        <v>1980712</v>
      </c>
      <c r="V34" s="15">
        <v>2105409</v>
      </c>
      <c r="W34" s="15">
        <v>2986486</v>
      </c>
      <c r="X34" s="15">
        <v>2873266</v>
      </c>
      <c r="Y34" s="15">
        <v>4904464</v>
      </c>
      <c r="Z34" s="15">
        <v>4660345</v>
      </c>
      <c r="AA34" s="15"/>
      <c r="AB34" s="15"/>
      <c r="AD34" s="16">
        <f t="shared" si="3"/>
        <v>16626498</v>
      </c>
      <c r="AE34" s="16">
        <f t="shared" si="4"/>
        <v>16520531</v>
      </c>
      <c r="AF34" s="16">
        <f t="shared" si="5"/>
        <v>16948218</v>
      </c>
      <c r="AG34" s="16">
        <f t="shared" si="6"/>
        <v>18884970</v>
      </c>
      <c r="AH34" s="16">
        <f t="shared" si="7"/>
        <v>20081326</v>
      </c>
      <c r="AI34" s="16">
        <f t="shared" si="8"/>
        <v>24824055</v>
      </c>
      <c r="AJ34" s="16">
        <f t="shared" si="9"/>
        <v>28267942</v>
      </c>
      <c r="AK34" s="16"/>
      <c r="AM34" s="16">
        <f t="shared" si="10"/>
        <v>7924599</v>
      </c>
      <c r="AN34" s="16">
        <f t="shared" si="11"/>
        <v>7854939</v>
      </c>
      <c r="AO34" s="16">
        <f t="shared" si="12"/>
        <v>8060620</v>
      </c>
      <c r="AP34" s="16">
        <f t="shared" si="13"/>
        <v>9140340</v>
      </c>
      <c r="AQ34" s="16">
        <f t="shared" si="14"/>
        <v>9945873</v>
      </c>
      <c r="AR34" s="16">
        <f t="shared" si="15"/>
        <v>12869625</v>
      </c>
      <c r="AS34" s="16">
        <f t="shared" si="16"/>
        <v>15424561</v>
      </c>
      <c r="AT34" s="16"/>
      <c r="AV34" s="17">
        <f t="shared" si="17"/>
        <v>0.4766246626319024</v>
      </c>
      <c r="AW34" s="17">
        <f t="shared" si="18"/>
        <v>0.47546528619449341</v>
      </c>
      <c r="AX34" s="17">
        <f t="shared" si="19"/>
        <v>0.47560280378739522</v>
      </c>
      <c r="AY34" s="17">
        <f t="shared" si="20"/>
        <v>0.48400076886539933</v>
      </c>
      <c r="AZ34" s="17">
        <f t="shared" si="21"/>
        <v>0.49527969417955764</v>
      </c>
      <c r="BA34" s="17">
        <f t="shared" si="22"/>
        <v>0.51843363221681549</v>
      </c>
      <c r="BB34" s="17">
        <f t="shared" si="23"/>
        <v>0.54565560520818956</v>
      </c>
    </row>
    <row r="35" spans="2:54" x14ac:dyDescent="0.25">
      <c r="B35" s="14">
        <v>36</v>
      </c>
      <c r="C35" s="158" t="s">
        <v>28</v>
      </c>
      <c r="D35" s="15">
        <v>9114007</v>
      </c>
      <c r="E35" s="15">
        <v>10987084</v>
      </c>
      <c r="F35" s="15">
        <v>11523678</v>
      </c>
      <c r="G35" s="15">
        <v>9653765</v>
      </c>
      <c r="H35" s="15">
        <v>8900679</v>
      </c>
      <c r="I35" s="15">
        <v>9830538</v>
      </c>
      <c r="J35" s="15">
        <v>8297842</v>
      </c>
      <c r="K35" s="15">
        <v>12736261</v>
      </c>
      <c r="L35" s="15">
        <v>12275424</v>
      </c>
      <c r="M35" s="15">
        <v>12120318</v>
      </c>
      <c r="N35" s="15"/>
      <c r="O35" s="15"/>
      <c r="Q35" s="15">
        <v>4788588</v>
      </c>
      <c r="R35" s="15">
        <v>5832865</v>
      </c>
      <c r="S35" s="15">
        <v>6089206</v>
      </c>
      <c r="T35" s="15">
        <v>5175289</v>
      </c>
      <c r="U35" s="15">
        <v>4763234</v>
      </c>
      <c r="V35" s="15">
        <v>5267747</v>
      </c>
      <c r="W35" s="15">
        <v>4481212</v>
      </c>
      <c r="X35" s="15">
        <v>6814219</v>
      </c>
      <c r="Y35" s="15">
        <v>6643287</v>
      </c>
      <c r="Z35" s="15">
        <v>6424442</v>
      </c>
      <c r="AA35" s="15"/>
      <c r="AB35" s="15"/>
      <c r="AD35" s="16">
        <f t="shared" si="3"/>
        <v>41278534</v>
      </c>
      <c r="AE35" s="16">
        <f t="shared" si="4"/>
        <v>41065206</v>
      </c>
      <c r="AF35" s="16">
        <f t="shared" si="5"/>
        <v>39908660</v>
      </c>
      <c r="AG35" s="16">
        <f t="shared" si="6"/>
        <v>36682824</v>
      </c>
      <c r="AH35" s="16">
        <f t="shared" si="7"/>
        <v>39765320</v>
      </c>
      <c r="AI35" s="16">
        <f t="shared" si="8"/>
        <v>43140065</v>
      </c>
      <c r="AJ35" s="16">
        <f t="shared" si="9"/>
        <v>45429845</v>
      </c>
      <c r="AK35" s="16"/>
      <c r="AM35" s="16">
        <f t="shared" si="10"/>
        <v>21885948</v>
      </c>
      <c r="AN35" s="16">
        <f t="shared" si="11"/>
        <v>21860594</v>
      </c>
      <c r="AO35" s="16">
        <f t="shared" si="12"/>
        <v>21295476</v>
      </c>
      <c r="AP35" s="16">
        <f t="shared" si="13"/>
        <v>19687482</v>
      </c>
      <c r="AQ35" s="16">
        <f t="shared" si="14"/>
        <v>21326412</v>
      </c>
      <c r="AR35" s="16">
        <f t="shared" si="15"/>
        <v>23206465</v>
      </c>
      <c r="AS35" s="16">
        <f t="shared" si="16"/>
        <v>24363160</v>
      </c>
      <c r="AT35" s="16"/>
      <c r="AV35" s="17">
        <f t="shared" si="17"/>
        <v>0.53020167818944341</v>
      </c>
      <c r="AW35" s="17">
        <f t="shared" si="18"/>
        <v>0.53233859340678824</v>
      </c>
      <c r="AX35" s="17">
        <f t="shared" si="19"/>
        <v>0.53360538790327716</v>
      </c>
      <c r="AY35" s="17">
        <f t="shared" si="20"/>
        <v>0.53669483025625286</v>
      </c>
      <c r="AZ35" s="17">
        <f t="shared" si="21"/>
        <v>0.53630681206639352</v>
      </c>
      <c r="BA35" s="17">
        <f t="shared" si="22"/>
        <v>0.53793300960487656</v>
      </c>
      <c r="BB35" s="17">
        <f t="shared" si="23"/>
        <v>0.53628094042583685</v>
      </c>
    </row>
    <row r="36" spans="2:54" x14ac:dyDescent="0.25">
      <c r="B36" s="14">
        <v>37</v>
      </c>
      <c r="C36" s="158" t="s">
        <v>29</v>
      </c>
      <c r="D36" s="15">
        <v>10599193</v>
      </c>
      <c r="E36" s="15">
        <v>8255869</v>
      </c>
      <c r="F36" s="15">
        <v>8096665</v>
      </c>
      <c r="G36" s="15">
        <v>7295138</v>
      </c>
      <c r="H36" s="15">
        <v>7855873</v>
      </c>
      <c r="I36" s="15">
        <v>9015027</v>
      </c>
      <c r="J36" s="15">
        <v>10142918</v>
      </c>
      <c r="K36" s="15">
        <v>11079134</v>
      </c>
      <c r="L36" s="15">
        <v>16382709</v>
      </c>
      <c r="M36" s="15">
        <v>22794310</v>
      </c>
      <c r="N36" s="15"/>
      <c r="O36" s="15"/>
      <c r="Q36" s="15">
        <v>5222720</v>
      </c>
      <c r="R36" s="15">
        <v>3967112</v>
      </c>
      <c r="S36" s="15">
        <v>3958325</v>
      </c>
      <c r="T36" s="15">
        <v>3536227</v>
      </c>
      <c r="U36" s="15">
        <v>3772692</v>
      </c>
      <c r="V36" s="15">
        <v>4358744</v>
      </c>
      <c r="W36" s="15">
        <v>5175630</v>
      </c>
      <c r="X36" s="15">
        <v>6385392</v>
      </c>
      <c r="Y36" s="15">
        <v>9175068</v>
      </c>
      <c r="Z36" s="15">
        <v>12119406</v>
      </c>
      <c r="AA36" s="15"/>
      <c r="AB36" s="15"/>
      <c r="AD36" s="16">
        <f t="shared" si="3"/>
        <v>34246865</v>
      </c>
      <c r="AE36" s="16">
        <f t="shared" si="4"/>
        <v>31503545</v>
      </c>
      <c r="AF36" s="16">
        <f t="shared" si="5"/>
        <v>32262703</v>
      </c>
      <c r="AG36" s="16">
        <f t="shared" si="6"/>
        <v>34308956</v>
      </c>
      <c r="AH36" s="16">
        <f t="shared" si="7"/>
        <v>38092952</v>
      </c>
      <c r="AI36" s="16">
        <f t="shared" si="8"/>
        <v>46619788</v>
      </c>
      <c r="AJ36" s="16">
        <f t="shared" si="9"/>
        <v>60399071</v>
      </c>
      <c r="AK36" s="16"/>
      <c r="AM36" s="16">
        <f t="shared" si="10"/>
        <v>16684384</v>
      </c>
      <c r="AN36" s="16">
        <f t="shared" si="11"/>
        <v>15234356</v>
      </c>
      <c r="AO36" s="16">
        <f t="shared" si="12"/>
        <v>15625988</v>
      </c>
      <c r="AP36" s="16">
        <f t="shared" si="13"/>
        <v>16843293</v>
      </c>
      <c r="AQ36" s="16">
        <f t="shared" si="14"/>
        <v>19692458</v>
      </c>
      <c r="AR36" s="16">
        <f t="shared" si="15"/>
        <v>25094834</v>
      </c>
      <c r="AS36" s="16">
        <f t="shared" si="16"/>
        <v>32855496</v>
      </c>
      <c r="AT36" s="16"/>
      <c r="AV36" s="17">
        <f t="shared" si="17"/>
        <v>0.48717989223247149</v>
      </c>
      <c r="AW36" s="17">
        <f t="shared" si="18"/>
        <v>0.48357592772495922</v>
      </c>
      <c r="AX36" s="17">
        <f t="shared" si="19"/>
        <v>0.48433598387587051</v>
      </c>
      <c r="AY36" s="17">
        <f t="shared" si="20"/>
        <v>0.49092991928987872</v>
      </c>
      <c r="AZ36" s="17">
        <f t="shared" si="21"/>
        <v>0.5169580451522896</v>
      </c>
      <c r="BA36" s="17">
        <f t="shared" si="22"/>
        <v>0.53828717539427673</v>
      </c>
      <c r="BB36" s="17">
        <f t="shared" si="23"/>
        <v>0.54397353230813761</v>
      </c>
    </row>
    <row r="37" spans="2:54" x14ac:dyDescent="0.25">
      <c r="B37" s="14">
        <v>38</v>
      </c>
      <c r="C37" s="158" t="s">
        <v>30</v>
      </c>
      <c r="D37" s="15">
        <v>15094314</v>
      </c>
      <c r="E37" s="15">
        <v>12854686</v>
      </c>
      <c r="F37" s="15">
        <v>11414001</v>
      </c>
      <c r="G37" s="15">
        <v>10758674</v>
      </c>
      <c r="H37" s="15">
        <v>10765970</v>
      </c>
      <c r="I37" s="15">
        <v>11769059</v>
      </c>
      <c r="J37" s="15">
        <v>8957747</v>
      </c>
      <c r="K37" s="15">
        <v>11666893</v>
      </c>
      <c r="L37" s="15">
        <v>10987363</v>
      </c>
      <c r="M37" s="15">
        <v>12051838</v>
      </c>
      <c r="N37" s="15"/>
      <c r="O37" s="15"/>
      <c r="Q37" s="15">
        <v>10118148</v>
      </c>
      <c r="R37" s="15">
        <v>8057968</v>
      </c>
      <c r="S37" s="15">
        <v>6906731</v>
      </c>
      <c r="T37" s="15">
        <v>6307752</v>
      </c>
      <c r="U37" s="15">
        <v>6305733</v>
      </c>
      <c r="V37" s="15">
        <v>6927353</v>
      </c>
      <c r="W37" s="15">
        <v>5579076</v>
      </c>
      <c r="X37" s="15">
        <v>7381714</v>
      </c>
      <c r="Y37" s="15">
        <v>7042891</v>
      </c>
      <c r="Z37" s="15">
        <v>7635496</v>
      </c>
      <c r="AA37" s="15"/>
      <c r="AB37" s="15"/>
      <c r="AD37" s="16">
        <f t="shared" si="3"/>
        <v>50121675</v>
      </c>
      <c r="AE37" s="16">
        <f t="shared" si="4"/>
        <v>45793331</v>
      </c>
      <c r="AF37" s="16">
        <f t="shared" si="5"/>
        <v>44707704</v>
      </c>
      <c r="AG37" s="16">
        <f t="shared" si="6"/>
        <v>42251450</v>
      </c>
      <c r="AH37" s="16">
        <f t="shared" si="7"/>
        <v>43159669</v>
      </c>
      <c r="AI37" s="16">
        <f t="shared" si="8"/>
        <v>43381062</v>
      </c>
      <c r="AJ37" s="16">
        <f t="shared" si="9"/>
        <v>43663841</v>
      </c>
      <c r="AK37" s="16"/>
      <c r="AM37" s="16">
        <f t="shared" si="10"/>
        <v>31390599</v>
      </c>
      <c r="AN37" s="16">
        <f t="shared" si="11"/>
        <v>27578184</v>
      </c>
      <c r="AO37" s="16">
        <f t="shared" si="12"/>
        <v>26447569</v>
      </c>
      <c r="AP37" s="16">
        <f t="shared" si="13"/>
        <v>25119914</v>
      </c>
      <c r="AQ37" s="16">
        <f t="shared" si="14"/>
        <v>26193876</v>
      </c>
      <c r="AR37" s="16">
        <f t="shared" si="15"/>
        <v>26931034</v>
      </c>
      <c r="AS37" s="16">
        <f t="shared" si="16"/>
        <v>27639177</v>
      </c>
      <c r="AT37" s="16"/>
      <c r="AV37" s="17">
        <f t="shared" si="17"/>
        <v>0.6262879083749695</v>
      </c>
      <c r="AW37" s="17">
        <f t="shared" si="18"/>
        <v>0.60223144719478916</v>
      </c>
      <c r="AX37" s="17">
        <f t="shared" si="19"/>
        <v>0.59156625444241107</v>
      </c>
      <c r="AY37" s="17">
        <f t="shared" si="20"/>
        <v>0.59453377339712599</v>
      </c>
      <c r="AZ37" s="17">
        <f t="shared" si="21"/>
        <v>0.60690632265970346</v>
      </c>
      <c r="BA37" s="17">
        <f t="shared" si="22"/>
        <v>0.62080162998314792</v>
      </c>
      <c r="BB37" s="17">
        <f t="shared" si="23"/>
        <v>0.63299921323916508</v>
      </c>
    </row>
    <row r="38" spans="2:54" x14ac:dyDescent="0.25">
      <c r="B38" s="14">
        <v>39</v>
      </c>
      <c r="C38" s="158" t="s">
        <v>31</v>
      </c>
      <c r="D38" s="15">
        <v>11071370</v>
      </c>
      <c r="E38" s="15">
        <v>11134342</v>
      </c>
      <c r="F38" s="15">
        <v>11028112</v>
      </c>
      <c r="G38" s="15">
        <v>10013161</v>
      </c>
      <c r="H38" s="15">
        <v>10153245</v>
      </c>
      <c r="I38" s="15">
        <v>9448247</v>
      </c>
      <c r="J38" s="15">
        <v>10640293</v>
      </c>
      <c r="K38" s="15">
        <v>11476092</v>
      </c>
      <c r="L38" s="15">
        <v>11301401</v>
      </c>
      <c r="M38" s="15">
        <v>13827202</v>
      </c>
      <c r="N38" s="15"/>
      <c r="O38" s="15"/>
      <c r="Q38" s="15">
        <v>7506466</v>
      </c>
      <c r="R38" s="15">
        <v>7434164</v>
      </c>
      <c r="S38" s="15">
        <v>7328974</v>
      </c>
      <c r="T38" s="15">
        <v>6445038</v>
      </c>
      <c r="U38" s="15">
        <v>6320810</v>
      </c>
      <c r="V38" s="15">
        <v>5746352</v>
      </c>
      <c r="W38" s="15">
        <v>6809786</v>
      </c>
      <c r="X38" s="15">
        <v>7459461</v>
      </c>
      <c r="Y38" s="15">
        <v>7458926</v>
      </c>
      <c r="Z38" s="15">
        <v>9955585</v>
      </c>
      <c r="AA38" s="15"/>
      <c r="AB38" s="15"/>
      <c r="AD38" s="16">
        <f t="shared" si="3"/>
        <v>43246985</v>
      </c>
      <c r="AE38" s="16">
        <f t="shared" si="4"/>
        <v>42328860</v>
      </c>
      <c r="AF38" s="16">
        <f t="shared" si="5"/>
        <v>40642765</v>
      </c>
      <c r="AG38" s="16">
        <f t="shared" si="6"/>
        <v>40254946</v>
      </c>
      <c r="AH38" s="16">
        <f t="shared" si="7"/>
        <v>41717877</v>
      </c>
      <c r="AI38" s="16">
        <f t="shared" si="8"/>
        <v>42866033</v>
      </c>
      <c r="AJ38" s="16">
        <f t="shared" si="9"/>
        <v>47244988</v>
      </c>
      <c r="AK38" s="16"/>
      <c r="AM38" s="16">
        <f t="shared" si="10"/>
        <v>28714642</v>
      </c>
      <c r="AN38" s="16">
        <f t="shared" si="11"/>
        <v>27528986</v>
      </c>
      <c r="AO38" s="16">
        <f t="shared" si="12"/>
        <v>25841174</v>
      </c>
      <c r="AP38" s="16">
        <f t="shared" si="13"/>
        <v>25321986</v>
      </c>
      <c r="AQ38" s="16">
        <f t="shared" si="14"/>
        <v>26336409</v>
      </c>
      <c r="AR38" s="16">
        <f t="shared" si="15"/>
        <v>27474525</v>
      </c>
      <c r="AS38" s="16">
        <f t="shared" si="16"/>
        <v>31683758</v>
      </c>
      <c r="AT38" s="16"/>
      <c r="AV38" s="17">
        <f t="shared" si="17"/>
        <v>0.66396864428815094</v>
      </c>
      <c r="AW38" s="17">
        <f t="shared" si="18"/>
        <v>0.65035973092589783</v>
      </c>
      <c r="AX38" s="17">
        <f t="shared" si="19"/>
        <v>0.63581240105096193</v>
      </c>
      <c r="AY38" s="17">
        <f t="shared" si="20"/>
        <v>0.62904036686572629</v>
      </c>
      <c r="AZ38" s="17">
        <f t="shared" si="21"/>
        <v>0.63129792055333978</v>
      </c>
      <c r="BA38" s="17">
        <f t="shared" si="22"/>
        <v>0.64093929568896657</v>
      </c>
      <c r="BB38" s="17">
        <f t="shared" si="23"/>
        <v>0.67062686099105373</v>
      </c>
    </row>
    <row r="39" spans="2:54" x14ac:dyDescent="0.25">
      <c r="B39" s="14">
        <v>40</v>
      </c>
      <c r="C39" s="158" t="s">
        <v>32</v>
      </c>
      <c r="D39" s="15">
        <v>11017226</v>
      </c>
      <c r="E39" s="15">
        <v>9712692</v>
      </c>
      <c r="F39" s="15">
        <v>12735602</v>
      </c>
      <c r="G39" s="15">
        <v>10362709</v>
      </c>
      <c r="H39" s="15">
        <v>10402803</v>
      </c>
      <c r="I39" s="15">
        <v>11449046</v>
      </c>
      <c r="J39" s="15">
        <v>11695838</v>
      </c>
      <c r="K39" s="15">
        <v>10295260</v>
      </c>
      <c r="L39" s="15">
        <v>12065424</v>
      </c>
      <c r="M39" s="15">
        <v>13277953</v>
      </c>
      <c r="N39" s="15"/>
      <c r="O39" s="15"/>
      <c r="Q39" s="15">
        <v>6722970</v>
      </c>
      <c r="R39" s="15">
        <v>5902469</v>
      </c>
      <c r="S39" s="15">
        <v>7743407</v>
      </c>
      <c r="T39" s="15">
        <v>6175436</v>
      </c>
      <c r="U39" s="15">
        <v>6180085</v>
      </c>
      <c r="V39" s="15">
        <v>6817473</v>
      </c>
      <c r="W39" s="15">
        <v>7245592</v>
      </c>
      <c r="X39" s="15">
        <v>6486014</v>
      </c>
      <c r="Y39" s="15">
        <v>7831004</v>
      </c>
      <c r="Z39" s="15">
        <v>8766380</v>
      </c>
      <c r="AA39" s="15"/>
      <c r="AB39" s="15"/>
      <c r="AD39" s="16">
        <f t="shared" si="3"/>
        <v>43828229</v>
      </c>
      <c r="AE39" s="16">
        <f t="shared" si="4"/>
        <v>43213806</v>
      </c>
      <c r="AF39" s="16">
        <f t="shared" si="5"/>
        <v>44950160</v>
      </c>
      <c r="AG39" s="16">
        <f t="shared" si="6"/>
        <v>43910396</v>
      </c>
      <c r="AH39" s="16">
        <f t="shared" si="7"/>
        <v>43842947</v>
      </c>
      <c r="AI39" s="16">
        <f t="shared" si="8"/>
        <v>45505568</v>
      </c>
      <c r="AJ39" s="16">
        <f t="shared" si="9"/>
        <v>47334475</v>
      </c>
      <c r="AK39" s="16"/>
      <c r="AM39" s="16">
        <f t="shared" si="10"/>
        <v>26544282</v>
      </c>
      <c r="AN39" s="16">
        <f t="shared" si="11"/>
        <v>26001397</v>
      </c>
      <c r="AO39" s="16">
        <f t="shared" si="12"/>
        <v>26916401</v>
      </c>
      <c r="AP39" s="16">
        <f t="shared" si="13"/>
        <v>26418586</v>
      </c>
      <c r="AQ39" s="16">
        <f t="shared" si="14"/>
        <v>26729164</v>
      </c>
      <c r="AR39" s="16">
        <f t="shared" si="15"/>
        <v>28380083</v>
      </c>
      <c r="AS39" s="16">
        <f t="shared" si="16"/>
        <v>30328990</v>
      </c>
      <c r="AT39" s="16"/>
      <c r="AV39" s="17">
        <f t="shared" si="17"/>
        <v>0.60564349976358844</v>
      </c>
      <c r="AW39" s="17">
        <f t="shared" si="18"/>
        <v>0.60169189911205689</v>
      </c>
      <c r="AX39" s="17">
        <f t="shared" si="19"/>
        <v>0.59880545475255265</v>
      </c>
      <c r="AY39" s="17">
        <f t="shared" si="20"/>
        <v>0.60164763715635816</v>
      </c>
      <c r="AZ39" s="17">
        <f t="shared" si="21"/>
        <v>0.60965710174546428</v>
      </c>
      <c r="BA39" s="17">
        <f t="shared" si="22"/>
        <v>0.62366176815988761</v>
      </c>
      <c r="BB39" s="17">
        <f t="shared" si="23"/>
        <v>0.64073785544257122</v>
      </c>
    </row>
    <row r="40" spans="2:54" x14ac:dyDescent="0.25">
      <c r="B40" s="14">
        <v>41</v>
      </c>
      <c r="C40" s="158" t="s">
        <v>33</v>
      </c>
      <c r="D40" s="15">
        <v>11448168</v>
      </c>
      <c r="E40" s="15">
        <v>12065397</v>
      </c>
      <c r="F40" s="15">
        <v>11468734</v>
      </c>
      <c r="G40" s="15">
        <v>10300759</v>
      </c>
      <c r="H40" s="15">
        <v>11620566</v>
      </c>
      <c r="I40" s="15">
        <v>13246806</v>
      </c>
      <c r="J40" s="15">
        <v>10127046</v>
      </c>
      <c r="K40" s="15">
        <v>12358459</v>
      </c>
      <c r="L40" s="15">
        <v>12976095</v>
      </c>
      <c r="M40" s="15">
        <v>16147335</v>
      </c>
      <c r="N40" s="15"/>
      <c r="O40" s="15"/>
      <c r="Q40" s="15">
        <v>7444270</v>
      </c>
      <c r="R40" s="15">
        <v>7798714</v>
      </c>
      <c r="S40" s="15">
        <v>7234392</v>
      </c>
      <c r="T40" s="15">
        <v>6525466</v>
      </c>
      <c r="U40" s="15">
        <v>7433304</v>
      </c>
      <c r="V40" s="15">
        <v>8465357</v>
      </c>
      <c r="W40" s="15">
        <v>6481654</v>
      </c>
      <c r="X40" s="15">
        <v>8007505</v>
      </c>
      <c r="Y40" s="15">
        <v>8253099</v>
      </c>
      <c r="Z40" s="15">
        <v>10027222</v>
      </c>
      <c r="AA40" s="15"/>
      <c r="AB40" s="15"/>
      <c r="AD40" s="16">
        <f t="shared" si="3"/>
        <v>45283058</v>
      </c>
      <c r="AE40" s="16">
        <f t="shared" si="4"/>
        <v>45455456</v>
      </c>
      <c r="AF40" s="16">
        <f t="shared" si="5"/>
        <v>46636865</v>
      </c>
      <c r="AG40" s="16">
        <f t="shared" si="6"/>
        <v>45295177</v>
      </c>
      <c r="AH40" s="16">
        <f t="shared" si="7"/>
        <v>47352877</v>
      </c>
      <c r="AI40" s="16">
        <f t="shared" si="8"/>
        <v>48708406</v>
      </c>
      <c r="AJ40" s="16">
        <f t="shared" si="9"/>
        <v>51608935</v>
      </c>
      <c r="AK40" s="16"/>
      <c r="AM40" s="16">
        <f t="shared" si="10"/>
        <v>29002842</v>
      </c>
      <c r="AN40" s="16">
        <f t="shared" si="11"/>
        <v>28991876</v>
      </c>
      <c r="AO40" s="16">
        <f t="shared" si="12"/>
        <v>29658519</v>
      </c>
      <c r="AP40" s="16">
        <f t="shared" si="13"/>
        <v>28905781</v>
      </c>
      <c r="AQ40" s="16">
        <f t="shared" si="14"/>
        <v>30387820</v>
      </c>
      <c r="AR40" s="16">
        <f t="shared" si="15"/>
        <v>31207615</v>
      </c>
      <c r="AS40" s="16">
        <f t="shared" si="16"/>
        <v>32769480</v>
      </c>
      <c r="AT40" s="16"/>
      <c r="AV40" s="17">
        <f t="shared" si="17"/>
        <v>0.64047887401950632</v>
      </c>
      <c r="AW40" s="17">
        <f t="shared" si="18"/>
        <v>0.63780849542021978</v>
      </c>
      <c r="AX40" s="17">
        <f t="shared" si="19"/>
        <v>0.6359458123954087</v>
      </c>
      <c r="AY40" s="17">
        <f t="shared" si="20"/>
        <v>0.63816465492562269</v>
      </c>
      <c r="AZ40" s="17">
        <f t="shared" si="21"/>
        <v>0.64173122997362964</v>
      </c>
      <c r="BA40" s="17">
        <f t="shared" si="22"/>
        <v>0.64070285937913873</v>
      </c>
      <c r="BB40" s="17">
        <f t="shared" si="23"/>
        <v>0.63495749331002471</v>
      </c>
    </row>
    <row r="41" spans="2:54" x14ac:dyDescent="0.25">
      <c r="B41" s="14">
        <v>42</v>
      </c>
      <c r="C41" s="158" t="s">
        <v>34</v>
      </c>
      <c r="D41" s="15">
        <v>2719082</v>
      </c>
      <c r="E41" s="15">
        <v>2454185</v>
      </c>
      <c r="F41" s="15">
        <v>3062473</v>
      </c>
      <c r="G41" s="15">
        <v>2725942</v>
      </c>
      <c r="H41" s="15">
        <v>2726400</v>
      </c>
      <c r="I41" s="15">
        <v>3000281</v>
      </c>
      <c r="J41" s="15">
        <v>2722678</v>
      </c>
      <c r="K41" s="15">
        <v>2719167</v>
      </c>
      <c r="L41" s="15">
        <v>3181430</v>
      </c>
      <c r="M41" s="15">
        <v>2673001</v>
      </c>
      <c r="N41" s="15"/>
      <c r="O41" s="15"/>
      <c r="Q41" s="15">
        <v>1439267</v>
      </c>
      <c r="R41" s="15">
        <v>1296614</v>
      </c>
      <c r="S41" s="15">
        <v>1626881</v>
      </c>
      <c r="T41" s="15">
        <v>1478020</v>
      </c>
      <c r="U41" s="15">
        <v>1474416</v>
      </c>
      <c r="V41" s="15">
        <v>1611161</v>
      </c>
      <c r="W41" s="15">
        <v>1470246</v>
      </c>
      <c r="X41" s="15">
        <v>1441159</v>
      </c>
      <c r="Y41" s="15">
        <v>1750547</v>
      </c>
      <c r="Z41" s="15">
        <v>1423306</v>
      </c>
      <c r="AA41" s="15"/>
      <c r="AB41" s="15"/>
      <c r="AD41" s="16">
        <f t="shared" si="3"/>
        <v>10961682</v>
      </c>
      <c r="AE41" s="16">
        <f t="shared" si="4"/>
        <v>10969000</v>
      </c>
      <c r="AF41" s="16">
        <f t="shared" si="5"/>
        <v>11515096</v>
      </c>
      <c r="AG41" s="16">
        <f t="shared" si="6"/>
        <v>11175301</v>
      </c>
      <c r="AH41" s="16">
        <f t="shared" si="7"/>
        <v>11168526</v>
      </c>
      <c r="AI41" s="16">
        <f t="shared" si="8"/>
        <v>11623556</v>
      </c>
      <c r="AJ41" s="16">
        <f t="shared" si="9"/>
        <v>11296276</v>
      </c>
      <c r="AK41" s="16"/>
      <c r="AM41" s="16">
        <f t="shared" si="10"/>
        <v>5840782</v>
      </c>
      <c r="AN41" s="16">
        <f t="shared" si="11"/>
        <v>5875931</v>
      </c>
      <c r="AO41" s="16">
        <f t="shared" si="12"/>
        <v>6190478</v>
      </c>
      <c r="AP41" s="16">
        <f t="shared" si="13"/>
        <v>6033843</v>
      </c>
      <c r="AQ41" s="16">
        <f t="shared" si="14"/>
        <v>5996982</v>
      </c>
      <c r="AR41" s="16">
        <f t="shared" si="15"/>
        <v>6273113</v>
      </c>
      <c r="AS41" s="16">
        <f t="shared" si="16"/>
        <v>6085258</v>
      </c>
      <c r="AT41" s="16"/>
      <c r="AV41" s="17">
        <f t="shared" si="17"/>
        <v>0.53283629282440415</v>
      </c>
      <c r="AW41" s="17">
        <f t="shared" si="18"/>
        <v>0.53568520375603979</v>
      </c>
      <c r="AX41" s="17">
        <f t="shared" si="19"/>
        <v>0.5375967338874118</v>
      </c>
      <c r="AY41" s="17">
        <f t="shared" si="20"/>
        <v>0.53992666506253384</v>
      </c>
      <c r="AZ41" s="17">
        <f t="shared" si="21"/>
        <v>0.53695375737138451</v>
      </c>
      <c r="BA41" s="17">
        <f t="shared" si="22"/>
        <v>0.53968966123619999</v>
      </c>
      <c r="BB41" s="17">
        <f t="shared" si="23"/>
        <v>0.53869593837827612</v>
      </c>
    </row>
    <row r="42" spans="2:54" x14ac:dyDescent="0.25">
      <c r="B42" s="14">
        <v>43</v>
      </c>
      <c r="C42" s="158" t="s">
        <v>35</v>
      </c>
      <c r="D42" s="15">
        <v>6059560</v>
      </c>
      <c r="E42" s="15">
        <v>5040088</v>
      </c>
      <c r="F42" s="15">
        <v>7079477</v>
      </c>
      <c r="G42" s="15">
        <v>5122661</v>
      </c>
      <c r="H42" s="15">
        <v>13388923</v>
      </c>
      <c r="I42" s="15">
        <v>6204720</v>
      </c>
      <c r="J42" s="15">
        <v>5564967</v>
      </c>
      <c r="K42" s="15">
        <v>6994405</v>
      </c>
      <c r="L42" s="15">
        <v>7906031</v>
      </c>
      <c r="M42" s="15">
        <v>10443997</v>
      </c>
      <c r="N42" s="15"/>
      <c r="O42" s="15"/>
      <c r="Q42" s="15">
        <v>2792071.66</v>
      </c>
      <c r="R42" s="15">
        <v>2318702.84</v>
      </c>
      <c r="S42" s="15">
        <v>3294887.09</v>
      </c>
      <c r="T42" s="15">
        <v>2277481</v>
      </c>
      <c r="U42" s="15">
        <v>8893237</v>
      </c>
      <c r="V42" s="15">
        <v>2785369</v>
      </c>
      <c r="W42" s="15">
        <v>2615535</v>
      </c>
      <c r="X42" s="15">
        <v>3357315</v>
      </c>
      <c r="Y42" s="15">
        <v>4353974</v>
      </c>
      <c r="Z42" s="15">
        <v>5742005</v>
      </c>
      <c r="AA42" s="15"/>
      <c r="AB42" s="15"/>
      <c r="AD42" s="16">
        <f t="shared" si="3"/>
        <v>23301786</v>
      </c>
      <c r="AE42" s="16">
        <f t="shared" si="4"/>
        <v>30631149</v>
      </c>
      <c r="AF42" s="16">
        <f t="shared" si="5"/>
        <v>31795781</v>
      </c>
      <c r="AG42" s="16">
        <f t="shared" si="6"/>
        <v>30281271</v>
      </c>
      <c r="AH42" s="16">
        <f t="shared" si="7"/>
        <v>32153015</v>
      </c>
      <c r="AI42" s="16">
        <f t="shared" si="8"/>
        <v>26670123</v>
      </c>
      <c r="AJ42" s="16">
        <f t="shared" si="9"/>
        <v>30909400</v>
      </c>
      <c r="AK42" s="16"/>
      <c r="AM42" s="16">
        <f t="shared" si="10"/>
        <v>10683142.59</v>
      </c>
      <c r="AN42" s="16">
        <f t="shared" si="11"/>
        <v>16784307.93</v>
      </c>
      <c r="AO42" s="16">
        <f t="shared" si="12"/>
        <v>17250974.09</v>
      </c>
      <c r="AP42" s="16">
        <f t="shared" si="13"/>
        <v>16571622</v>
      </c>
      <c r="AQ42" s="16">
        <f t="shared" si="14"/>
        <v>17651456</v>
      </c>
      <c r="AR42" s="16">
        <f t="shared" si="15"/>
        <v>13112193</v>
      </c>
      <c r="AS42" s="16">
        <f t="shared" si="16"/>
        <v>16068829</v>
      </c>
      <c r="AT42" s="16"/>
      <c r="AV42" s="17">
        <f t="shared" si="17"/>
        <v>0.45846883110161596</v>
      </c>
      <c r="AW42" s="17">
        <f t="shared" si="18"/>
        <v>0.54794901523282724</v>
      </c>
      <c r="AX42" s="17">
        <f t="shared" si="19"/>
        <v>0.54255544438427228</v>
      </c>
      <c r="AY42" s="17">
        <f t="shared" si="20"/>
        <v>0.5472564873515382</v>
      </c>
      <c r="AZ42" s="17">
        <f t="shared" si="21"/>
        <v>0.54898291808715294</v>
      </c>
      <c r="BA42" s="17">
        <f t="shared" si="22"/>
        <v>0.49164351435499565</v>
      </c>
      <c r="BB42" s="17">
        <f t="shared" si="23"/>
        <v>0.51986868072495751</v>
      </c>
    </row>
    <row r="43" spans="2:54" x14ac:dyDescent="0.25">
      <c r="B43" s="14">
        <v>44</v>
      </c>
      <c r="C43" s="158" t="s">
        <v>36</v>
      </c>
      <c r="D43" s="15">
        <v>14078286</v>
      </c>
      <c r="E43" s="15">
        <v>14401556</v>
      </c>
      <c r="F43" s="15">
        <v>15469179</v>
      </c>
      <c r="G43" s="15">
        <v>12782093</v>
      </c>
      <c r="H43" s="15">
        <v>15452361</v>
      </c>
      <c r="I43" s="15">
        <v>14104888</v>
      </c>
      <c r="J43" s="15">
        <v>14645483</v>
      </c>
      <c r="K43" s="15">
        <v>14796103</v>
      </c>
      <c r="L43" s="15">
        <v>18122397</v>
      </c>
      <c r="M43" s="15">
        <v>24128601</v>
      </c>
      <c r="N43" s="15"/>
      <c r="O43" s="15"/>
      <c r="Q43" s="15">
        <v>6835395</v>
      </c>
      <c r="R43" s="15">
        <v>6962323</v>
      </c>
      <c r="S43" s="15">
        <v>7555368</v>
      </c>
      <c r="T43" s="15">
        <v>6262482</v>
      </c>
      <c r="U43" s="15">
        <v>7568367</v>
      </c>
      <c r="V43" s="15">
        <v>6920762</v>
      </c>
      <c r="W43" s="15">
        <v>7523638</v>
      </c>
      <c r="X43" s="15">
        <v>7546011</v>
      </c>
      <c r="Y43" s="15">
        <v>9242422</v>
      </c>
      <c r="Z43" s="15">
        <v>12305587</v>
      </c>
      <c r="AA43" s="15"/>
      <c r="AB43" s="15"/>
      <c r="AD43" s="16">
        <f t="shared" si="3"/>
        <v>56731114</v>
      </c>
      <c r="AE43" s="16">
        <f t="shared" si="4"/>
        <v>58105189</v>
      </c>
      <c r="AF43" s="16">
        <f t="shared" si="5"/>
        <v>57808521</v>
      </c>
      <c r="AG43" s="16">
        <f t="shared" si="6"/>
        <v>56984825</v>
      </c>
      <c r="AH43" s="16">
        <f t="shared" si="7"/>
        <v>58998835</v>
      </c>
      <c r="AI43" s="16">
        <f t="shared" si="8"/>
        <v>61668871</v>
      </c>
      <c r="AJ43" s="16">
        <f t="shared" si="9"/>
        <v>71692584</v>
      </c>
      <c r="AK43" s="16"/>
      <c r="AM43" s="16">
        <f t="shared" si="10"/>
        <v>27615568</v>
      </c>
      <c r="AN43" s="16">
        <f t="shared" si="11"/>
        <v>28348540</v>
      </c>
      <c r="AO43" s="16">
        <f t="shared" si="12"/>
        <v>28306979</v>
      </c>
      <c r="AP43" s="16">
        <f t="shared" si="13"/>
        <v>28275249</v>
      </c>
      <c r="AQ43" s="16">
        <f t="shared" si="14"/>
        <v>29558778</v>
      </c>
      <c r="AR43" s="16">
        <f t="shared" si="15"/>
        <v>31232833</v>
      </c>
      <c r="AS43" s="16">
        <f t="shared" si="16"/>
        <v>36617658</v>
      </c>
      <c r="AT43" s="16"/>
      <c r="AV43" s="17">
        <f t="shared" si="17"/>
        <v>0.48677993525739682</v>
      </c>
      <c r="AW43" s="17">
        <f t="shared" si="18"/>
        <v>0.48788310455370865</v>
      </c>
      <c r="AX43" s="17">
        <f t="shared" si="19"/>
        <v>0.48966793321005392</v>
      </c>
      <c r="AY43" s="17">
        <f t="shared" si="20"/>
        <v>0.496189099466393</v>
      </c>
      <c r="AZ43" s="17">
        <f t="shared" si="21"/>
        <v>0.50100613003629646</v>
      </c>
      <c r="BA43" s="17">
        <f t="shared" si="22"/>
        <v>0.50646026907157093</v>
      </c>
      <c r="BB43" s="17">
        <f t="shared" si="23"/>
        <v>0.51075935552832075</v>
      </c>
    </row>
    <row r="44" spans="2:54" x14ac:dyDescent="0.25">
      <c r="B44" s="14">
        <v>45</v>
      </c>
      <c r="C44" s="158" t="s">
        <v>37</v>
      </c>
      <c r="D44" s="15">
        <v>6175141</v>
      </c>
      <c r="E44" s="15">
        <v>5747414</v>
      </c>
      <c r="F44" s="15">
        <v>8066308</v>
      </c>
      <c r="G44" s="15">
        <v>6394030</v>
      </c>
      <c r="H44" s="15">
        <v>6432441</v>
      </c>
      <c r="I44" s="15">
        <v>6466190</v>
      </c>
      <c r="J44" s="15">
        <v>6925979</v>
      </c>
      <c r="K44" s="15">
        <v>6794351</v>
      </c>
      <c r="L44" s="15">
        <v>7293422</v>
      </c>
      <c r="M44" s="15">
        <v>9459720</v>
      </c>
      <c r="N44" s="15"/>
      <c r="O44" s="15"/>
      <c r="Q44" s="15">
        <v>3453903</v>
      </c>
      <c r="R44" s="15">
        <v>3240342</v>
      </c>
      <c r="S44" s="15">
        <v>4596604</v>
      </c>
      <c r="T44" s="15">
        <v>3508856</v>
      </c>
      <c r="U44" s="15">
        <v>3523949</v>
      </c>
      <c r="V44" s="15">
        <v>3531254</v>
      </c>
      <c r="W44" s="15">
        <v>3943742</v>
      </c>
      <c r="X44" s="15">
        <v>3871210</v>
      </c>
      <c r="Y44" s="15">
        <v>4364374</v>
      </c>
      <c r="Z44" s="15">
        <v>5421648</v>
      </c>
      <c r="AA44" s="15"/>
      <c r="AB44" s="15"/>
      <c r="AD44" s="16">
        <f t="shared" si="3"/>
        <v>26382893</v>
      </c>
      <c r="AE44" s="16">
        <f t="shared" si="4"/>
        <v>26640193</v>
      </c>
      <c r="AF44" s="16">
        <f t="shared" si="5"/>
        <v>27358969</v>
      </c>
      <c r="AG44" s="16">
        <f t="shared" si="6"/>
        <v>26218640</v>
      </c>
      <c r="AH44" s="16">
        <f t="shared" si="7"/>
        <v>26618961</v>
      </c>
      <c r="AI44" s="16">
        <f t="shared" si="8"/>
        <v>27479942</v>
      </c>
      <c r="AJ44" s="16">
        <f t="shared" si="9"/>
        <v>30473472</v>
      </c>
      <c r="AK44" s="16"/>
      <c r="AM44" s="16">
        <f t="shared" si="10"/>
        <v>14799705</v>
      </c>
      <c r="AN44" s="16">
        <f t="shared" si="11"/>
        <v>14869751</v>
      </c>
      <c r="AO44" s="16">
        <f t="shared" si="12"/>
        <v>15160663</v>
      </c>
      <c r="AP44" s="16">
        <f t="shared" si="13"/>
        <v>14507801</v>
      </c>
      <c r="AQ44" s="16">
        <f t="shared" si="14"/>
        <v>14870155</v>
      </c>
      <c r="AR44" s="16">
        <f t="shared" si="15"/>
        <v>15710580</v>
      </c>
      <c r="AS44" s="16">
        <f t="shared" si="16"/>
        <v>17600974</v>
      </c>
      <c r="AT44" s="16"/>
      <c r="AV44" s="17">
        <f t="shared" si="17"/>
        <v>0.56095838314623037</v>
      </c>
      <c r="AW44" s="17">
        <f t="shared" si="18"/>
        <v>0.55816979253866517</v>
      </c>
      <c r="AX44" s="17">
        <f t="shared" si="19"/>
        <v>0.55413868117618026</v>
      </c>
      <c r="AY44" s="17">
        <f t="shared" si="20"/>
        <v>0.55333918921805247</v>
      </c>
      <c r="AZ44" s="17">
        <f t="shared" si="21"/>
        <v>0.55863018094507899</v>
      </c>
      <c r="BA44" s="17">
        <f t="shared" si="22"/>
        <v>0.57171081365455578</v>
      </c>
      <c r="BB44" s="17">
        <f t="shared" si="23"/>
        <v>0.57758347982140001</v>
      </c>
    </row>
    <row r="45" spans="2:54" x14ac:dyDescent="0.25">
      <c r="B45" s="14">
        <v>46</v>
      </c>
      <c r="C45" s="158" t="s">
        <v>38</v>
      </c>
      <c r="D45" s="15">
        <v>3741388</v>
      </c>
      <c r="E45" s="15">
        <v>3992459</v>
      </c>
      <c r="F45" s="15">
        <v>3434364</v>
      </c>
      <c r="G45" s="15">
        <v>4698305</v>
      </c>
      <c r="H45" s="15">
        <v>4127809</v>
      </c>
      <c r="I45" s="15">
        <v>11584850</v>
      </c>
      <c r="J45" s="15">
        <v>8544864</v>
      </c>
      <c r="K45" s="15">
        <v>7375490</v>
      </c>
      <c r="L45" s="15">
        <v>20125342</v>
      </c>
      <c r="M45" s="15">
        <v>22823670</v>
      </c>
      <c r="N45" s="15"/>
      <c r="O45" s="15"/>
      <c r="Q45" s="15">
        <v>1708025</v>
      </c>
      <c r="R45" s="15">
        <v>1842950</v>
      </c>
      <c r="S45" s="15">
        <v>1624201</v>
      </c>
      <c r="T45" s="15">
        <v>2243465</v>
      </c>
      <c r="U45" s="15">
        <v>1849382</v>
      </c>
      <c r="V45" s="15">
        <v>5778966</v>
      </c>
      <c r="W45" s="15">
        <v>4259843</v>
      </c>
      <c r="X45" s="15">
        <v>3755513</v>
      </c>
      <c r="Y45" s="15">
        <v>11469348</v>
      </c>
      <c r="Z45" s="15">
        <v>12642929</v>
      </c>
      <c r="AA45" s="15"/>
      <c r="AB45" s="15"/>
      <c r="AD45" s="16">
        <f t="shared" si="3"/>
        <v>15866516</v>
      </c>
      <c r="AE45" s="16">
        <f t="shared" si="4"/>
        <v>16252937</v>
      </c>
      <c r="AF45" s="16">
        <f t="shared" si="5"/>
        <v>23845328</v>
      </c>
      <c r="AG45" s="16">
        <f t="shared" si="6"/>
        <v>28955828</v>
      </c>
      <c r="AH45" s="16">
        <f t="shared" si="7"/>
        <v>31633013</v>
      </c>
      <c r="AI45" s="16">
        <f t="shared" si="8"/>
        <v>47630546</v>
      </c>
      <c r="AJ45" s="16">
        <f t="shared" si="9"/>
        <v>58869366</v>
      </c>
      <c r="AK45" s="16"/>
      <c r="AM45" s="16">
        <f t="shared" si="10"/>
        <v>7418641</v>
      </c>
      <c r="AN45" s="16">
        <f t="shared" si="11"/>
        <v>7559998</v>
      </c>
      <c r="AO45" s="16">
        <f t="shared" si="12"/>
        <v>11496014</v>
      </c>
      <c r="AP45" s="16">
        <f t="shared" si="13"/>
        <v>14131656</v>
      </c>
      <c r="AQ45" s="16">
        <f t="shared" si="14"/>
        <v>15643704</v>
      </c>
      <c r="AR45" s="16">
        <f t="shared" si="15"/>
        <v>25263670</v>
      </c>
      <c r="AS45" s="16">
        <f t="shared" si="16"/>
        <v>32127633</v>
      </c>
      <c r="AT45" s="16"/>
      <c r="AV45" s="17">
        <f t="shared" si="17"/>
        <v>0.46756584747401381</v>
      </c>
      <c r="AW45" s="17">
        <f t="shared" si="18"/>
        <v>0.46514657627725992</v>
      </c>
      <c r="AX45" s="17">
        <f t="shared" si="19"/>
        <v>0.48210760615245052</v>
      </c>
      <c r="AY45" s="17">
        <f t="shared" si="20"/>
        <v>0.48804185464839756</v>
      </c>
      <c r="AZ45" s="17">
        <f t="shared" si="21"/>
        <v>0.49453727344910203</v>
      </c>
      <c r="BA45" s="17">
        <f t="shared" si="22"/>
        <v>0.53040899426179156</v>
      </c>
      <c r="BB45" s="17">
        <f t="shared" si="23"/>
        <v>0.54574450487542192</v>
      </c>
    </row>
    <row r="46" spans="2:54" x14ac:dyDescent="0.25">
      <c r="B46" s="14">
        <v>47</v>
      </c>
      <c r="C46" s="158" t="s">
        <v>39</v>
      </c>
      <c r="D46" s="15">
        <v>2905631</v>
      </c>
      <c r="E46" s="15">
        <v>3132030</v>
      </c>
      <c r="F46" s="15">
        <v>4264728</v>
      </c>
      <c r="G46" s="15">
        <v>4434678</v>
      </c>
      <c r="H46" s="15">
        <v>2962050</v>
      </c>
      <c r="I46" s="15">
        <v>3104030</v>
      </c>
      <c r="J46" s="15">
        <v>2977544</v>
      </c>
      <c r="K46" s="15">
        <v>3019792</v>
      </c>
      <c r="L46" s="15">
        <v>3539977</v>
      </c>
      <c r="M46" s="15">
        <v>3418009</v>
      </c>
      <c r="N46" s="15"/>
      <c r="O46" s="15"/>
      <c r="Q46" s="15">
        <v>1674675</v>
      </c>
      <c r="R46" s="15">
        <v>1799854</v>
      </c>
      <c r="S46" s="15">
        <v>2547274</v>
      </c>
      <c r="T46" s="15">
        <v>2840046</v>
      </c>
      <c r="U46" s="15">
        <v>1466037</v>
      </c>
      <c r="V46" s="15">
        <v>1533487</v>
      </c>
      <c r="W46" s="15">
        <v>1548323</v>
      </c>
      <c r="X46" s="15">
        <v>1570293</v>
      </c>
      <c r="Y46" s="15">
        <v>1948571</v>
      </c>
      <c r="Z46" s="15">
        <v>1778355</v>
      </c>
      <c r="AA46" s="15"/>
      <c r="AB46" s="15"/>
      <c r="AD46" s="16">
        <f t="shared" si="3"/>
        <v>14737067</v>
      </c>
      <c r="AE46" s="16">
        <f t="shared" si="4"/>
        <v>14793486</v>
      </c>
      <c r="AF46" s="16">
        <f t="shared" si="5"/>
        <v>14765486</v>
      </c>
      <c r="AG46" s="16">
        <f t="shared" si="6"/>
        <v>13478302</v>
      </c>
      <c r="AH46" s="16">
        <f t="shared" si="7"/>
        <v>12063416</v>
      </c>
      <c r="AI46" s="16">
        <f t="shared" si="8"/>
        <v>12641343</v>
      </c>
      <c r="AJ46" s="16">
        <f t="shared" si="9"/>
        <v>12955322</v>
      </c>
      <c r="AK46" s="16"/>
      <c r="AM46" s="16">
        <f t="shared" si="10"/>
        <v>8861849</v>
      </c>
      <c r="AN46" s="16">
        <f t="shared" si="11"/>
        <v>8653211</v>
      </c>
      <c r="AO46" s="16">
        <f t="shared" si="12"/>
        <v>8386844</v>
      </c>
      <c r="AP46" s="16">
        <f t="shared" si="13"/>
        <v>7387893</v>
      </c>
      <c r="AQ46" s="16">
        <f t="shared" si="14"/>
        <v>6118140</v>
      </c>
      <c r="AR46" s="16">
        <f t="shared" si="15"/>
        <v>6600674</v>
      </c>
      <c r="AS46" s="16">
        <f t="shared" si="16"/>
        <v>6845542</v>
      </c>
      <c r="AT46" s="16"/>
      <c r="AV46" s="17">
        <f t="shared" si="17"/>
        <v>0.60133057683730418</v>
      </c>
      <c r="AW46" s="17">
        <f t="shared" si="18"/>
        <v>0.58493386886633747</v>
      </c>
      <c r="AX46" s="17">
        <f t="shared" si="19"/>
        <v>0.56800324757342902</v>
      </c>
      <c r="AY46" s="17">
        <f t="shared" si="20"/>
        <v>0.54813232408652068</v>
      </c>
      <c r="AZ46" s="17">
        <f t="shared" si="21"/>
        <v>0.50716480307070566</v>
      </c>
      <c r="BA46" s="17">
        <f t="shared" si="22"/>
        <v>0.52214974310878204</v>
      </c>
      <c r="BB46" s="17">
        <f t="shared" si="23"/>
        <v>0.52839612940535174</v>
      </c>
    </row>
    <row r="47" spans="2:54" x14ac:dyDescent="0.25">
      <c r="B47" s="14">
        <v>48</v>
      </c>
      <c r="C47" s="158" t="s">
        <v>40</v>
      </c>
      <c r="D47" s="15">
        <v>4064945</v>
      </c>
      <c r="E47" s="15">
        <v>5355659</v>
      </c>
      <c r="F47" s="15">
        <v>7405862</v>
      </c>
      <c r="G47" s="15">
        <v>4039716</v>
      </c>
      <c r="H47" s="15">
        <v>3990964</v>
      </c>
      <c r="I47" s="15">
        <v>4943239</v>
      </c>
      <c r="J47" s="15">
        <v>5361556</v>
      </c>
      <c r="K47" s="15">
        <v>5069716</v>
      </c>
      <c r="L47" s="15">
        <v>7008900</v>
      </c>
      <c r="M47" s="15">
        <v>5578441</v>
      </c>
      <c r="N47" s="15"/>
      <c r="O47" s="15"/>
      <c r="Q47" s="15">
        <v>1894432</v>
      </c>
      <c r="R47" s="15">
        <v>2634579</v>
      </c>
      <c r="S47" s="15">
        <v>3787450</v>
      </c>
      <c r="T47" s="15">
        <v>1919541</v>
      </c>
      <c r="U47" s="15">
        <v>1870422</v>
      </c>
      <c r="V47" s="15">
        <v>2374943</v>
      </c>
      <c r="W47" s="15">
        <v>2757848</v>
      </c>
      <c r="X47" s="15">
        <v>2628022</v>
      </c>
      <c r="Y47" s="15">
        <v>4222608</v>
      </c>
      <c r="Z47" s="15">
        <v>2849983</v>
      </c>
      <c r="AA47" s="15"/>
      <c r="AB47" s="15"/>
      <c r="AD47" s="16">
        <f t="shared" si="3"/>
        <v>20866182</v>
      </c>
      <c r="AE47" s="16">
        <f t="shared" si="4"/>
        <v>20792201</v>
      </c>
      <c r="AF47" s="16">
        <f t="shared" si="5"/>
        <v>20379781</v>
      </c>
      <c r="AG47" s="16">
        <f t="shared" si="6"/>
        <v>18335475</v>
      </c>
      <c r="AH47" s="16">
        <f t="shared" si="7"/>
        <v>19365475</v>
      </c>
      <c r="AI47" s="16">
        <f t="shared" si="8"/>
        <v>22383411</v>
      </c>
      <c r="AJ47" s="16">
        <f t="shared" si="9"/>
        <v>23018613</v>
      </c>
      <c r="AK47" s="16"/>
      <c r="AM47" s="16">
        <f t="shared" si="10"/>
        <v>10236002</v>
      </c>
      <c r="AN47" s="16">
        <f t="shared" si="11"/>
        <v>10211992</v>
      </c>
      <c r="AO47" s="16">
        <f t="shared" si="12"/>
        <v>9952356</v>
      </c>
      <c r="AP47" s="16">
        <f t="shared" si="13"/>
        <v>8922754</v>
      </c>
      <c r="AQ47" s="16">
        <f t="shared" si="14"/>
        <v>9631235</v>
      </c>
      <c r="AR47" s="16">
        <f t="shared" si="15"/>
        <v>11983421</v>
      </c>
      <c r="AS47" s="16">
        <f t="shared" si="16"/>
        <v>12458461</v>
      </c>
      <c r="AT47" s="16"/>
      <c r="AV47" s="17">
        <f t="shared" si="17"/>
        <v>0.49055462086930901</v>
      </c>
      <c r="AW47" s="17">
        <f t="shared" si="18"/>
        <v>0.49114530972454529</v>
      </c>
      <c r="AX47" s="17">
        <f t="shared" si="19"/>
        <v>0.48834459997386626</v>
      </c>
      <c r="AY47" s="17">
        <f t="shared" si="20"/>
        <v>0.48663882446459661</v>
      </c>
      <c r="AZ47" s="17">
        <f t="shared" si="21"/>
        <v>0.49734049900660843</v>
      </c>
      <c r="BA47" s="17">
        <f t="shared" si="22"/>
        <v>0.53537063676309204</v>
      </c>
      <c r="BB47" s="17">
        <f t="shared" si="23"/>
        <v>0.54123421771763569</v>
      </c>
    </row>
    <row r="48" spans="2:54" x14ac:dyDescent="0.25">
      <c r="B48" s="14">
        <v>49</v>
      </c>
      <c r="C48" s="158" t="s">
        <v>41</v>
      </c>
      <c r="D48" s="15">
        <v>32160737</v>
      </c>
      <c r="E48" s="15">
        <v>35501931</v>
      </c>
      <c r="F48" s="15">
        <v>35386502</v>
      </c>
      <c r="G48" s="15">
        <v>30972041</v>
      </c>
      <c r="H48" s="15">
        <v>31568754</v>
      </c>
      <c r="I48" s="15">
        <v>43096843</v>
      </c>
      <c r="J48" s="15">
        <v>33741411</v>
      </c>
      <c r="K48" s="15">
        <v>31937377</v>
      </c>
      <c r="L48" s="15">
        <v>48775546</v>
      </c>
      <c r="M48" s="15">
        <v>58618157</v>
      </c>
      <c r="N48" s="15"/>
      <c r="O48" s="15"/>
      <c r="Q48" s="15">
        <v>14753434</v>
      </c>
      <c r="R48" s="15">
        <v>16450776</v>
      </c>
      <c r="S48" s="15">
        <v>16368469</v>
      </c>
      <c r="T48" s="15">
        <v>14180011</v>
      </c>
      <c r="U48" s="15">
        <v>14404731</v>
      </c>
      <c r="V48" s="15">
        <v>20549052</v>
      </c>
      <c r="W48" s="15">
        <v>16192731</v>
      </c>
      <c r="X48" s="15">
        <v>15649317</v>
      </c>
      <c r="Y48" s="15">
        <v>29099943</v>
      </c>
      <c r="Z48" s="15">
        <v>31589260</v>
      </c>
      <c r="AA48" s="15"/>
      <c r="AB48" s="15"/>
      <c r="AD48" s="16">
        <f t="shared" si="3"/>
        <v>134021211</v>
      </c>
      <c r="AE48" s="16">
        <f t="shared" si="4"/>
        <v>133429228</v>
      </c>
      <c r="AF48" s="16">
        <f t="shared" si="5"/>
        <v>141024140</v>
      </c>
      <c r="AG48" s="16">
        <f t="shared" si="6"/>
        <v>139379049</v>
      </c>
      <c r="AH48" s="16">
        <f t="shared" si="7"/>
        <v>140344385</v>
      </c>
      <c r="AI48" s="16">
        <f t="shared" si="8"/>
        <v>157551177</v>
      </c>
      <c r="AJ48" s="16">
        <f t="shared" si="9"/>
        <v>173072491</v>
      </c>
      <c r="AK48" s="16"/>
      <c r="AM48" s="16">
        <f t="shared" si="10"/>
        <v>61752690</v>
      </c>
      <c r="AN48" s="16">
        <f t="shared" si="11"/>
        <v>61403987</v>
      </c>
      <c r="AO48" s="16">
        <f t="shared" si="12"/>
        <v>65502263</v>
      </c>
      <c r="AP48" s="16">
        <f t="shared" si="13"/>
        <v>65326525</v>
      </c>
      <c r="AQ48" s="16">
        <f t="shared" si="14"/>
        <v>66795831</v>
      </c>
      <c r="AR48" s="16">
        <f t="shared" si="15"/>
        <v>81491043</v>
      </c>
      <c r="AS48" s="16">
        <f t="shared" si="16"/>
        <v>92531251</v>
      </c>
      <c r="AT48" s="16"/>
      <c r="AV48" s="17">
        <f t="shared" si="17"/>
        <v>0.46076803469564231</v>
      </c>
      <c r="AW48" s="17">
        <f t="shared" si="18"/>
        <v>0.46019892283270947</v>
      </c>
      <c r="AX48" s="17">
        <f t="shared" si="19"/>
        <v>0.46447553589052198</v>
      </c>
      <c r="AY48" s="17">
        <f t="shared" si="20"/>
        <v>0.4686968771038178</v>
      </c>
      <c r="AZ48" s="17">
        <f t="shared" si="21"/>
        <v>0.47594231147900928</v>
      </c>
      <c r="BA48" s="17">
        <f t="shared" si="22"/>
        <v>0.51723538060271046</v>
      </c>
      <c r="BB48" s="17">
        <f t="shared" si="23"/>
        <v>0.53463869656790231</v>
      </c>
    </row>
    <row r="49" spans="2:54" x14ac:dyDescent="0.25">
      <c r="B49" s="14">
        <v>50</v>
      </c>
      <c r="C49" s="158" t="s">
        <v>42</v>
      </c>
      <c r="D49" s="15">
        <v>717305</v>
      </c>
      <c r="E49" s="15">
        <v>628912</v>
      </c>
      <c r="F49" s="15">
        <v>1071323</v>
      </c>
      <c r="G49" s="15">
        <v>642815</v>
      </c>
      <c r="H49" s="15">
        <v>1149871</v>
      </c>
      <c r="I49" s="15">
        <v>951744</v>
      </c>
      <c r="J49" s="15">
        <v>1380817</v>
      </c>
      <c r="K49" s="15">
        <v>545911</v>
      </c>
      <c r="L49" s="15">
        <v>1057675</v>
      </c>
      <c r="M49" s="15">
        <v>1238231</v>
      </c>
      <c r="N49" s="15"/>
      <c r="O49" s="15"/>
      <c r="Q49" s="15">
        <v>347690</v>
      </c>
      <c r="R49" s="15">
        <v>303806</v>
      </c>
      <c r="S49" s="15">
        <v>521535</v>
      </c>
      <c r="T49" s="15">
        <v>302605</v>
      </c>
      <c r="U49" s="15">
        <v>519361</v>
      </c>
      <c r="V49" s="15">
        <v>428818</v>
      </c>
      <c r="W49" s="15">
        <v>648985</v>
      </c>
      <c r="X49" s="15">
        <v>278414</v>
      </c>
      <c r="Y49" s="15">
        <v>539416</v>
      </c>
      <c r="Z49" s="15">
        <v>631496</v>
      </c>
      <c r="AA49" s="15"/>
      <c r="AB49" s="15"/>
      <c r="AD49" s="16">
        <f t="shared" si="3"/>
        <v>3060355</v>
      </c>
      <c r="AE49" s="16">
        <f t="shared" si="4"/>
        <v>3492921</v>
      </c>
      <c r="AF49" s="16">
        <f t="shared" si="5"/>
        <v>3815753</v>
      </c>
      <c r="AG49" s="16">
        <f t="shared" si="6"/>
        <v>4125247</v>
      </c>
      <c r="AH49" s="16">
        <f t="shared" si="7"/>
        <v>4028343</v>
      </c>
      <c r="AI49" s="16">
        <f t="shared" si="8"/>
        <v>3936147</v>
      </c>
      <c r="AJ49" s="16">
        <f t="shared" si="9"/>
        <v>4222634</v>
      </c>
      <c r="AK49" s="16"/>
      <c r="AM49" s="16">
        <f t="shared" si="10"/>
        <v>1475636</v>
      </c>
      <c r="AN49" s="16">
        <f t="shared" si="11"/>
        <v>1647307</v>
      </c>
      <c r="AO49" s="16">
        <f t="shared" si="12"/>
        <v>1772319</v>
      </c>
      <c r="AP49" s="16">
        <f t="shared" si="13"/>
        <v>1899769</v>
      </c>
      <c r="AQ49" s="16">
        <f t="shared" si="14"/>
        <v>1875578</v>
      </c>
      <c r="AR49" s="16">
        <f t="shared" si="15"/>
        <v>1895633</v>
      </c>
      <c r="AS49" s="16">
        <f t="shared" si="16"/>
        <v>2098311</v>
      </c>
      <c r="AT49" s="16"/>
      <c r="AV49" s="17">
        <f t="shared" si="17"/>
        <v>0.48217804797155883</v>
      </c>
      <c r="AW49" s="17">
        <f t="shared" si="18"/>
        <v>0.4716130138643273</v>
      </c>
      <c r="AX49" s="17">
        <f t="shared" si="19"/>
        <v>0.46447424662969539</v>
      </c>
      <c r="AY49" s="17">
        <f t="shared" si="20"/>
        <v>0.4605224850778632</v>
      </c>
      <c r="AZ49" s="17">
        <f t="shared" si="21"/>
        <v>0.46559540734242344</v>
      </c>
      <c r="BA49" s="17">
        <f t="shared" si="22"/>
        <v>0.48159608876396132</v>
      </c>
      <c r="BB49" s="17">
        <f t="shared" si="23"/>
        <v>0.49691993196663503</v>
      </c>
    </row>
    <row r="50" spans="2:54" x14ac:dyDescent="0.25">
      <c r="B50" s="14">
        <v>51</v>
      </c>
      <c r="C50" s="158" t="s">
        <v>43</v>
      </c>
      <c r="D50" s="15">
        <v>10149303</v>
      </c>
      <c r="E50" s="15">
        <v>10932465</v>
      </c>
      <c r="F50" s="15">
        <v>11483475</v>
      </c>
      <c r="G50" s="15">
        <v>10275287</v>
      </c>
      <c r="H50" s="15">
        <v>11219577</v>
      </c>
      <c r="I50" s="15">
        <v>12620703</v>
      </c>
      <c r="J50" s="15">
        <v>11870656</v>
      </c>
      <c r="K50" s="15">
        <v>11509453</v>
      </c>
      <c r="L50" s="15">
        <v>17837870</v>
      </c>
      <c r="M50" s="15">
        <v>15754694</v>
      </c>
      <c r="N50" s="15"/>
      <c r="O50" s="15"/>
      <c r="Q50" s="15">
        <v>4930349</v>
      </c>
      <c r="R50" s="15">
        <v>5420935</v>
      </c>
      <c r="S50" s="15">
        <v>5533370</v>
      </c>
      <c r="T50" s="15">
        <v>4899654</v>
      </c>
      <c r="U50" s="15">
        <v>5374074</v>
      </c>
      <c r="V50" s="15">
        <v>6037660</v>
      </c>
      <c r="W50" s="15">
        <v>5973651</v>
      </c>
      <c r="X50" s="15">
        <v>5879755</v>
      </c>
      <c r="Y50" s="15">
        <v>10106624</v>
      </c>
      <c r="Z50" s="15">
        <v>8049687</v>
      </c>
      <c r="AA50" s="15"/>
      <c r="AB50" s="15"/>
      <c r="AD50" s="16">
        <f t="shared" si="3"/>
        <v>42840530</v>
      </c>
      <c r="AE50" s="16">
        <f t="shared" si="4"/>
        <v>43910804</v>
      </c>
      <c r="AF50" s="16">
        <f t="shared" si="5"/>
        <v>45599042</v>
      </c>
      <c r="AG50" s="16">
        <f t="shared" si="6"/>
        <v>45986223</v>
      </c>
      <c r="AH50" s="16">
        <f t="shared" si="7"/>
        <v>47220389</v>
      </c>
      <c r="AI50" s="16">
        <f t="shared" si="8"/>
        <v>53838682</v>
      </c>
      <c r="AJ50" s="16">
        <f t="shared" si="9"/>
        <v>56972673</v>
      </c>
      <c r="AK50" s="16"/>
      <c r="AM50" s="16">
        <f t="shared" si="10"/>
        <v>20784308</v>
      </c>
      <c r="AN50" s="16">
        <f t="shared" si="11"/>
        <v>21228033</v>
      </c>
      <c r="AO50" s="16">
        <f t="shared" si="12"/>
        <v>21844758</v>
      </c>
      <c r="AP50" s="16">
        <f t="shared" si="13"/>
        <v>22285039</v>
      </c>
      <c r="AQ50" s="16">
        <f t="shared" si="14"/>
        <v>23265140</v>
      </c>
      <c r="AR50" s="16">
        <f t="shared" si="15"/>
        <v>27997690</v>
      </c>
      <c r="AS50" s="16">
        <f t="shared" si="16"/>
        <v>30009717</v>
      </c>
      <c r="AT50" s="16"/>
      <c r="AV50" s="17">
        <f t="shared" si="17"/>
        <v>0.48515524901302576</v>
      </c>
      <c r="AW50" s="17">
        <f t="shared" si="18"/>
        <v>0.48343530671859253</v>
      </c>
      <c r="AX50" s="17">
        <f t="shared" si="19"/>
        <v>0.47906177502588759</v>
      </c>
      <c r="AY50" s="17">
        <f t="shared" si="20"/>
        <v>0.48460250801636828</v>
      </c>
      <c r="AZ50" s="17">
        <f t="shared" si="21"/>
        <v>0.49269267985064674</v>
      </c>
      <c r="BA50" s="17">
        <f t="shared" si="22"/>
        <v>0.52002926074601896</v>
      </c>
      <c r="BB50" s="17">
        <f t="shared" si="23"/>
        <v>0.52673879282441249</v>
      </c>
    </row>
    <row r="51" spans="2:54" x14ac:dyDescent="0.25">
      <c r="B51" s="14">
        <v>52</v>
      </c>
      <c r="C51" s="158" t="s">
        <v>44</v>
      </c>
      <c r="D51" s="15">
        <v>5768273</v>
      </c>
      <c r="E51" s="15">
        <v>5608298</v>
      </c>
      <c r="F51" s="15">
        <v>6141025</v>
      </c>
      <c r="G51" s="15">
        <v>7022784</v>
      </c>
      <c r="H51" s="15">
        <v>10681509</v>
      </c>
      <c r="I51" s="15">
        <v>9098444</v>
      </c>
      <c r="J51" s="15">
        <v>7315417</v>
      </c>
      <c r="K51" s="15">
        <v>7775010</v>
      </c>
      <c r="L51" s="15">
        <v>9285637</v>
      </c>
      <c r="M51" s="15">
        <v>11706627</v>
      </c>
      <c r="N51" s="15"/>
      <c r="O51" s="15"/>
      <c r="Q51" s="15">
        <v>2734120</v>
      </c>
      <c r="R51" s="15">
        <v>2732840</v>
      </c>
      <c r="S51" s="15">
        <v>2931676</v>
      </c>
      <c r="T51" s="15">
        <v>3279294</v>
      </c>
      <c r="U51" s="15">
        <v>5155164</v>
      </c>
      <c r="V51" s="15">
        <v>4250211</v>
      </c>
      <c r="W51" s="15">
        <v>3490273</v>
      </c>
      <c r="X51" s="15">
        <v>3786435</v>
      </c>
      <c r="Y51" s="15">
        <v>5152768</v>
      </c>
      <c r="Z51" s="15">
        <v>6227343</v>
      </c>
      <c r="AA51" s="15"/>
      <c r="AB51" s="15"/>
      <c r="AD51" s="16">
        <f t="shared" si="3"/>
        <v>24540380</v>
      </c>
      <c r="AE51" s="16">
        <f t="shared" si="4"/>
        <v>29453616</v>
      </c>
      <c r="AF51" s="16">
        <f t="shared" si="5"/>
        <v>32943762</v>
      </c>
      <c r="AG51" s="16">
        <f t="shared" si="6"/>
        <v>34118154</v>
      </c>
      <c r="AH51" s="16">
        <f t="shared" si="7"/>
        <v>34870380</v>
      </c>
      <c r="AI51" s="16">
        <f t="shared" si="8"/>
        <v>33474508</v>
      </c>
      <c r="AJ51" s="16">
        <f t="shared" si="9"/>
        <v>36082691</v>
      </c>
      <c r="AK51" s="16"/>
      <c r="AM51" s="16">
        <f t="shared" si="10"/>
        <v>11677930</v>
      </c>
      <c r="AN51" s="16">
        <f t="shared" si="11"/>
        <v>14098974</v>
      </c>
      <c r="AO51" s="16">
        <f t="shared" si="12"/>
        <v>15616345</v>
      </c>
      <c r="AP51" s="16">
        <f t="shared" si="13"/>
        <v>16174942</v>
      </c>
      <c r="AQ51" s="16">
        <f t="shared" si="14"/>
        <v>16682083</v>
      </c>
      <c r="AR51" s="16">
        <f t="shared" si="15"/>
        <v>16679687</v>
      </c>
      <c r="AS51" s="16">
        <f t="shared" si="16"/>
        <v>18656819</v>
      </c>
      <c r="AT51" s="16"/>
      <c r="AV51" s="17">
        <f t="shared" si="17"/>
        <v>0.47586589938705104</v>
      </c>
      <c r="AW51" s="17">
        <f t="shared" si="18"/>
        <v>0.47868397550915309</v>
      </c>
      <c r="AX51" s="17">
        <f t="shared" si="19"/>
        <v>0.47403040976315941</v>
      </c>
      <c r="AY51" s="17">
        <f t="shared" si="20"/>
        <v>0.47408608332092056</v>
      </c>
      <c r="AZ51" s="17">
        <f t="shared" si="21"/>
        <v>0.47840267298492301</v>
      </c>
      <c r="BA51" s="17">
        <f t="shared" si="22"/>
        <v>0.49828027345465392</v>
      </c>
      <c r="BB51" s="17">
        <f t="shared" si="23"/>
        <v>0.5170573059531508</v>
      </c>
    </row>
    <row r="52" spans="2:54" x14ac:dyDescent="0.25">
      <c r="B52" s="14">
        <v>53</v>
      </c>
      <c r="C52" s="158" t="s">
        <v>45</v>
      </c>
      <c r="D52" s="15">
        <v>11979320</v>
      </c>
      <c r="E52" s="15">
        <v>12869690</v>
      </c>
      <c r="F52" s="15">
        <v>14101456</v>
      </c>
      <c r="G52" s="15">
        <v>12161315</v>
      </c>
      <c r="H52" s="15">
        <v>12953486</v>
      </c>
      <c r="I52" s="15">
        <v>15352029</v>
      </c>
      <c r="J52" s="15">
        <v>11174989</v>
      </c>
      <c r="K52" s="15">
        <v>12245865</v>
      </c>
      <c r="L52" s="15">
        <v>12893468</v>
      </c>
      <c r="M52" s="15">
        <v>14173987</v>
      </c>
      <c r="N52" s="15"/>
      <c r="O52" s="15"/>
      <c r="Q52" s="15">
        <v>6154278</v>
      </c>
      <c r="R52" s="15">
        <v>6536061</v>
      </c>
      <c r="S52" s="15">
        <v>7165100</v>
      </c>
      <c r="T52" s="15">
        <v>6114234</v>
      </c>
      <c r="U52" s="15">
        <v>6453601</v>
      </c>
      <c r="V52" s="15">
        <v>7809400</v>
      </c>
      <c r="W52" s="15">
        <v>5817588</v>
      </c>
      <c r="X52" s="15">
        <v>6252955</v>
      </c>
      <c r="Y52" s="15">
        <v>7187792</v>
      </c>
      <c r="Z52" s="15">
        <v>7236113</v>
      </c>
      <c r="AA52" s="15"/>
      <c r="AB52" s="15"/>
      <c r="AD52" s="16">
        <f t="shared" si="3"/>
        <v>51111781</v>
      </c>
      <c r="AE52" s="16">
        <f t="shared" si="4"/>
        <v>52085947</v>
      </c>
      <c r="AF52" s="16">
        <f t="shared" si="5"/>
        <v>54568286</v>
      </c>
      <c r="AG52" s="16">
        <f t="shared" si="6"/>
        <v>51641819</v>
      </c>
      <c r="AH52" s="16">
        <f t="shared" si="7"/>
        <v>51726369</v>
      </c>
      <c r="AI52" s="16">
        <f t="shared" si="8"/>
        <v>51666351</v>
      </c>
      <c r="AJ52" s="16">
        <f t="shared" si="9"/>
        <v>50488309</v>
      </c>
      <c r="AK52" s="16"/>
      <c r="AM52" s="16">
        <f t="shared" si="10"/>
        <v>25969673</v>
      </c>
      <c r="AN52" s="16">
        <f t="shared" si="11"/>
        <v>26268996</v>
      </c>
      <c r="AO52" s="16">
        <f t="shared" si="12"/>
        <v>27542335</v>
      </c>
      <c r="AP52" s="16">
        <f t="shared" si="13"/>
        <v>26194823</v>
      </c>
      <c r="AQ52" s="16">
        <f t="shared" si="14"/>
        <v>26333544</v>
      </c>
      <c r="AR52" s="16">
        <f t="shared" si="15"/>
        <v>27067735</v>
      </c>
      <c r="AS52" s="16">
        <f t="shared" si="16"/>
        <v>26494448</v>
      </c>
      <c r="AT52" s="16"/>
      <c r="AV52" s="17">
        <f t="shared" si="17"/>
        <v>0.50809563845955596</v>
      </c>
      <c r="AW52" s="17">
        <f t="shared" si="18"/>
        <v>0.50433941423777895</v>
      </c>
      <c r="AX52" s="17">
        <f t="shared" si="19"/>
        <v>0.50473153948797289</v>
      </c>
      <c r="AY52" s="17">
        <f t="shared" si="20"/>
        <v>0.50724051761228628</v>
      </c>
      <c r="AZ52" s="17">
        <f t="shared" si="21"/>
        <v>0.50909322477284269</v>
      </c>
      <c r="BA52" s="17">
        <f t="shared" si="22"/>
        <v>0.52389484598980096</v>
      </c>
      <c r="BB52" s="17">
        <f t="shared" si="23"/>
        <v>0.52476402012196521</v>
      </c>
    </row>
    <row r="53" spans="2:54" x14ac:dyDescent="0.25">
      <c r="B53" s="14">
        <v>54</v>
      </c>
      <c r="C53" s="158" t="s">
        <v>46</v>
      </c>
      <c r="D53" s="15">
        <v>9427300</v>
      </c>
      <c r="E53" s="15">
        <v>9528015</v>
      </c>
      <c r="F53" s="15">
        <v>10287886</v>
      </c>
      <c r="G53" s="15">
        <v>9732660</v>
      </c>
      <c r="H53" s="15">
        <v>10141038</v>
      </c>
      <c r="I53" s="15">
        <v>10034413</v>
      </c>
      <c r="J53" s="15">
        <v>8724077</v>
      </c>
      <c r="K53" s="15">
        <v>11501439</v>
      </c>
      <c r="L53" s="15">
        <v>11137024</v>
      </c>
      <c r="M53" s="15">
        <v>16166442</v>
      </c>
      <c r="N53" s="15"/>
      <c r="O53" s="15"/>
      <c r="Q53" s="15">
        <v>4589634</v>
      </c>
      <c r="R53" s="15">
        <v>4619509</v>
      </c>
      <c r="S53" s="15">
        <v>5012370</v>
      </c>
      <c r="T53" s="15">
        <v>4539256</v>
      </c>
      <c r="U53" s="15">
        <v>4775497</v>
      </c>
      <c r="V53" s="15">
        <v>4677277</v>
      </c>
      <c r="W53" s="15">
        <v>4274797</v>
      </c>
      <c r="X53" s="15">
        <v>5787955</v>
      </c>
      <c r="Y53" s="15">
        <v>5707132</v>
      </c>
      <c r="Z53" s="15">
        <v>8789256</v>
      </c>
      <c r="AA53" s="15"/>
      <c r="AB53" s="15"/>
      <c r="AD53" s="16">
        <f t="shared" si="3"/>
        <v>38975861</v>
      </c>
      <c r="AE53" s="16">
        <f t="shared" si="4"/>
        <v>39689599</v>
      </c>
      <c r="AF53" s="16">
        <f t="shared" si="5"/>
        <v>40195997</v>
      </c>
      <c r="AG53" s="16">
        <f t="shared" si="6"/>
        <v>38632188</v>
      </c>
      <c r="AH53" s="16">
        <f t="shared" si="7"/>
        <v>40400967</v>
      </c>
      <c r="AI53" s="16">
        <f t="shared" si="8"/>
        <v>41396953</v>
      </c>
      <c r="AJ53" s="16">
        <f t="shared" si="9"/>
        <v>47528982</v>
      </c>
      <c r="AK53" s="16"/>
      <c r="AM53" s="16">
        <f t="shared" si="10"/>
        <v>18760769</v>
      </c>
      <c r="AN53" s="16">
        <f t="shared" si="11"/>
        <v>18946632</v>
      </c>
      <c r="AO53" s="16">
        <f t="shared" si="12"/>
        <v>19004400</v>
      </c>
      <c r="AP53" s="16">
        <f t="shared" si="13"/>
        <v>18266827</v>
      </c>
      <c r="AQ53" s="16">
        <f t="shared" si="14"/>
        <v>19515526</v>
      </c>
      <c r="AR53" s="16">
        <f t="shared" si="15"/>
        <v>20447161</v>
      </c>
      <c r="AS53" s="16">
        <f t="shared" si="16"/>
        <v>24559140</v>
      </c>
      <c r="AT53" s="16"/>
      <c r="AV53" s="17">
        <f t="shared" si="17"/>
        <v>0.48134328578398822</v>
      </c>
      <c r="AW53" s="17">
        <f t="shared" si="18"/>
        <v>0.47737020472290487</v>
      </c>
      <c r="AX53" s="17">
        <f t="shared" si="19"/>
        <v>0.47279334805403633</v>
      </c>
      <c r="AY53" s="17">
        <f t="shared" si="20"/>
        <v>0.47283956580455655</v>
      </c>
      <c r="AZ53" s="17">
        <f t="shared" si="21"/>
        <v>0.48304601224025157</v>
      </c>
      <c r="BA53" s="17">
        <f t="shared" si="22"/>
        <v>0.49392913048455522</v>
      </c>
      <c r="BB53" s="17">
        <f t="shared" si="23"/>
        <v>0.5167192514243204</v>
      </c>
    </row>
    <row r="54" spans="2:54" x14ac:dyDescent="0.25">
      <c r="B54" s="14">
        <v>56</v>
      </c>
      <c r="C54" s="158" t="s">
        <v>47</v>
      </c>
      <c r="D54" s="15">
        <v>54049307</v>
      </c>
      <c r="E54" s="15">
        <v>32582886</v>
      </c>
      <c r="F54" s="15">
        <v>43257184</v>
      </c>
      <c r="G54" s="15">
        <v>52645812</v>
      </c>
      <c r="H54" s="15">
        <v>42358610</v>
      </c>
      <c r="I54" s="15">
        <v>46487593</v>
      </c>
      <c r="J54" s="15">
        <v>68934081</v>
      </c>
      <c r="K54" s="15">
        <v>78865259</v>
      </c>
      <c r="L54" s="15">
        <v>88326375</v>
      </c>
      <c r="M54" s="15">
        <v>80819177</v>
      </c>
      <c r="N54" s="15"/>
      <c r="O54" s="15"/>
      <c r="Q54" s="15">
        <v>25458937</v>
      </c>
      <c r="R54" s="15">
        <v>15402965</v>
      </c>
      <c r="S54" s="15">
        <v>20167728</v>
      </c>
      <c r="T54" s="15">
        <v>24819500</v>
      </c>
      <c r="U54" s="15">
        <v>19239269</v>
      </c>
      <c r="V54" s="15">
        <v>21384316</v>
      </c>
      <c r="W54" s="15">
        <v>34086326</v>
      </c>
      <c r="X54" s="15">
        <v>38820279</v>
      </c>
      <c r="Y54" s="15">
        <v>44153357</v>
      </c>
      <c r="Z54" s="15">
        <v>43031550</v>
      </c>
      <c r="AA54" s="15"/>
      <c r="AB54" s="15"/>
      <c r="AD54" s="16">
        <f t="shared" si="3"/>
        <v>182535189</v>
      </c>
      <c r="AE54" s="16">
        <f t="shared" si="4"/>
        <v>170844492</v>
      </c>
      <c r="AF54" s="16">
        <f t="shared" si="5"/>
        <v>184749199</v>
      </c>
      <c r="AG54" s="16">
        <f t="shared" si="6"/>
        <v>210426096</v>
      </c>
      <c r="AH54" s="16">
        <f t="shared" si="7"/>
        <v>236645543</v>
      </c>
      <c r="AI54" s="16">
        <f t="shared" si="8"/>
        <v>282613308</v>
      </c>
      <c r="AJ54" s="16">
        <f t="shared" si="9"/>
        <v>316944892</v>
      </c>
      <c r="AK54" s="16"/>
      <c r="AM54" s="16">
        <f t="shared" si="10"/>
        <v>85849130</v>
      </c>
      <c r="AN54" s="16">
        <f t="shared" si="11"/>
        <v>79629462</v>
      </c>
      <c r="AO54" s="16">
        <f t="shared" si="12"/>
        <v>85610813</v>
      </c>
      <c r="AP54" s="16">
        <f t="shared" si="13"/>
        <v>99529411</v>
      </c>
      <c r="AQ54" s="16">
        <f t="shared" si="14"/>
        <v>113530190</v>
      </c>
      <c r="AR54" s="16">
        <f t="shared" si="15"/>
        <v>138444278</v>
      </c>
      <c r="AS54" s="16">
        <f t="shared" si="16"/>
        <v>160091512</v>
      </c>
      <c r="AT54" s="16"/>
      <c r="AV54" s="17">
        <f t="shared" si="17"/>
        <v>0.47031550721981613</v>
      </c>
      <c r="AW54" s="17">
        <f t="shared" si="18"/>
        <v>0.46609323524459895</v>
      </c>
      <c r="AX54" s="17">
        <f t="shared" si="19"/>
        <v>0.46338935953925298</v>
      </c>
      <c r="AY54" s="17">
        <f t="shared" si="20"/>
        <v>0.47298986623788336</v>
      </c>
      <c r="AZ54" s="17">
        <f t="shared" si="21"/>
        <v>0.4797478480294049</v>
      </c>
      <c r="BA54" s="17">
        <f t="shared" si="22"/>
        <v>0.48987175791452819</v>
      </c>
      <c r="BB54" s="17">
        <f t="shared" si="23"/>
        <v>0.50510835176987168</v>
      </c>
    </row>
    <row r="55" spans="2:54" x14ac:dyDescent="0.25">
      <c r="B55" s="14">
        <v>57</v>
      </c>
      <c r="C55" s="158" t="s">
        <v>48</v>
      </c>
      <c r="D55" s="15">
        <v>6054273</v>
      </c>
      <c r="E55" s="15">
        <v>6593343</v>
      </c>
      <c r="F55" s="15">
        <v>6761148</v>
      </c>
      <c r="G55" s="15">
        <v>5968116</v>
      </c>
      <c r="H55" s="15">
        <v>5701882</v>
      </c>
      <c r="I55" s="15">
        <v>7537306</v>
      </c>
      <c r="J55" s="15">
        <v>7505480</v>
      </c>
      <c r="K55" s="15">
        <v>5671538</v>
      </c>
      <c r="L55" s="15">
        <v>7983841</v>
      </c>
      <c r="M55" s="15">
        <v>9585115</v>
      </c>
      <c r="N55" s="15"/>
      <c r="O55" s="15"/>
      <c r="Q55" s="15">
        <v>3191486</v>
      </c>
      <c r="R55" s="15">
        <v>3590903</v>
      </c>
      <c r="S55" s="15">
        <v>3503889</v>
      </c>
      <c r="T55" s="15">
        <v>3034222</v>
      </c>
      <c r="U55" s="15">
        <v>2886615</v>
      </c>
      <c r="V55" s="15">
        <v>3842078</v>
      </c>
      <c r="W55" s="15">
        <v>3902848</v>
      </c>
      <c r="X55" s="15">
        <v>2892486</v>
      </c>
      <c r="Y55" s="15">
        <v>4124824</v>
      </c>
      <c r="Z55" s="15">
        <v>4917037</v>
      </c>
      <c r="AA55" s="15"/>
      <c r="AB55" s="15"/>
      <c r="AD55" s="16">
        <f t="shared" si="3"/>
        <v>25376880</v>
      </c>
      <c r="AE55" s="16">
        <f t="shared" si="4"/>
        <v>25024489</v>
      </c>
      <c r="AF55" s="16">
        <f t="shared" si="5"/>
        <v>25968452</v>
      </c>
      <c r="AG55" s="16">
        <f t="shared" si="6"/>
        <v>26712784</v>
      </c>
      <c r="AH55" s="16">
        <f t="shared" si="7"/>
        <v>26416206</v>
      </c>
      <c r="AI55" s="16">
        <f t="shared" si="8"/>
        <v>28698165</v>
      </c>
      <c r="AJ55" s="16">
        <f t="shared" si="9"/>
        <v>30745974</v>
      </c>
      <c r="AK55" s="16"/>
      <c r="AM55" s="16">
        <f t="shared" si="10"/>
        <v>13320500</v>
      </c>
      <c r="AN55" s="16">
        <f t="shared" si="11"/>
        <v>13015629</v>
      </c>
      <c r="AO55" s="16">
        <f t="shared" si="12"/>
        <v>13266804</v>
      </c>
      <c r="AP55" s="16">
        <f t="shared" si="13"/>
        <v>13665763</v>
      </c>
      <c r="AQ55" s="16">
        <f t="shared" si="14"/>
        <v>13524027</v>
      </c>
      <c r="AR55" s="16">
        <f t="shared" si="15"/>
        <v>14762236</v>
      </c>
      <c r="AS55" s="16">
        <f t="shared" si="16"/>
        <v>15837195</v>
      </c>
      <c r="AT55" s="16"/>
      <c r="AV55" s="17">
        <f t="shared" si="17"/>
        <v>0.52490692315209753</v>
      </c>
      <c r="AW55" s="17">
        <f t="shared" si="18"/>
        <v>0.52011567548891813</v>
      </c>
      <c r="AX55" s="17">
        <f t="shared" si="19"/>
        <v>0.51088158816705742</v>
      </c>
      <c r="AY55" s="17">
        <f t="shared" si="20"/>
        <v>0.51158138365510686</v>
      </c>
      <c r="AZ55" s="17">
        <f t="shared" si="21"/>
        <v>0.5119594766939658</v>
      </c>
      <c r="BA55" s="17">
        <f t="shared" si="22"/>
        <v>0.51439651280839738</v>
      </c>
      <c r="BB55" s="17">
        <f t="shared" si="23"/>
        <v>0.51509817187772289</v>
      </c>
    </row>
    <row r="56" spans="2:54" x14ac:dyDescent="0.25">
      <c r="B56" s="14">
        <v>58</v>
      </c>
      <c r="C56" s="158" t="s">
        <v>49</v>
      </c>
      <c r="D56" s="15">
        <v>2325208</v>
      </c>
      <c r="E56" s="15">
        <v>2420667</v>
      </c>
      <c r="F56" s="15">
        <v>2772502</v>
      </c>
      <c r="G56" s="15">
        <v>2600676</v>
      </c>
      <c r="H56" s="15">
        <v>2594936</v>
      </c>
      <c r="I56" s="15">
        <v>3703986</v>
      </c>
      <c r="J56" s="15">
        <v>3217719</v>
      </c>
      <c r="K56" s="15">
        <v>3379079</v>
      </c>
      <c r="L56" s="15">
        <v>3228917</v>
      </c>
      <c r="M56" s="15">
        <v>3275644</v>
      </c>
      <c r="N56" s="15"/>
      <c r="O56" s="15"/>
      <c r="Q56" s="15">
        <v>1272647</v>
      </c>
      <c r="R56" s="15">
        <v>1325767</v>
      </c>
      <c r="S56" s="15">
        <v>1525862</v>
      </c>
      <c r="T56" s="15">
        <v>1395859</v>
      </c>
      <c r="U56" s="15">
        <v>1383577</v>
      </c>
      <c r="V56" s="15">
        <v>2084698</v>
      </c>
      <c r="W56" s="15">
        <v>1737566</v>
      </c>
      <c r="X56" s="15">
        <v>1790912</v>
      </c>
      <c r="Y56" s="15">
        <v>1679037</v>
      </c>
      <c r="Z56" s="15">
        <v>1670577</v>
      </c>
      <c r="AA56" s="15"/>
      <c r="AB56" s="15"/>
      <c r="AD56" s="16">
        <f t="shared" si="3"/>
        <v>10119053</v>
      </c>
      <c r="AE56" s="16">
        <f t="shared" si="4"/>
        <v>10388781</v>
      </c>
      <c r="AF56" s="16">
        <f t="shared" si="5"/>
        <v>11672100</v>
      </c>
      <c r="AG56" s="16">
        <f t="shared" si="6"/>
        <v>12117317</v>
      </c>
      <c r="AH56" s="16">
        <f t="shared" si="7"/>
        <v>12895720</v>
      </c>
      <c r="AI56" s="16">
        <f t="shared" si="8"/>
        <v>13529701</v>
      </c>
      <c r="AJ56" s="16">
        <f t="shared" si="9"/>
        <v>13101359</v>
      </c>
      <c r="AK56" s="16"/>
      <c r="AM56" s="16">
        <f t="shared" si="10"/>
        <v>5520135</v>
      </c>
      <c r="AN56" s="16">
        <f t="shared" si="11"/>
        <v>5631065</v>
      </c>
      <c r="AO56" s="16">
        <f t="shared" si="12"/>
        <v>6389996</v>
      </c>
      <c r="AP56" s="16">
        <f t="shared" si="13"/>
        <v>6601700</v>
      </c>
      <c r="AQ56" s="16">
        <f t="shared" si="14"/>
        <v>6996753</v>
      </c>
      <c r="AR56" s="16">
        <f t="shared" si="15"/>
        <v>7292213</v>
      </c>
      <c r="AS56" s="16">
        <f t="shared" si="16"/>
        <v>6878092</v>
      </c>
      <c r="AT56" s="16"/>
      <c r="AV56" s="17">
        <f t="shared" si="17"/>
        <v>0.54551893344169655</v>
      </c>
      <c r="AW56" s="17">
        <f t="shared" si="18"/>
        <v>0.54203327608888863</v>
      </c>
      <c r="AX56" s="17">
        <f t="shared" si="19"/>
        <v>0.54745898338773658</v>
      </c>
      <c r="AY56" s="17">
        <f t="shared" si="20"/>
        <v>0.54481532504266417</v>
      </c>
      <c r="AZ56" s="17">
        <f t="shared" si="21"/>
        <v>0.54256396695958042</v>
      </c>
      <c r="BA56" s="17">
        <f t="shared" si="22"/>
        <v>0.53897813410658524</v>
      </c>
      <c r="BB56" s="17">
        <f t="shared" si="23"/>
        <v>0.5249907280611118</v>
      </c>
    </row>
    <row r="57" spans="2:54" x14ac:dyDescent="0.25">
      <c r="B57" s="14">
        <v>59</v>
      </c>
      <c r="C57" s="158" t="s">
        <v>50</v>
      </c>
      <c r="D57" s="15">
        <v>8765662</v>
      </c>
      <c r="E57" s="15">
        <v>10150938</v>
      </c>
      <c r="F57" s="15">
        <v>10434517</v>
      </c>
      <c r="G57" s="15">
        <v>9195289</v>
      </c>
      <c r="H57" s="15">
        <v>9325904</v>
      </c>
      <c r="I57" s="15">
        <v>10531228</v>
      </c>
      <c r="J57" s="15">
        <v>11923556</v>
      </c>
      <c r="K57" s="15">
        <v>11948867</v>
      </c>
      <c r="L57" s="15">
        <v>13783567</v>
      </c>
      <c r="M57" s="15">
        <v>15027019</v>
      </c>
      <c r="N57" s="15"/>
      <c r="O57" s="15"/>
      <c r="Q57" s="15">
        <v>4359430</v>
      </c>
      <c r="R57" s="15">
        <v>5112567</v>
      </c>
      <c r="S57" s="15">
        <v>5377312</v>
      </c>
      <c r="T57" s="15">
        <v>4430851</v>
      </c>
      <c r="U57" s="15">
        <v>4462294</v>
      </c>
      <c r="V57" s="15">
        <v>5024437</v>
      </c>
      <c r="W57" s="15">
        <v>6115793</v>
      </c>
      <c r="X57" s="15">
        <v>6093923</v>
      </c>
      <c r="Y57" s="15">
        <v>7254559</v>
      </c>
      <c r="Z57" s="15">
        <v>7914724</v>
      </c>
      <c r="AA57" s="15"/>
      <c r="AB57" s="15"/>
      <c r="AD57" s="16">
        <f t="shared" si="3"/>
        <v>38546406</v>
      </c>
      <c r="AE57" s="16">
        <f t="shared" si="4"/>
        <v>39106648</v>
      </c>
      <c r="AF57" s="16">
        <f t="shared" si="5"/>
        <v>39486938</v>
      </c>
      <c r="AG57" s="16">
        <f t="shared" si="6"/>
        <v>40975977</v>
      </c>
      <c r="AH57" s="16">
        <f t="shared" si="7"/>
        <v>43729555</v>
      </c>
      <c r="AI57" s="16">
        <f t="shared" si="8"/>
        <v>48187218</v>
      </c>
      <c r="AJ57" s="16">
        <f t="shared" si="9"/>
        <v>52683009</v>
      </c>
      <c r="AK57" s="16"/>
      <c r="AM57" s="16">
        <f t="shared" si="10"/>
        <v>19280160</v>
      </c>
      <c r="AN57" s="16">
        <f t="shared" si="11"/>
        <v>19383024</v>
      </c>
      <c r="AO57" s="16">
        <f t="shared" si="12"/>
        <v>19294894</v>
      </c>
      <c r="AP57" s="16">
        <f t="shared" si="13"/>
        <v>20033375</v>
      </c>
      <c r="AQ57" s="16">
        <f t="shared" si="14"/>
        <v>21696447</v>
      </c>
      <c r="AR57" s="16">
        <f t="shared" si="15"/>
        <v>24488712</v>
      </c>
      <c r="AS57" s="16">
        <f t="shared" si="16"/>
        <v>27378999</v>
      </c>
      <c r="AT57" s="16"/>
      <c r="AV57" s="17">
        <f t="shared" si="17"/>
        <v>0.50018048375249302</v>
      </c>
      <c r="AW57" s="17">
        <f t="shared" si="18"/>
        <v>0.49564524169905844</v>
      </c>
      <c r="AX57" s="17">
        <f t="shared" si="19"/>
        <v>0.48863991429267067</v>
      </c>
      <c r="AY57" s="17">
        <f t="shared" si="20"/>
        <v>0.48890536520947381</v>
      </c>
      <c r="AZ57" s="17">
        <f t="shared" si="21"/>
        <v>0.49615064685657101</v>
      </c>
      <c r="BA57" s="17">
        <f t="shared" si="22"/>
        <v>0.50819933203033218</v>
      </c>
      <c r="BB57" s="17">
        <f t="shared" si="23"/>
        <v>0.51969315192304222</v>
      </c>
    </row>
    <row r="58" spans="2:54" x14ac:dyDescent="0.25">
      <c r="B58" s="14">
        <v>60</v>
      </c>
      <c r="C58" s="158" t="s">
        <v>51</v>
      </c>
      <c r="D58" s="15">
        <v>11174750</v>
      </c>
      <c r="E58" s="15">
        <v>10408609</v>
      </c>
      <c r="F58" s="15">
        <v>12540538</v>
      </c>
      <c r="G58" s="15">
        <v>11507847</v>
      </c>
      <c r="H58" s="15">
        <v>13684224</v>
      </c>
      <c r="I58" s="15">
        <v>15109045</v>
      </c>
      <c r="J58" s="15">
        <v>14009483</v>
      </c>
      <c r="K58" s="15">
        <v>12068312</v>
      </c>
      <c r="L58" s="15">
        <v>15449193</v>
      </c>
      <c r="M58" s="15">
        <v>16546123</v>
      </c>
      <c r="N58" s="15"/>
      <c r="O58" s="15"/>
      <c r="Q58" s="15">
        <v>5958297</v>
      </c>
      <c r="R58" s="15">
        <v>5536237</v>
      </c>
      <c r="S58" s="15">
        <v>6698993</v>
      </c>
      <c r="T58" s="15">
        <v>6327461</v>
      </c>
      <c r="U58" s="15">
        <v>7501592</v>
      </c>
      <c r="V58" s="15">
        <v>8387223</v>
      </c>
      <c r="W58" s="15">
        <v>7822725</v>
      </c>
      <c r="X58" s="15">
        <v>6517782</v>
      </c>
      <c r="Y58" s="15">
        <v>8525028</v>
      </c>
      <c r="Z58" s="15">
        <v>8619706</v>
      </c>
      <c r="AA58" s="15"/>
      <c r="AB58" s="15"/>
      <c r="AD58" s="16">
        <f t="shared" si="3"/>
        <v>45631744</v>
      </c>
      <c r="AE58" s="16">
        <f t="shared" si="4"/>
        <v>48141218</v>
      </c>
      <c r="AF58" s="16">
        <f t="shared" si="5"/>
        <v>52841654</v>
      </c>
      <c r="AG58" s="16">
        <f t="shared" si="6"/>
        <v>54310599</v>
      </c>
      <c r="AH58" s="16">
        <f t="shared" si="7"/>
        <v>54871064</v>
      </c>
      <c r="AI58" s="16">
        <f t="shared" si="8"/>
        <v>56636033</v>
      </c>
      <c r="AJ58" s="16">
        <f t="shared" si="9"/>
        <v>58073111</v>
      </c>
      <c r="AK58" s="16"/>
      <c r="AM58" s="16">
        <f t="shared" si="10"/>
        <v>24520988</v>
      </c>
      <c r="AN58" s="16">
        <f t="shared" si="11"/>
        <v>26064283</v>
      </c>
      <c r="AO58" s="16">
        <f t="shared" si="12"/>
        <v>28915269</v>
      </c>
      <c r="AP58" s="16">
        <f t="shared" si="13"/>
        <v>30039001</v>
      </c>
      <c r="AQ58" s="16">
        <f t="shared" si="14"/>
        <v>30229322</v>
      </c>
      <c r="AR58" s="16">
        <f t="shared" si="15"/>
        <v>31252758</v>
      </c>
      <c r="AS58" s="16">
        <f t="shared" si="16"/>
        <v>31485241</v>
      </c>
      <c r="AT58" s="16"/>
      <c r="AV58" s="17">
        <f t="shared" si="17"/>
        <v>0.53736688214239636</v>
      </c>
      <c r="AW58" s="17">
        <f t="shared" si="18"/>
        <v>0.54141303612218539</v>
      </c>
      <c r="AX58" s="17">
        <f t="shared" si="19"/>
        <v>0.54720597882874744</v>
      </c>
      <c r="AY58" s="17">
        <f t="shared" si="20"/>
        <v>0.55309647754023117</v>
      </c>
      <c r="AZ58" s="17">
        <f t="shared" si="21"/>
        <v>0.55091554266197573</v>
      </c>
      <c r="BA58" s="17">
        <f t="shared" si="22"/>
        <v>0.55181756815488825</v>
      </c>
      <c r="BB58" s="17">
        <f t="shared" si="23"/>
        <v>0.5421655643693688</v>
      </c>
    </row>
    <row r="59" spans="2:54" x14ac:dyDescent="0.25">
      <c r="B59" s="14">
        <v>61</v>
      </c>
      <c r="C59" s="158" t="s">
        <v>52</v>
      </c>
      <c r="D59" s="15">
        <v>8373130</v>
      </c>
      <c r="E59" s="15">
        <v>7721833</v>
      </c>
      <c r="F59" s="15">
        <v>10474753</v>
      </c>
      <c r="G59" s="15">
        <v>8176824</v>
      </c>
      <c r="H59" s="15">
        <v>12346416</v>
      </c>
      <c r="I59" s="15">
        <v>18409434</v>
      </c>
      <c r="J59" s="15">
        <v>11058770</v>
      </c>
      <c r="K59" s="15">
        <v>11642328</v>
      </c>
      <c r="L59" s="15">
        <v>13839672</v>
      </c>
      <c r="M59" s="15">
        <v>12429552</v>
      </c>
      <c r="N59" s="15"/>
      <c r="O59" s="15"/>
      <c r="Q59" s="15">
        <v>4209907</v>
      </c>
      <c r="R59" s="15">
        <v>3882965</v>
      </c>
      <c r="S59" s="15">
        <v>5303157</v>
      </c>
      <c r="T59" s="15">
        <v>4145969</v>
      </c>
      <c r="U59" s="15">
        <v>6544805</v>
      </c>
      <c r="V59" s="15">
        <v>10113307</v>
      </c>
      <c r="W59" s="15">
        <v>5848086</v>
      </c>
      <c r="X59" s="15">
        <v>5937586</v>
      </c>
      <c r="Y59" s="15">
        <v>7087466</v>
      </c>
      <c r="Z59" s="15">
        <v>6372301</v>
      </c>
      <c r="AA59" s="15"/>
      <c r="AB59" s="15"/>
      <c r="AD59" s="16">
        <f t="shared" si="3"/>
        <v>34746540</v>
      </c>
      <c r="AE59" s="16">
        <f t="shared" si="4"/>
        <v>38719826</v>
      </c>
      <c r="AF59" s="16">
        <f t="shared" si="5"/>
        <v>49407427</v>
      </c>
      <c r="AG59" s="16">
        <f t="shared" si="6"/>
        <v>49991444</v>
      </c>
      <c r="AH59" s="16">
        <f t="shared" si="7"/>
        <v>53456948</v>
      </c>
      <c r="AI59" s="16">
        <f t="shared" si="8"/>
        <v>54950204</v>
      </c>
      <c r="AJ59" s="16">
        <f t="shared" si="9"/>
        <v>48970322</v>
      </c>
      <c r="AK59" s="16"/>
      <c r="AM59" s="16">
        <f t="shared" si="10"/>
        <v>17541998</v>
      </c>
      <c r="AN59" s="16">
        <f t="shared" si="11"/>
        <v>19876896</v>
      </c>
      <c r="AO59" s="16">
        <f t="shared" si="12"/>
        <v>26107238</v>
      </c>
      <c r="AP59" s="16">
        <f t="shared" si="13"/>
        <v>26652167</v>
      </c>
      <c r="AQ59" s="16">
        <f t="shared" si="14"/>
        <v>28443784</v>
      </c>
      <c r="AR59" s="16">
        <f t="shared" si="15"/>
        <v>28986445</v>
      </c>
      <c r="AS59" s="16">
        <f t="shared" si="16"/>
        <v>25245439</v>
      </c>
      <c r="AT59" s="16"/>
      <c r="AV59" s="17">
        <f t="shared" si="17"/>
        <v>0.5048559655148398</v>
      </c>
      <c r="AW59" s="17">
        <f t="shared" si="18"/>
        <v>0.5133518936784478</v>
      </c>
      <c r="AX59" s="17">
        <f t="shared" si="19"/>
        <v>0.52840715627632262</v>
      </c>
      <c r="AY59" s="17">
        <f t="shared" si="20"/>
        <v>0.53313456998761632</v>
      </c>
      <c r="AZ59" s="17">
        <f t="shared" si="21"/>
        <v>0.53208769045325965</v>
      </c>
      <c r="BA59" s="17">
        <f t="shared" si="22"/>
        <v>0.52750386513578729</v>
      </c>
      <c r="BB59" s="17">
        <f t="shared" si="23"/>
        <v>0.51552528080170679</v>
      </c>
    </row>
    <row r="60" spans="2:54" x14ac:dyDescent="0.25">
      <c r="B60" s="14">
        <v>62</v>
      </c>
      <c r="C60" s="158" t="s">
        <v>53</v>
      </c>
      <c r="D60" s="15">
        <v>2920552</v>
      </c>
      <c r="E60" s="15">
        <v>3485686</v>
      </c>
      <c r="F60" s="15">
        <v>3357743</v>
      </c>
      <c r="G60" s="15">
        <v>2641184</v>
      </c>
      <c r="H60" s="15">
        <v>3618822</v>
      </c>
      <c r="I60" s="15">
        <v>4248529</v>
      </c>
      <c r="J60" s="15">
        <v>3768177</v>
      </c>
      <c r="K60" s="15">
        <v>4166585</v>
      </c>
      <c r="L60" s="15">
        <v>4550966</v>
      </c>
      <c r="M60" s="15">
        <v>5186104</v>
      </c>
      <c r="N60" s="15"/>
      <c r="O60" s="15"/>
      <c r="Q60" s="15">
        <v>1542049</v>
      </c>
      <c r="R60" s="15">
        <v>1835043</v>
      </c>
      <c r="S60" s="15">
        <v>1777161</v>
      </c>
      <c r="T60" s="15">
        <v>1354334</v>
      </c>
      <c r="U60" s="15">
        <v>1862515</v>
      </c>
      <c r="V60" s="15">
        <v>2196215</v>
      </c>
      <c r="W60" s="15">
        <v>2034815</v>
      </c>
      <c r="X60" s="15">
        <v>2291621</v>
      </c>
      <c r="Y60" s="15">
        <v>2548540</v>
      </c>
      <c r="Z60" s="15">
        <v>3111663</v>
      </c>
      <c r="AA60" s="15"/>
      <c r="AB60" s="15"/>
      <c r="AD60" s="16">
        <f t="shared" si="3"/>
        <v>12405165</v>
      </c>
      <c r="AE60" s="16">
        <f t="shared" si="4"/>
        <v>13103435</v>
      </c>
      <c r="AF60" s="16">
        <f t="shared" si="5"/>
        <v>13866278</v>
      </c>
      <c r="AG60" s="16">
        <f t="shared" si="6"/>
        <v>14276712</v>
      </c>
      <c r="AH60" s="16">
        <f t="shared" si="7"/>
        <v>15802113</v>
      </c>
      <c r="AI60" s="16">
        <f t="shared" si="8"/>
        <v>16734257</v>
      </c>
      <c r="AJ60" s="16">
        <f t="shared" si="9"/>
        <v>17671832</v>
      </c>
      <c r="AK60" s="16"/>
      <c r="AM60" s="16">
        <f t="shared" si="10"/>
        <v>6508587</v>
      </c>
      <c r="AN60" s="16">
        <f t="shared" si="11"/>
        <v>6829053</v>
      </c>
      <c r="AO60" s="16">
        <f t="shared" si="12"/>
        <v>7190225</v>
      </c>
      <c r="AP60" s="16">
        <f t="shared" si="13"/>
        <v>7447879</v>
      </c>
      <c r="AQ60" s="16">
        <f t="shared" si="14"/>
        <v>8385166</v>
      </c>
      <c r="AR60" s="16">
        <f t="shared" si="15"/>
        <v>9071191</v>
      </c>
      <c r="AS60" s="16">
        <f t="shared" si="16"/>
        <v>9986639</v>
      </c>
      <c r="AT60" s="16"/>
      <c r="AV60" s="17">
        <f t="shared" si="17"/>
        <v>0.5246675074454874</v>
      </c>
      <c r="AW60" s="17">
        <f t="shared" si="18"/>
        <v>0.52116509907516617</v>
      </c>
      <c r="AX60" s="17">
        <f t="shared" si="19"/>
        <v>0.51854037543456144</v>
      </c>
      <c r="AY60" s="17">
        <f t="shared" si="20"/>
        <v>0.52168027204022882</v>
      </c>
      <c r="AZ60" s="17">
        <f t="shared" si="21"/>
        <v>0.53063574472603758</v>
      </c>
      <c r="BA60" s="17">
        <f t="shared" si="22"/>
        <v>0.54207312580415135</v>
      </c>
      <c r="BB60" s="17">
        <f t="shared" si="23"/>
        <v>0.56511622564089559</v>
      </c>
    </row>
    <row r="61" spans="2:54" x14ac:dyDescent="0.25">
      <c r="B61" s="14">
        <v>63</v>
      </c>
      <c r="C61" s="158" t="s">
        <v>54</v>
      </c>
      <c r="D61" s="15">
        <v>3918287</v>
      </c>
      <c r="E61" s="15">
        <v>3956235</v>
      </c>
      <c r="F61" s="15">
        <v>3849412</v>
      </c>
      <c r="G61" s="15">
        <v>4025352</v>
      </c>
      <c r="H61" s="15">
        <v>3683159</v>
      </c>
      <c r="I61" s="15">
        <v>3669089</v>
      </c>
      <c r="J61" s="15">
        <v>3513006</v>
      </c>
      <c r="K61" s="15">
        <v>3571413</v>
      </c>
      <c r="L61" s="15">
        <v>3886334</v>
      </c>
      <c r="M61" s="15">
        <v>4176814</v>
      </c>
      <c r="N61" s="15"/>
      <c r="O61" s="15"/>
      <c r="Q61" s="15">
        <v>2610495</v>
      </c>
      <c r="R61" s="15">
        <v>2686057</v>
      </c>
      <c r="S61" s="15">
        <v>2559523</v>
      </c>
      <c r="T61" s="15">
        <v>2616205</v>
      </c>
      <c r="U61" s="15">
        <v>2151194</v>
      </c>
      <c r="V61" s="15">
        <v>2148984</v>
      </c>
      <c r="W61" s="15">
        <v>2142934</v>
      </c>
      <c r="X61" s="15">
        <v>2214277</v>
      </c>
      <c r="Y61" s="15">
        <v>2443752</v>
      </c>
      <c r="Z61" s="15">
        <v>2756699</v>
      </c>
      <c r="AA61" s="15"/>
      <c r="AB61" s="15"/>
      <c r="AD61" s="16">
        <f t="shared" si="3"/>
        <v>15749286</v>
      </c>
      <c r="AE61" s="16">
        <f t="shared" si="4"/>
        <v>15514158</v>
      </c>
      <c r="AF61" s="16">
        <f t="shared" si="5"/>
        <v>15227012</v>
      </c>
      <c r="AG61" s="16">
        <f t="shared" si="6"/>
        <v>14890606</v>
      </c>
      <c r="AH61" s="16">
        <f t="shared" si="7"/>
        <v>14436667</v>
      </c>
      <c r="AI61" s="16">
        <f t="shared" si="8"/>
        <v>14639842</v>
      </c>
      <c r="AJ61" s="16">
        <f t="shared" si="9"/>
        <v>15147567</v>
      </c>
      <c r="AK61" s="16"/>
      <c r="AM61" s="16">
        <f t="shared" si="10"/>
        <v>10472280</v>
      </c>
      <c r="AN61" s="16">
        <f t="shared" si="11"/>
        <v>10012979</v>
      </c>
      <c r="AO61" s="16">
        <f t="shared" si="12"/>
        <v>9475906</v>
      </c>
      <c r="AP61" s="16">
        <f t="shared" si="13"/>
        <v>9059317</v>
      </c>
      <c r="AQ61" s="16">
        <f t="shared" si="14"/>
        <v>8657389</v>
      </c>
      <c r="AR61" s="16">
        <f t="shared" si="15"/>
        <v>8949947</v>
      </c>
      <c r="AS61" s="16">
        <f t="shared" si="16"/>
        <v>9557662</v>
      </c>
      <c r="AT61" s="16"/>
      <c r="AV61" s="17">
        <f t="shared" si="17"/>
        <v>0.6649368104687412</v>
      </c>
      <c r="AW61" s="17">
        <f t="shared" si="18"/>
        <v>0.64540911598296213</v>
      </c>
      <c r="AX61" s="17">
        <f t="shared" si="19"/>
        <v>0.6223089598931163</v>
      </c>
      <c r="AY61" s="17">
        <f t="shared" si="20"/>
        <v>0.60839142476807184</v>
      </c>
      <c r="AZ61" s="17">
        <f t="shared" si="21"/>
        <v>0.59968059109488359</v>
      </c>
      <c r="BA61" s="17">
        <f t="shared" si="22"/>
        <v>0.61134177540987122</v>
      </c>
      <c r="BB61" s="17">
        <f t="shared" si="23"/>
        <v>0.63097010892904448</v>
      </c>
    </row>
    <row r="62" spans="2:54" x14ac:dyDescent="0.25">
      <c r="B62" s="14">
        <v>64</v>
      </c>
      <c r="C62" s="158" t="s">
        <v>55</v>
      </c>
      <c r="D62" s="15">
        <v>5842328</v>
      </c>
      <c r="E62" s="15">
        <v>5032075</v>
      </c>
      <c r="F62" s="15">
        <v>4838722</v>
      </c>
      <c r="G62" s="15">
        <v>4789310</v>
      </c>
      <c r="H62" s="15">
        <v>4277528</v>
      </c>
      <c r="I62" s="15">
        <v>5866094</v>
      </c>
      <c r="J62" s="15">
        <v>5711569</v>
      </c>
      <c r="K62" s="15">
        <v>4144229</v>
      </c>
      <c r="L62" s="15">
        <v>4525556</v>
      </c>
      <c r="M62" s="15">
        <v>6795537</v>
      </c>
      <c r="N62" s="15"/>
      <c r="O62" s="15"/>
      <c r="Q62" s="15">
        <v>3799932</v>
      </c>
      <c r="R62" s="15">
        <v>3183755</v>
      </c>
      <c r="S62" s="15">
        <v>3053269</v>
      </c>
      <c r="T62" s="15">
        <v>2984774</v>
      </c>
      <c r="U62" s="15">
        <v>2592142</v>
      </c>
      <c r="V62" s="15">
        <v>3607553</v>
      </c>
      <c r="W62" s="15">
        <v>3609938</v>
      </c>
      <c r="X62" s="15">
        <v>2527978</v>
      </c>
      <c r="Y62" s="15">
        <v>2715331</v>
      </c>
      <c r="Z62" s="15">
        <v>4200259</v>
      </c>
      <c r="AA62" s="15"/>
      <c r="AB62" s="15"/>
      <c r="AD62" s="16">
        <f t="shared" si="3"/>
        <v>20502435</v>
      </c>
      <c r="AE62" s="16">
        <f t="shared" si="4"/>
        <v>18937635</v>
      </c>
      <c r="AF62" s="16">
        <f t="shared" si="5"/>
        <v>19771654</v>
      </c>
      <c r="AG62" s="16">
        <f t="shared" si="6"/>
        <v>20644501</v>
      </c>
      <c r="AH62" s="16">
        <f t="shared" si="7"/>
        <v>19999420</v>
      </c>
      <c r="AI62" s="16">
        <f t="shared" si="8"/>
        <v>20247448</v>
      </c>
      <c r="AJ62" s="16">
        <f t="shared" si="9"/>
        <v>21176891</v>
      </c>
      <c r="AK62" s="16"/>
      <c r="AM62" s="16">
        <f t="shared" si="10"/>
        <v>13021730</v>
      </c>
      <c r="AN62" s="16">
        <f t="shared" si="11"/>
        <v>11813940</v>
      </c>
      <c r="AO62" s="16">
        <f t="shared" si="12"/>
        <v>12237738</v>
      </c>
      <c r="AP62" s="16">
        <f t="shared" si="13"/>
        <v>12794407</v>
      </c>
      <c r="AQ62" s="16">
        <f t="shared" si="14"/>
        <v>12337611</v>
      </c>
      <c r="AR62" s="16">
        <f t="shared" si="15"/>
        <v>12460800</v>
      </c>
      <c r="AS62" s="16">
        <f t="shared" si="16"/>
        <v>13053506</v>
      </c>
      <c r="AT62" s="16"/>
      <c r="AV62" s="17">
        <f t="shared" si="17"/>
        <v>0.63513090030525643</v>
      </c>
      <c r="AW62" s="17">
        <f t="shared" si="18"/>
        <v>0.62383396870834185</v>
      </c>
      <c r="AX62" s="17">
        <f t="shared" si="19"/>
        <v>0.61895367984893934</v>
      </c>
      <c r="AY62" s="17">
        <f t="shared" si="20"/>
        <v>0.61974891037569757</v>
      </c>
      <c r="AZ62" s="17">
        <f t="shared" si="21"/>
        <v>0.61689844005476158</v>
      </c>
      <c r="BA62" s="17">
        <f t="shared" si="22"/>
        <v>0.61542570698292443</v>
      </c>
      <c r="BB62" s="17">
        <f t="shared" si="23"/>
        <v>0.61640332379290241</v>
      </c>
    </row>
    <row r="63" spans="2:54" x14ac:dyDescent="0.25">
      <c r="B63" s="14">
        <v>65</v>
      </c>
      <c r="C63" s="158" t="s">
        <v>56</v>
      </c>
      <c r="D63" s="15">
        <v>3794227</v>
      </c>
      <c r="E63" s="15">
        <v>3876282</v>
      </c>
      <c r="F63" s="15">
        <v>3910079</v>
      </c>
      <c r="G63" s="15">
        <v>2800280</v>
      </c>
      <c r="H63" s="15">
        <v>4960043</v>
      </c>
      <c r="I63" s="15">
        <v>3734066</v>
      </c>
      <c r="J63" s="15">
        <v>3205167</v>
      </c>
      <c r="K63" s="15">
        <v>4187186</v>
      </c>
      <c r="L63" s="15">
        <v>4705109</v>
      </c>
      <c r="M63" s="15">
        <v>4266610</v>
      </c>
      <c r="N63" s="15"/>
      <c r="O63" s="15"/>
      <c r="Q63" s="15">
        <v>2492759</v>
      </c>
      <c r="R63" s="15">
        <v>2545841</v>
      </c>
      <c r="S63" s="15">
        <v>2572675</v>
      </c>
      <c r="T63" s="15">
        <v>1811186</v>
      </c>
      <c r="U63" s="15">
        <v>2892480</v>
      </c>
      <c r="V63" s="15">
        <v>2182599</v>
      </c>
      <c r="W63" s="15">
        <v>1891049</v>
      </c>
      <c r="X63" s="15">
        <v>2428568</v>
      </c>
      <c r="Y63" s="15">
        <v>2728965</v>
      </c>
      <c r="Z63" s="15">
        <v>2517300</v>
      </c>
      <c r="AA63" s="15"/>
      <c r="AB63" s="15"/>
      <c r="AD63" s="16">
        <f t="shared" si="3"/>
        <v>14380868</v>
      </c>
      <c r="AE63" s="16">
        <f t="shared" si="4"/>
        <v>15546684</v>
      </c>
      <c r="AF63" s="16">
        <f t="shared" si="5"/>
        <v>15404468</v>
      </c>
      <c r="AG63" s="16">
        <f t="shared" si="6"/>
        <v>14699556</v>
      </c>
      <c r="AH63" s="16">
        <f t="shared" si="7"/>
        <v>16086462</v>
      </c>
      <c r="AI63" s="16">
        <f t="shared" si="8"/>
        <v>15831528</v>
      </c>
      <c r="AJ63" s="16">
        <f t="shared" si="9"/>
        <v>16364072</v>
      </c>
      <c r="AK63" s="16"/>
      <c r="AM63" s="16">
        <f t="shared" si="10"/>
        <v>9422461</v>
      </c>
      <c r="AN63" s="16">
        <f t="shared" si="11"/>
        <v>9822182</v>
      </c>
      <c r="AO63" s="16">
        <f t="shared" si="12"/>
        <v>9458940</v>
      </c>
      <c r="AP63" s="16">
        <f t="shared" si="13"/>
        <v>8777314</v>
      </c>
      <c r="AQ63" s="16">
        <f t="shared" si="14"/>
        <v>9394696</v>
      </c>
      <c r="AR63" s="16">
        <f t="shared" si="15"/>
        <v>9231181</v>
      </c>
      <c r="AS63" s="16">
        <f t="shared" si="16"/>
        <v>9565882</v>
      </c>
      <c r="AT63" s="16"/>
      <c r="AV63" s="17">
        <f t="shared" si="17"/>
        <v>0.65520808618784343</v>
      </c>
      <c r="AW63" s="17">
        <f t="shared" si="18"/>
        <v>0.63178630246810186</v>
      </c>
      <c r="AX63" s="17">
        <f t="shared" si="19"/>
        <v>0.61403873213927285</v>
      </c>
      <c r="AY63" s="17">
        <f t="shared" si="20"/>
        <v>0.59711422576300943</v>
      </c>
      <c r="AZ63" s="17">
        <f t="shared" si="21"/>
        <v>0.58401256907827215</v>
      </c>
      <c r="BA63" s="17">
        <f t="shared" si="22"/>
        <v>0.58308844225269985</v>
      </c>
      <c r="BB63" s="17">
        <f t="shared" si="23"/>
        <v>0.58456611532875191</v>
      </c>
    </row>
    <row r="64" spans="2:54" x14ac:dyDescent="0.25">
      <c r="B64" s="14">
        <v>66</v>
      </c>
      <c r="C64" s="158" t="s">
        <v>57</v>
      </c>
      <c r="D64" s="15">
        <v>5987900</v>
      </c>
      <c r="E64" s="15">
        <v>6604583</v>
      </c>
      <c r="F64" s="15">
        <v>6320626</v>
      </c>
      <c r="G64" s="15">
        <v>6055893</v>
      </c>
      <c r="H64" s="15">
        <v>6898580</v>
      </c>
      <c r="I64" s="15">
        <v>6750604</v>
      </c>
      <c r="J64" s="15">
        <v>7024100</v>
      </c>
      <c r="K64" s="15">
        <v>7268685</v>
      </c>
      <c r="L64" s="15">
        <v>7578073</v>
      </c>
      <c r="M64" s="15">
        <v>9166130</v>
      </c>
      <c r="N64" s="15"/>
      <c r="O64" s="15"/>
      <c r="Q64" s="15">
        <v>3156365</v>
      </c>
      <c r="R64" s="15">
        <v>3449904</v>
      </c>
      <c r="S64" s="15">
        <v>3308218</v>
      </c>
      <c r="T64" s="15">
        <v>3063582</v>
      </c>
      <c r="U64" s="15">
        <v>3501076</v>
      </c>
      <c r="V64" s="15">
        <v>3428442</v>
      </c>
      <c r="W64" s="15">
        <v>3657252</v>
      </c>
      <c r="X64" s="15">
        <v>3713363</v>
      </c>
      <c r="Y64" s="15">
        <v>4043701</v>
      </c>
      <c r="Z64" s="15">
        <v>4784709</v>
      </c>
      <c r="AA64" s="15"/>
      <c r="AB64" s="15"/>
      <c r="AD64" s="16">
        <f t="shared" si="3"/>
        <v>24969002</v>
      </c>
      <c r="AE64" s="16">
        <f t="shared" si="4"/>
        <v>25879682</v>
      </c>
      <c r="AF64" s="16">
        <f t="shared" si="5"/>
        <v>26025703</v>
      </c>
      <c r="AG64" s="16">
        <f t="shared" si="6"/>
        <v>26729177</v>
      </c>
      <c r="AH64" s="16">
        <f t="shared" si="7"/>
        <v>27941969</v>
      </c>
      <c r="AI64" s="16">
        <f t="shared" si="8"/>
        <v>28621462</v>
      </c>
      <c r="AJ64" s="16">
        <f t="shared" si="9"/>
        <v>31036988</v>
      </c>
      <c r="AK64" s="16"/>
      <c r="AM64" s="16">
        <f t="shared" si="10"/>
        <v>12978069</v>
      </c>
      <c r="AN64" s="16">
        <f t="shared" si="11"/>
        <v>13322780</v>
      </c>
      <c r="AO64" s="16">
        <f t="shared" si="12"/>
        <v>13301318</v>
      </c>
      <c r="AP64" s="16">
        <f t="shared" si="13"/>
        <v>13650352</v>
      </c>
      <c r="AQ64" s="16">
        <f t="shared" si="14"/>
        <v>14300133</v>
      </c>
      <c r="AR64" s="16">
        <f t="shared" si="15"/>
        <v>14842758</v>
      </c>
      <c r="AS64" s="16">
        <f t="shared" si="16"/>
        <v>16199025</v>
      </c>
      <c r="AT64" s="16"/>
      <c r="AV64" s="17">
        <f t="shared" si="17"/>
        <v>0.51976722978355328</v>
      </c>
      <c r="AW64" s="17">
        <f t="shared" si="18"/>
        <v>0.51479689742710133</v>
      </c>
      <c r="AX64" s="17">
        <f t="shared" si="19"/>
        <v>0.51108390808886128</v>
      </c>
      <c r="AY64" s="17">
        <f t="shared" si="20"/>
        <v>0.51069106991210389</v>
      </c>
      <c r="AZ64" s="17">
        <f t="shared" si="21"/>
        <v>0.51177971745656148</v>
      </c>
      <c r="BA64" s="17">
        <f t="shared" si="22"/>
        <v>0.51858839356284459</v>
      </c>
      <c r="BB64" s="17">
        <f t="shared" si="23"/>
        <v>0.5219264511105266</v>
      </c>
    </row>
    <row r="65" spans="2:54" x14ac:dyDescent="0.25">
      <c r="B65" s="14">
        <v>67</v>
      </c>
      <c r="C65" s="158" t="s">
        <v>58</v>
      </c>
      <c r="D65" s="15">
        <v>12561838</v>
      </c>
      <c r="E65" s="15">
        <v>15295981</v>
      </c>
      <c r="F65" s="15">
        <v>14318193</v>
      </c>
      <c r="G65" s="15">
        <v>12380538</v>
      </c>
      <c r="H65" s="15">
        <v>13243335</v>
      </c>
      <c r="I65" s="15">
        <v>14923911</v>
      </c>
      <c r="J65" s="15">
        <v>12328882</v>
      </c>
      <c r="K65" s="15">
        <v>14477366</v>
      </c>
      <c r="L65" s="15">
        <v>15269146</v>
      </c>
      <c r="M65" s="15">
        <v>12864196</v>
      </c>
      <c r="N65" s="15"/>
      <c r="O65" s="15"/>
      <c r="Q65" s="15">
        <v>7723153</v>
      </c>
      <c r="R65" s="15">
        <v>9511782</v>
      </c>
      <c r="S65" s="15">
        <v>8825549</v>
      </c>
      <c r="T65" s="15">
        <v>7434862</v>
      </c>
      <c r="U65" s="15">
        <v>8018303</v>
      </c>
      <c r="V65" s="15">
        <v>8941748</v>
      </c>
      <c r="W65" s="15">
        <v>7799309</v>
      </c>
      <c r="X65" s="15">
        <v>8918836</v>
      </c>
      <c r="Y65" s="15">
        <v>9328491</v>
      </c>
      <c r="Z65" s="15">
        <v>7819359</v>
      </c>
      <c r="AA65" s="15"/>
      <c r="AB65" s="15"/>
      <c r="AD65" s="16">
        <f t="shared" si="3"/>
        <v>54556550</v>
      </c>
      <c r="AE65" s="16">
        <f t="shared" si="4"/>
        <v>55238047</v>
      </c>
      <c r="AF65" s="16">
        <f t="shared" si="5"/>
        <v>54865977</v>
      </c>
      <c r="AG65" s="16">
        <f t="shared" si="6"/>
        <v>52876666</v>
      </c>
      <c r="AH65" s="16">
        <f t="shared" si="7"/>
        <v>54973494</v>
      </c>
      <c r="AI65" s="16">
        <f t="shared" si="8"/>
        <v>56999305</v>
      </c>
      <c r="AJ65" s="16">
        <f t="shared" si="9"/>
        <v>54939590</v>
      </c>
      <c r="AK65" s="16"/>
      <c r="AM65" s="16">
        <f t="shared" si="10"/>
        <v>33495346</v>
      </c>
      <c r="AN65" s="16">
        <f t="shared" si="11"/>
        <v>33790496</v>
      </c>
      <c r="AO65" s="16">
        <f t="shared" si="12"/>
        <v>33220462</v>
      </c>
      <c r="AP65" s="16">
        <f t="shared" si="13"/>
        <v>32194222</v>
      </c>
      <c r="AQ65" s="16">
        <f t="shared" si="14"/>
        <v>33678196</v>
      </c>
      <c r="AR65" s="16">
        <f t="shared" si="15"/>
        <v>34988384</v>
      </c>
      <c r="AS65" s="16">
        <f t="shared" si="16"/>
        <v>33865995</v>
      </c>
      <c r="AT65" s="16"/>
      <c r="AV65" s="17">
        <f t="shared" si="17"/>
        <v>0.61395645435790935</v>
      </c>
      <c r="AW65" s="17">
        <f t="shared" si="18"/>
        <v>0.6117250307564277</v>
      </c>
      <c r="AX65" s="17">
        <f t="shared" si="19"/>
        <v>0.6054838319930036</v>
      </c>
      <c r="AY65" s="17">
        <f t="shared" si="20"/>
        <v>0.60885499097087548</v>
      </c>
      <c r="AZ65" s="17">
        <f t="shared" si="21"/>
        <v>0.61262607757840537</v>
      </c>
      <c r="BA65" s="17">
        <f t="shared" si="22"/>
        <v>0.61383878277112325</v>
      </c>
      <c r="BB65" s="17">
        <f t="shared" si="23"/>
        <v>0.61642241960669897</v>
      </c>
    </row>
    <row r="66" spans="2:54" x14ac:dyDescent="0.25">
      <c r="B66" s="14">
        <v>68</v>
      </c>
      <c r="C66" s="158" t="s">
        <v>59</v>
      </c>
      <c r="D66" s="15">
        <v>37986904</v>
      </c>
      <c r="E66" s="15">
        <v>37917889</v>
      </c>
      <c r="F66" s="15">
        <v>27043111</v>
      </c>
      <c r="G66" s="15">
        <v>20847919</v>
      </c>
      <c r="H66" s="15">
        <v>22864951</v>
      </c>
      <c r="I66" s="15">
        <v>30029059</v>
      </c>
      <c r="J66" s="15">
        <v>21306876</v>
      </c>
      <c r="K66" s="15">
        <v>25881397</v>
      </c>
      <c r="L66" s="15">
        <v>33621651</v>
      </c>
      <c r="M66" s="15">
        <v>58337936</v>
      </c>
      <c r="N66" s="15"/>
      <c r="O66" s="15"/>
      <c r="Q66" s="15">
        <v>22768423</v>
      </c>
      <c r="R66" s="15">
        <v>22725205</v>
      </c>
      <c r="S66" s="15">
        <v>15425517</v>
      </c>
      <c r="T66" s="15">
        <v>11853214</v>
      </c>
      <c r="U66" s="15">
        <v>13189985</v>
      </c>
      <c r="V66" s="15">
        <v>17737554</v>
      </c>
      <c r="W66" s="15">
        <v>12783162</v>
      </c>
      <c r="X66" s="15">
        <v>15066335</v>
      </c>
      <c r="Y66" s="15">
        <v>19166764</v>
      </c>
      <c r="Z66" s="15">
        <v>32854008</v>
      </c>
      <c r="AA66" s="15"/>
      <c r="AB66" s="15"/>
      <c r="AD66" s="16">
        <f t="shared" si="3"/>
        <v>123795823</v>
      </c>
      <c r="AE66" s="16">
        <f t="shared" si="4"/>
        <v>108673870</v>
      </c>
      <c r="AF66" s="16">
        <f t="shared" si="5"/>
        <v>100785040</v>
      </c>
      <c r="AG66" s="16">
        <f t="shared" si="6"/>
        <v>95048805</v>
      </c>
      <c r="AH66" s="16">
        <f t="shared" si="7"/>
        <v>100082283</v>
      </c>
      <c r="AI66" s="16">
        <f t="shared" si="8"/>
        <v>110838983</v>
      </c>
      <c r="AJ66" s="16">
        <f t="shared" si="9"/>
        <v>139147860</v>
      </c>
      <c r="AK66" s="16"/>
      <c r="AM66" s="16">
        <f t="shared" si="10"/>
        <v>72772359</v>
      </c>
      <c r="AN66" s="16">
        <f t="shared" si="11"/>
        <v>63193921</v>
      </c>
      <c r="AO66" s="16">
        <f t="shared" si="12"/>
        <v>58206270</v>
      </c>
      <c r="AP66" s="16">
        <f t="shared" si="13"/>
        <v>55563915</v>
      </c>
      <c r="AQ66" s="16">
        <f t="shared" si="14"/>
        <v>58777036</v>
      </c>
      <c r="AR66" s="16">
        <f t="shared" si="15"/>
        <v>64753815</v>
      </c>
      <c r="AS66" s="16">
        <f t="shared" si="16"/>
        <v>79870269</v>
      </c>
      <c r="AT66" s="16"/>
      <c r="AV66" s="17">
        <f t="shared" si="17"/>
        <v>0.58784179656853208</v>
      </c>
      <c r="AW66" s="17">
        <f t="shared" si="18"/>
        <v>0.58150060359495803</v>
      </c>
      <c r="AX66" s="17">
        <f t="shared" si="19"/>
        <v>0.5775288673795238</v>
      </c>
      <c r="AY66" s="17">
        <f t="shared" si="20"/>
        <v>0.58458299396820401</v>
      </c>
      <c r="AZ66" s="17">
        <f t="shared" si="21"/>
        <v>0.58728712253696291</v>
      </c>
      <c r="BA66" s="17">
        <f t="shared" si="22"/>
        <v>0.58421516732971102</v>
      </c>
      <c r="BB66" s="17">
        <f t="shared" si="23"/>
        <v>0.57399566906742228</v>
      </c>
    </row>
    <row r="67" spans="2:54" x14ac:dyDescent="0.25">
      <c r="B67" s="14">
        <v>69</v>
      </c>
      <c r="C67" s="158" t="s">
        <v>60</v>
      </c>
      <c r="D67" s="15">
        <v>19348545</v>
      </c>
      <c r="E67" s="15">
        <v>16002463</v>
      </c>
      <c r="F67" s="15">
        <v>22464856</v>
      </c>
      <c r="G67" s="15">
        <v>18962624</v>
      </c>
      <c r="H67" s="15">
        <v>12734315</v>
      </c>
      <c r="I67" s="15">
        <v>13383933</v>
      </c>
      <c r="J67" s="15">
        <v>11359373</v>
      </c>
      <c r="K67" s="15">
        <v>20986024</v>
      </c>
      <c r="L67" s="15">
        <v>17951035</v>
      </c>
      <c r="M67" s="15">
        <v>16454089</v>
      </c>
      <c r="N67" s="15"/>
      <c r="O67" s="15"/>
      <c r="Q67" s="15">
        <v>11140260</v>
      </c>
      <c r="R67" s="15">
        <v>9148995</v>
      </c>
      <c r="S67" s="15">
        <v>12598356</v>
      </c>
      <c r="T67" s="15">
        <v>10196253</v>
      </c>
      <c r="U67" s="15">
        <v>6141219</v>
      </c>
      <c r="V67" s="15">
        <v>6696889</v>
      </c>
      <c r="W67" s="15">
        <v>6012468</v>
      </c>
      <c r="X67" s="15">
        <v>11142606</v>
      </c>
      <c r="Y67" s="15">
        <v>9625195</v>
      </c>
      <c r="Z67" s="15">
        <v>9339012</v>
      </c>
      <c r="AA67" s="15"/>
      <c r="AB67" s="15"/>
      <c r="AD67" s="16">
        <f t="shared" si="3"/>
        <v>76778488</v>
      </c>
      <c r="AE67" s="16">
        <f t="shared" si="4"/>
        <v>70164258</v>
      </c>
      <c r="AF67" s="16">
        <f t="shared" si="5"/>
        <v>67545728</v>
      </c>
      <c r="AG67" s="16">
        <f t="shared" si="6"/>
        <v>56440245</v>
      </c>
      <c r="AH67" s="16">
        <f t="shared" si="7"/>
        <v>58463645</v>
      </c>
      <c r="AI67" s="16">
        <f t="shared" si="8"/>
        <v>63680365</v>
      </c>
      <c r="AJ67" s="16">
        <f t="shared" si="9"/>
        <v>66750521</v>
      </c>
      <c r="AK67" s="16"/>
      <c r="AM67" s="16">
        <f t="shared" si="10"/>
        <v>43083864</v>
      </c>
      <c r="AN67" s="16">
        <f t="shared" si="11"/>
        <v>38084823</v>
      </c>
      <c r="AO67" s="16">
        <f t="shared" si="12"/>
        <v>35632717</v>
      </c>
      <c r="AP67" s="16">
        <f t="shared" si="13"/>
        <v>29046829</v>
      </c>
      <c r="AQ67" s="16">
        <f t="shared" si="14"/>
        <v>29993182</v>
      </c>
      <c r="AR67" s="16">
        <f t="shared" si="15"/>
        <v>33477158</v>
      </c>
      <c r="AS67" s="16">
        <f t="shared" si="16"/>
        <v>36119281</v>
      </c>
      <c r="AT67" s="16"/>
      <c r="AV67" s="17">
        <f t="shared" si="17"/>
        <v>0.56114499155023734</v>
      </c>
      <c r="AW67" s="17">
        <f t="shared" si="18"/>
        <v>0.54279520778228707</v>
      </c>
      <c r="AX67" s="17">
        <f t="shared" si="19"/>
        <v>0.52753472432779169</v>
      </c>
      <c r="AY67" s="17">
        <f t="shared" si="20"/>
        <v>0.51464746476561185</v>
      </c>
      <c r="AZ67" s="17">
        <f t="shared" si="21"/>
        <v>0.51302278535660917</v>
      </c>
      <c r="BA67" s="17">
        <f t="shared" si="22"/>
        <v>0.52570612621331547</v>
      </c>
      <c r="BB67" s="17">
        <f t="shared" si="23"/>
        <v>0.5411086004856801</v>
      </c>
    </row>
    <row r="68" spans="2:54" x14ac:dyDescent="0.25">
      <c r="B68" s="14">
        <v>70</v>
      </c>
      <c r="C68" s="158" t="s">
        <v>61</v>
      </c>
      <c r="D68" s="15">
        <v>7341614</v>
      </c>
      <c r="E68" s="15">
        <v>8364329</v>
      </c>
      <c r="F68" s="15">
        <v>9126815</v>
      </c>
      <c r="G68" s="15">
        <v>7498519</v>
      </c>
      <c r="H68" s="15">
        <v>8019892</v>
      </c>
      <c r="I68" s="15">
        <v>9775855</v>
      </c>
      <c r="J68" s="15">
        <v>9882841</v>
      </c>
      <c r="K68" s="15">
        <v>10100352</v>
      </c>
      <c r="L68" s="15">
        <v>11399027</v>
      </c>
      <c r="M68" s="15">
        <v>11978774</v>
      </c>
      <c r="N68" s="15"/>
      <c r="O68" s="15"/>
      <c r="Q68" s="15">
        <v>4331667</v>
      </c>
      <c r="R68" s="15">
        <v>4884216</v>
      </c>
      <c r="S68" s="15">
        <v>5313934</v>
      </c>
      <c r="T68" s="15">
        <v>4287217</v>
      </c>
      <c r="U68" s="15">
        <v>4549531</v>
      </c>
      <c r="V68" s="15">
        <v>5526935</v>
      </c>
      <c r="W68" s="15">
        <v>5732046</v>
      </c>
      <c r="X68" s="15">
        <v>5843261</v>
      </c>
      <c r="Y68" s="15">
        <v>6577708</v>
      </c>
      <c r="Z68" s="15">
        <v>6657358</v>
      </c>
      <c r="AA68" s="15"/>
      <c r="AB68" s="15"/>
      <c r="AD68" s="16">
        <f t="shared" si="3"/>
        <v>32331277</v>
      </c>
      <c r="AE68" s="16">
        <f t="shared" si="4"/>
        <v>33009555</v>
      </c>
      <c r="AF68" s="16">
        <f t="shared" si="5"/>
        <v>34421081</v>
      </c>
      <c r="AG68" s="16">
        <f t="shared" si="6"/>
        <v>35177107</v>
      </c>
      <c r="AH68" s="16">
        <f t="shared" si="7"/>
        <v>37778940</v>
      </c>
      <c r="AI68" s="16">
        <f t="shared" si="8"/>
        <v>41158075</v>
      </c>
      <c r="AJ68" s="16">
        <f t="shared" si="9"/>
        <v>43360994</v>
      </c>
      <c r="AK68" s="16"/>
      <c r="AM68" s="16">
        <f t="shared" si="10"/>
        <v>18817034</v>
      </c>
      <c r="AN68" s="16">
        <f t="shared" si="11"/>
        <v>19034898</v>
      </c>
      <c r="AO68" s="16">
        <f t="shared" si="12"/>
        <v>19677617</v>
      </c>
      <c r="AP68" s="16">
        <f t="shared" si="13"/>
        <v>20095729</v>
      </c>
      <c r="AQ68" s="16">
        <f t="shared" si="14"/>
        <v>21651773</v>
      </c>
      <c r="AR68" s="16">
        <f t="shared" si="15"/>
        <v>23679950</v>
      </c>
      <c r="AS68" s="16">
        <f t="shared" si="16"/>
        <v>24810373</v>
      </c>
      <c r="AT68" s="16"/>
      <c r="AV68" s="17">
        <f t="shared" si="17"/>
        <v>0.5820071381653128</v>
      </c>
      <c r="AW68" s="17">
        <f t="shared" si="18"/>
        <v>0.57664812506560603</v>
      </c>
      <c r="AX68" s="17">
        <f t="shared" si="19"/>
        <v>0.57167341722940079</v>
      </c>
      <c r="AY68" s="17">
        <f t="shared" si="20"/>
        <v>0.57127293043171512</v>
      </c>
      <c r="AZ68" s="17">
        <f t="shared" si="21"/>
        <v>0.57311753585463221</v>
      </c>
      <c r="BA68" s="17">
        <f t="shared" si="22"/>
        <v>0.57534153383023867</v>
      </c>
      <c r="BB68" s="17">
        <f t="shared" si="23"/>
        <v>0.57218183236297582</v>
      </c>
    </row>
    <row r="69" spans="2:54" x14ac:dyDescent="0.25">
      <c r="B69" s="14">
        <v>71</v>
      </c>
      <c r="C69" s="158" t="s">
        <v>62</v>
      </c>
      <c r="D69" s="15">
        <v>3166194</v>
      </c>
      <c r="E69" s="15">
        <v>3804472</v>
      </c>
      <c r="F69" s="15">
        <v>3833149</v>
      </c>
      <c r="G69" s="15">
        <v>2995274</v>
      </c>
      <c r="H69" s="15">
        <v>3488509</v>
      </c>
      <c r="I69" s="15">
        <v>4079725</v>
      </c>
      <c r="J69" s="15">
        <v>2967883</v>
      </c>
      <c r="K69" s="15">
        <v>3630067</v>
      </c>
      <c r="L69" s="15">
        <v>4353337</v>
      </c>
      <c r="M69" s="15">
        <v>4835957</v>
      </c>
      <c r="N69" s="15"/>
      <c r="O69" s="15"/>
      <c r="Q69" s="15">
        <v>1807004</v>
      </c>
      <c r="R69" s="15">
        <v>2167434</v>
      </c>
      <c r="S69" s="15">
        <v>2182111</v>
      </c>
      <c r="T69" s="15">
        <v>1662354</v>
      </c>
      <c r="U69" s="15">
        <v>1931212</v>
      </c>
      <c r="V69" s="15">
        <v>2257704</v>
      </c>
      <c r="W69" s="15">
        <v>1662014</v>
      </c>
      <c r="X69" s="15">
        <v>1996539</v>
      </c>
      <c r="Y69" s="15">
        <v>2444194</v>
      </c>
      <c r="Z69" s="15">
        <v>2746708</v>
      </c>
      <c r="AA69" s="15"/>
      <c r="AB69" s="15"/>
      <c r="AD69" s="16">
        <f t="shared" si="3"/>
        <v>13799089</v>
      </c>
      <c r="AE69" s="16">
        <f t="shared" si="4"/>
        <v>14121404</v>
      </c>
      <c r="AF69" s="16">
        <f t="shared" si="5"/>
        <v>14396657</v>
      </c>
      <c r="AG69" s="16">
        <f t="shared" si="6"/>
        <v>13531391</v>
      </c>
      <c r="AH69" s="16">
        <f t="shared" si="7"/>
        <v>14166184</v>
      </c>
      <c r="AI69" s="16">
        <f t="shared" si="8"/>
        <v>15031012</v>
      </c>
      <c r="AJ69" s="16">
        <f t="shared" si="9"/>
        <v>15787244</v>
      </c>
      <c r="AK69" s="16"/>
      <c r="AM69" s="16">
        <f t="shared" si="10"/>
        <v>7818903</v>
      </c>
      <c r="AN69" s="16">
        <f t="shared" si="11"/>
        <v>7943111</v>
      </c>
      <c r="AO69" s="16">
        <f t="shared" si="12"/>
        <v>8033381</v>
      </c>
      <c r="AP69" s="16">
        <f t="shared" si="13"/>
        <v>7513284</v>
      </c>
      <c r="AQ69" s="16">
        <f t="shared" si="14"/>
        <v>7847469</v>
      </c>
      <c r="AR69" s="16">
        <f t="shared" si="15"/>
        <v>8360451</v>
      </c>
      <c r="AS69" s="16">
        <f t="shared" si="16"/>
        <v>8849455</v>
      </c>
      <c r="AT69" s="16"/>
      <c r="AV69" s="17">
        <f t="shared" si="17"/>
        <v>0.56662457934723087</v>
      </c>
      <c r="AW69" s="17">
        <f t="shared" si="18"/>
        <v>0.56248734191019534</v>
      </c>
      <c r="AX69" s="17">
        <f t="shared" si="19"/>
        <v>0.55800322255368029</v>
      </c>
      <c r="AY69" s="17">
        <f t="shared" si="20"/>
        <v>0.55524845893522701</v>
      </c>
      <c r="AZ69" s="17">
        <f t="shared" si="21"/>
        <v>0.55395786190550678</v>
      </c>
      <c r="BA69" s="17">
        <f t="shared" si="22"/>
        <v>0.55621344723828314</v>
      </c>
      <c r="BB69" s="17">
        <f t="shared" si="23"/>
        <v>0.56054463971038893</v>
      </c>
    </row>
    <row r="70" spans="2:54" x14ac:dyDescent="0.25">
      <c r="B70" s="14">
        <v>72</v>
      </c>
      <c r="C70" s="158" t="s">
        <v>63</v>
      </c>
      <c r="D70" s="15">
        <v>14977931</v>
      </c>
      <c r="E70" s="15">
        <v>11955248</v>
      </c>
      <c r="F70" s="15">
        <v>11774278</v>
      </c>
      <c r="G70" s="15">
        <v>11302932</v>
      </c>
      <c r="H70" s="15">
        <v>11130623</v>
      </c>
      <c r="I70" s="15">
        <v>10860469</v>
      </c>
      <c r="J70" s="15">
        <v>11555442</v>
      </c>
      <c r="K70" s="15">
        <v>10160763</v>
      </c>
      <c r="L70" s="15">
        <v>11513496</v>
      </c>
      <c r="M70" s="15">
        <v>14448462</v>
      </c>
      <c r="N70" s="15"/>
      <c r="O70" s="15"/>
      <c r="Q70" s="15">
        <v>10186768</v>
      </c>
      <c r="R70" s="15">
        <v>7797648</v>
      </c>
      <c r="S70" s="15">
        <v>7061434</v>
      </c>
      <c r="T70" s="15">
        <v>6741652</v>
      </c>
      <c r="U70" s="15">
        <v>6669294</v>
      </c>
      <c r="V70" s="15">
        <v>6460087</v>
      </c>
      <c r="W70" s="15">
        <v>7001065</v>
      </c>
      <c r="X70" s="15">
        <v>5999090</v>
      </c>
      <c r="Y70" s="15">
        <v>6934051</v>
      </c>
      <c r="Z70" s="15">
        <v>8760735</v>
      </c>
      <c r="AA70" s="15"/>
      <c r="AB70" s="15"/>
      <c r="AD70" s="16">
        <f t="shared" si="3"/>
        <v>50010389</v>
      </c>
      <c r="AE70" s="16">
        <f t="shared" si="4"/>
        <v>46163081</v>
      </c>
      <c r="AF70" s="16">
        <f t="shared" si="5"/>
        <v>45068302</v>
      </c>
      <c r="AG70" s="16">
        <f t="shared" si="6"/>
        <v>44849466</v>
      </c>
      <c r="AH70" s="16">
        <f t="shared" si="7"/>
        <v>43707297</v>
      </c>
      <c r="AI70" s="16">
        <f t="shared" si="8"/>
        <v>44090170</v>
      </c>
      <c r="AJ70" s="16">
        <f t="shared" si="9"/>
        <v>47678163</v>
      </c>
      <c r="AK70" s="16"/>
      <c r="AM70" s="16">
        <f t="shared" si="10"/>
        <v>31787502</v>
      </c>
      <c r="AN70" s="16">
        <f t="shared" si="11"/>
        <v>28270028</v>
      </c>
      <c r="AO70" s="16">
        <f t="shared" si="12"/>
        <v>26932467</v>
      </c>
      <c r="AP70" s="16">
        <f t="shared" si="13"/>
        <v>26872098</v>
      </c>
      <c r="AQ70" s="16">
        <f t="shared" si="14"/>
        <v>26129536</v>
      </c>
      <c r="AR70" s="16">
        <f t="shared" si="15"/>
        <v>26394293</v>
      </c>
      <c r="AS70" s="16">
        <f t="shared" si="16"/>
        <v>28694941</v>
      </c>
      <c r="AT70" s="16"/>
      <c r="AV70" s="17">
        <f t="shared" si="17"/>
        <v>0.63561797129792375</v>
      </c>
      <c r="AW70" s="17">
        <f t="shared" si="18"/>
        <v>0.61239474029040653</v>
      </c>
      <c r="AX70" s="17">
        <f t="shared" si="19"/>
        <v>0.59759222790332767</v>
      </c>
      <c r="AY70" s="17">
        <f t="shared" si="20"/>
        <v>0.5991620502237418</v>
      </c>
      <c r="AZ70" s="17">
        <f t="shared" si="21"/>
        <v>0.59783006027574759</v>
      </c>
      <c r="BA70" s="17">
        <f t="shared" si="22"/>
        <v>0.59864348447737892</v>
      </c>
      <c r="BB70" s="17">
        <f t="shared" si="23"/>
        <v>0.60184661476995249</v>
      </c>
    </row>
    <row r="71" spans="2:54" x14ac:dyDescent="0.25">
      <c r="B71" s="14">
        <v>73</v>
      </c>
      <c r="C71" s="158" t="s">
        <v>64</v>
      </c>
      <c r="D71" s="15">
        <v>20751246</v>
      </c>
      <c r="E71" s="15">
        <v>21591661</v>
      </c>
      <c r="F71" s="15">
        <v>27999147</v>
      </c>
      <c r="G71" s="15">
        <v>21213111</v>
      </c>
      <c r="H71" s="15">
        <v>23648292</v>
      </c>
      <c r="I71" s="15">
        <v>25884182</v>
      </c>
      <c r="J71" s="15">
        <v>19813749</v>
      </c>
      <c r="K71" s="15">
        <v>24770190</v>
      </c>
      <c r="L71" s="15">
        <v>35275611</v>
      </c>
      <c r="M71" s="15">
        <v>26121682</v>
      </c>
      <c r="N71" s="15"/>
      <c r="O71" s="15"/>
      <c r="Q71" s="15">
        <v>11476635</v>
      </c>
      <c r="R71" s="15">
        <v>12041298</v>
      </c>
      <c r="S71" s="15">
        <v>15589927</v>
      </c>
      <c r="T71" s="15">
        <v>11423893</v>
      </c>
      <c r="U71" s="15">
        <v>12649553</v>
      </c>
      <c r="V71" s="15">
        <v>13933757</v>
      </c>
      <c r="W71" s="15">
        <v>10699311</v>
      </c>
      <c r="X71" s="15">
        <v>13128201</v>
      </c>
      <c r="Y71" s="15">
        <v>18643666</v>
      </c>
      <c r="Z71" s="15">
        <v>13420607</v>
      </c>
      <c r="AA71" s="15"/>
      <c r="AB71" s="15"/>
      <c r="AD71" s="16">
        <f t="shared" ref="AD71:AD83" si="24">SUM(D71:G71)</f>
        <v>91555165</v>
      </c>
      <c r="AE71" s="16">
        <f t="shared" ref="AE71:AE83" si="25">SUM(E71:H71)</f>
        <v>94452211</v>
      </c>
      <c r="AF71" s="16">
        <f t="shared" ref="AF71:AF83" si="26">SUM(F71:I71)</f>
        <v>98744732</v>
      </c>
      <c r="AG71" s="16">
        <f t="shared" ref="AG71:AG83" si="27">SUM(G71:J71)</f>
        <v>90559334</v>
      </c>
      <c r="AH71" s="16">
        <f t="shared" ref="AH71:AH83" si="28">SUM(H71:K71)</f>
        <v>94116413</v>
      </c>
      <c r="AI71" s="16">
        <f t="shared" ref="AI71:AI83" si="29">SUM(I71:L71)</f>
        <v>105743732</v>
      </c>
      <c r="AJ71" s="16">
        <f t="shared" ref="AJ71:AJ83" si="30">SUM(J71:M71)</f>
        <v>105981232</v>
      </c>
      <c r="AK71" s="16"/>
      <c r="AM71" s="16">
        <f t="shared" ref="AM71:AM83" si="31">SUM(Q71:T71)</f>
        <v>50531753</v>
      </c>
      <c r="AN71" s="16">
        <f t="shared" ref="AN71:AN83" si="32">SUM(R71:U71)</f>
        <v>51704671</v>
      </c>
      <c r="AO71" s="16">
        <f t="shared" ref="AO71:AO83" si="33">SUM(S71:V71)</f>
        <v>53597130</v>
      </c>
      <c r="AP71" s="16">
        <f t="shared" ref="AP71:AP83" si="34">SUM(T71:W71)</f>
        <v>48706514</v>
      </c>
      <c r="AQ71" s="16">
        <f t="shared" ref="AQ71:AQ83" si="35">SUM(U71:X71)</f>
        <v>50410822</v>
      </c>
      <c r="AR71" s="16">
        <f t="shared" ref="AR71:AR83" si="36">SUM(V71:Y71)</f>
        <v>56404935</v>
      </c>
      <c r="AS71" s="16">
        <f t="shared" ref="AS71:AS83" si="37">SUM(W71:Z71)</f>
        <v>55891785</v>
      </c>
      <c r="AT71" s="16"/>
      <c r="AV71" s="17">
        <f t="shared" ref="AV71:AV84" si="38">AM71/AD71</f>
        <v>0.55192684104714351</v>
      </c>
      <c r="AW71" s="17">
        <f t="shared" ref="AW71:AW84" si="39">AN71/AE71</f>
        <v>0.54741620606424979</v>
      </c>
      <c r="AX71" s="17">
        <f t="shared" ref="AX71:AX84" si="40">AO71/AF71</f>
        <v>0.54278470268165802</v>
      </c>
      <c r="AY71" s="17">
        <f t="shared" ref="AY71:AY84" si="41">AP71/AG71</f>
        <v>0.53784090329109535</v>
      </c>
      <c r="AZ71" s="17">
        <f t="shared" ref="AZ71:AZ84" si="42">AQ71/AH71</f>
        <v>0.5356220067587999</v>
      </c>
      <c r="BA71" s="17">
        <f t="shared" ref="BA71:BA84" si="43">AR71/AI71</f>
        <v>0.53341161630270439</v>
      </c>
      <c r="BB71" s="17">
        <f t="shared" ref="BB71:BB84" si="44">AS71/AJ71</f>
        <v>0.52737436568014229</v>
      </c>
    </row>
    <row r="72" spans="2:54" x14ac:dyDescent="0.25">
      <c r="B72" s="14">
        <v>74</v>
      </c>
      <c r="C72" s="158" t="s">
        <v>65</v>
      </c>
      <c r="D72" s="15">
        <v>5198105</v>
      </c>
      <c r="E72" s="15">
        <v>3721070</v>
      </c>
      <c r="F72" s="15">
        <v>3888390</v>
      </c>
      <c r="G72" s="15">
        <v>3241186</v>
      </c>
      <c r="H72" s="15">
        <v>3670367</v>
      </c>
      <c r="I72" s="15">
        <v>4850501</v>
      </c>
      <c r="J72" s="15">
        <v>3725864</v>
      </c>
      <c r="K72" s="15">
        <v>3621358</v>
      </c>
      <c r="L72" s="15">
        <v>3764787</v>
      </c>
      <c r="M72" s="15">
        <v>3961870</v>
      </c>
      <c r="N72" s="15"/>
      <c r="O72" s="15"/>
      <c r="Q72" s="15">
        <v>4752383</v>
      </c>
      <c r="R72" s="15">
        <v>3279704</v>
      </c>
      <c r="S72" s="15">
        <v>3412616</v>
      </c>
      <c r="T72" s="15">
        <v>2858001</v>
      </c>
      <c r="U72" s="15">
        <v>3279027</v>
      </c>
      <c r="V72" s="15">
        <v>4416040</v>
      </c>
      <c r="W72" s="15">
        <v>3359694</v>
      </c>
      <c r="X72" s="15">
        <v>3223010</v>
      </c>
      <c r="Y72" s="15">
        <v>3313011</v>
      </c>
      <c r="Z72" s="15">
        <v>3486444</v>
      </c>
      <c r="AA72" s="15"/>
      <c r="AB72" s="15"/>
      <c r="AD72" s="16">
        <f t="shared" si="24"/>
        <v>16048751</v>
      </c>
      <c r="AE72" s="16">
        <f t="shared" si="25"/>
        <v>14521013</v>
      </c>
      <c r="AF72" s="16">
        <f t="shared" si="26"/>
        <v>15650444</v>
      </c>
      <c r="AG72" s="16">
        <f t="shared" si="27"/>
        <v>15487918</v>
      </c>
      <c r="AH72" s="16">
        <f t="shared" si="28"/>
        <v>15868090</v>
      </c>
      <c r="AI72" s="16">
        <f t="shared" si="29"/>
        <v>15962510</v>
      </c>
      <c r="AJ72" s="16">
        <f t="shared" si="30"/>
        <v>15073879</v>
      </c>
      <c r="AK72" s="16"/>
      <c r="AM72" s="16">
        <f t="shared" si="31"/>
        <v>14302704</v>
      </c>
      <c r="AN72" s="16">
        <f t="shared" si="32"/>
        <v>12829348</v>
      </c>
      <c r="AO72" s="16">
        <f t="shared" si="33"/>
        <v>13965684</v>
      </c>
      <c r="AP72" s="16">
        <f t="shared" si="34"/>
        <v>13912762</v>
      </c>
      <c r="AQ72" s="16">
        <f t="shared" si="35"/>
        <v>14277771</v>
      </c>
      <c r="AR72" s="16">
        <f t="shared" si="36"/>
        <v>14311755</v>
      </c>
      <c r="AS72" s="16">
        <f t="shared" si="37"/>
        <v>13382159</v>
      </c>
      <c r="AT72" s="16"/>
      <c r="AV72" s="17">
        <f t="shared" si="38"/>
        <v>0.89120355845760213</v>
      </c>
      <c r="AW72" s="17">
        <f t="shared" si="39"/>
        <v>0.88350227356727795</v>
      </c>
      <c r="AX72" s="17">
        <f t="shared" si="40"/>
        <v>0.89235065791104717</v>
      </c>
      <c r="AY72" s="17">
        <f t="shared" si="41"/>
        <v>0.8982977570000048</v>
      </c>
      <c r="AZ72" s="17">
        <f t="shared" si="42"/>
        <v>0.89977880135542465</v>
      </c>
      <c r="BA72" s="17">
        <f t="shared" si="43"/>
        <v>0.89658549939827759</v>
      </c>
      <c r="BB72" s="17">
        <f t="shared" si="44"/>
        <v>0.88777142233926654</v>
      </c>
    </row>
    <row r="73" spans="2:54" x14ac:dyDescent="0.25">
      <c r="B73" s="14">
        <v>81</v>
      </c>
      <c r="C73" s="158" t="s">
        <v>66</v>
      </c>
      <c r="D73" s="15">
        <v>1425890</v>
      </c>
      <c r="E73" s="15">
        <v>1220728</v>
      </c>
      <c r="F73" s="15">
        <v>1330525</v>
      </c>
      <c r="G73" s="15">
        <v>1231024</v>
      </c>
      <c r="H73" s="15">
        <v>1367801</v>
      </c>
      <c r="I73" s="15">
        <v>1508461</v>
      </c>
      <c r="J73" s="15">
        <v>1783296</v>
      </c>
      <c r="K73" s="15">
        <v>1978274</v>
      </c>
      <c r="L73" s="15">
        <v>2623327</v>
      </c>
      <c r="M73" s="15">
        <v>2895164</v>
      </c>
      <c r="N73" s="15"/>
      <c r="O73" s="15"/>
      <c r="Q73" s="15">
        <v>822879</v>
      </c>
      <c r="R73" s="15">
        <v>702876</v>
      </c>
      <c r="S73" s="15">
        <v>768291</v>
      </c>
      <c r="T73" s="15">
        <v>638921</v>
      </c>
      <c r="U73" s="15">
        <v>696831</v>
      </c>
      <c r="V73" s="15">
        <v>781239</v>
      </c>
      <c r="W73" s="15">
        <v>927054</v>
      </c>
      <c r="X73" s="15">
        <v>1037052</v>
      </c>
      <c r="Y73" s="15">
        <v>1445628</v>
      </c>
      <c r="Z73" s="15">
        <v>1598566</v>
      </c>
      <c r="AA73" s="15"/>
      <c r="AB73" s="15"/>
      <c r="AD73" s="16">
        <f t="shared" si="24"/>
        <v>5208167</v>
      </c>
      <c r="AE73" s="16">
        <f t="shared" si="25"/>
        <v>5150078</v>
      </c>
      <c r="AF73" s="16">
        <f t="shared" si="26"/>
        <v>5437811</v>
      </c>
      <c r="AG73" s="16">
        <f t="shared" si="27"/>
        <v>5890582</v>
      </c>
      <c r="AH73" s="16">
        <f t="shared" si="28"/>
        <v>6637832</v>
      </c>
      <c r="AI73" s="16">
        <f t="shared" si="29"/>
        <v>7893358</v>
      </c>
      <c r="AJ73" s="16">
        <f t="shared" si="30"/>
        <v>9280061</v>
      </c>
      <c r="AK73" s="16"/>
      <c r="AM73" s="16">
        <f t="shared" si="31"/>
        <v>2932967</v>
      </c>
      <c r="AN73" s="16">
        <f t="shared" si="32"/>
        <v>2806919</v>
      </c>
      <c r="AO73" s="16">
        <f t="shared" si="33"/>
        <v>2885282</v>
      </c>
      <c r="AP73" s="16">
        <f t="shared" si="34"/>
        <v>3044045</v>
      </c>
      <c r="AQ73" s="16">
        <f t="shared" si="35"/>
        <v>3442176</v>
      </c>
      <c r="AR73" s="16">
        <f t="shared" si="36"/>
        <v>4190973</v>
      </c>
      <c r="AS73" s="16">
        <f t="shared" si="37"/>
        <v>5008300</v>
      </c>
      <c r="AT73" s="16"/>
      <c r="AV73" s="17">
        <f t="shared" si="38"/>
        <v>0.56314764868330836</v>
      </c>
      <c r="AW73" s="17">
        <f t="shared" si="39"/>
        <v>0.54502456079305983</v>
      </c>
      <c r="AX73" s="17">
        <f t="shared" si="40"/>
        <v>0.53059622704797937</v>
      </c>
      <c r="AY73" s="17">
        <f t="shared" si="41"/>
        <v>0.51676472715259714</v>
      </c>
      <c r="AZ73" s="17">
        <f t="shared" si="42"/>
        <v>0.51856931600558742</v>
      </c>
      <c r="BA73" s="17">
        <f t="shared" si="43"/>
        <v>0.53094931206718354</v>
      </c>
      <c r="BB73" s="17">
        <f t="shared" si="44"/>
        <v>0.53968395250850187</v>
      </c>
    </row>
    <row r="74" spans="2:54" x14ac:dyDescent="0.25">
      <c r="B74" s="14">
        <v>83</v>
      </c>
      <c r="C74" s="158" t="s">
        <v>67</v>
      </c>
      <c r="D74" s="15">
        <v>17493743</v>
      </c>
      <c r="E74" s="15">
        <v>17447192</v>
      </c>
      <c r="F74" s="15">
        <v>17845297</v>
      </c>
      <c r="G74" s="15">
        <v>17237915</v>
      </c>
      <c r="H74" s="15">
        <v>17036494</v>
      </c>
      <c r="I74" s="15">
        <v>17061767</v>
      </c>
      <c r="J74" s="15">
        <v>17485548</v>
      </c>
      <c r="K74" s="15">
        <v>18568216</v>
      </c>
      <c r="L74" s="15">
        <v>21023452</v>
      </c>
      <c r="M74" s="15">
        <v>21521968</v>
      </c>
      <c r="N74" s="15"/>
      <c r="O74" s="15"/>
      <c r="Q74" s="15">
        <v>9414313</v>
      </c>
      <c r="R74" s="15">
        <v>9327814</v>
      </c>
      <c r="S74" s="15">
        <v>9525501</v>
      </c>
      <c r="T74" s="15">
        <v>8886384</v>
      </c>
      <c r="U74" s="15">
        <v>8852130</v>
      </c>
      <c r="V74" s="15">
        <v>8830417</v>
      </c>
      <c r="W74" s="15">
        <v>9132774</v>
      </c>
      <c r="X74" s="15">
        <v>9522651</v>
      </c>
      <c r="Y74" s="15">
        <v>10875631</v>
      </c>
      <c r="Z74" s="15">
        <v>11270645</v>
      </c>
      <c r="AA74" s="15"/>
      <c r="AB74" s="15"/>
      <c r="AD74" s="16">
        <f t="shared" si="24"/>
        <v>70024147</v>
      </c>
      <c r="AE74" s="16">
        <f t="shared" si="25"/>
        <v>69566898</v>
      </c>
      <c r="AF74" s="16">
        <f t="shared" si="26"/>
        <v>69181473</v>
      </c>
      <c r="AG74" s="16">
        <f t="shared" si="27"/>
        <v>68821724</v>
      </c>
      <c r="AH74" s="16">
        <f t="shared" si="28"/>
        <v>70152025</v>
      </c>
      <c r="AI74" s="16">
        <f t="shared" si="29"/>
        <v>74138983</v>
      </c>
      <c r="AJ74" s="16">
        <f t="shared" si="30"/>
        <v>78599184</v>
      </c>
      <c r="AK74" s="16"/>
      <c r="AM74" s="16">
        <f t="shared" si="31"/>
        <v>37154012</v>
      </c>
      <c r="AN74" s="16">
        <f t="shared" si="32"/>
        <v>36591829</v>
      </c>
      <c r="AO74" s="16">
        <f t="shared" si="33"/>
        <v>36094432</v>
      </c>
      <c r="AP74" s="16">
        <f t="shared" si="34"/>
        <v>35701705</v>
      </c>
      <c r="AQ74" s="16">
        <f t="shared" si="35"/>
        <v>36337972</v>
      </c>
      <c r="AR74" s="16">
        <f t="shared" si="36"/>
        <v>38361473</v>
      </c>
      <c r="AS74" s="16">
        <f t="shared" si="37"/>
        <v>40801701</v>
      </c>
      <c r="AT74" s="16"/>
      <c r="AV74" s="17">
        <f t="shared" si="38"/>
        <v>0.53058856968296952</v>
      </c>
      <c r="AW74" s="17">
        <f t="shared" si="39"/>
        <v>0.52599483449729212</v>
      </c>
      <c r="AX74" s="17">
        <f t="shared" si="40"/>
        <v>0.52173552303519177</v>
      </c>
      <c r="AY74" s="17">
        <f t="shared" si="41"/>
        <v>0.51875633048657721</v>
      </c>
      <c r="AZ74" s="17">
        <f t="shared" si="42"/>
        <v>0.51798892476731784</v>
      </c>
      <c r="BA74" s="17">
        <f t="shared" si="43"/>
        <v>0.51742647993971003</v>
      </c>
      <c r="BB74" s="17">
        <f t="shared" si="44"/>
        <v>0.51911099993099163</v>
      </c>
    </row>
    <row r="75" spans="2:54" x14ac:dyDescent="0.25">
      <c r="B75" s="14">
        <v>84</v>
      </c>
      <c r="C75" s="158" t="s">
        <v>68</v>
      </c>
      <c r="D75" s="15">
        <v>10016107</v>
      </c>
      <c r="E75" s="15">
        <v>9818753</v>
      </c>
      <c r="F75" s="15">
        <v>10115928</v>
      </c>
      <c r="G75" s="15">
        <v>9946656</v>
      </c>
      <c r="H75" s="15">
        <v>10771824</v>
      </c>
      <c r="I75" s="15">
        <v>12543764</v>
      </c>
      <c r="J75" s="15">
        <v>12572911</v>
      </c>
      <c r="K75" s="15">
        <v>12748168</v>
      </c>
      <c r="L75" s="15">
        <v>15138938</v>
      </c>
      <c r="M75" s="15">
        <v>18367228</v>
      </c>
      <c r="N75" s="15"/>
      <c r="O75" s="15"/>
      <c r="Q75" s="15">
        <v>5325113</v>
      </c>
      <c r="R75" s="15">
        <v>5228400</v>
      </c>
      <c r="S75" s="15">
        <v>5368666</v>
      </c>
      <c r="T75" s="15">
        <v>5132197</v>
      </c>
      <c r="U75" s="15">
        <v>5493272</v>
      </c>
      <c r="V75" s="15">
        <v>6382647</v>
      </c>
      <c r="W75" s="15">
        <v>6541867</v>
      </c>
      <c r="X75" s="15">
        <v>6529912</v>
      </c>
      <c r="Y75" s="15">
        <v>7853519</v>
      </c>
      <c r="Z75" s="15">
        <v>9560410</v>
      </c>
      <c r="AA75" s="15"/>
      <c r="AB75" s="15"/>
      <c r="AD75" s="16">
        <f t="shared" si="24"/>
        <v>39897444</v>
      </c>
      <c r="AE75" s="16">
        <f t="shared" si="25"/>
        <v>40653161</v>
      </c>
      <c r="AF75" s="16">
        <f t="shared" si="26"/>
        <v>43378172</v>
      </c>
      <c r="AG75" s="16">
        <f t="shared" si="27"/>
        <v>45835155</v>
      </c>
      <c r="AH75" s="16">
        <f t="shared" si="28"/>
        <v>48636667</v>
      </c>
      <c r="AI75" s="16">
        <f t="shared" si="29"/>
        <v>53003781</v>
      </c>
      <c r="AJ75" s="16">
        <f t="shared" si="30"/>
        <v>58827245</v>
      </c>
      <c r="AK75" s="16"/>
      <c r="AM75" s="16">
        <f t="shared" si="31"/>
        <v>21054376</v>
      </c>
      <c r="AN75" s="16">
        <f t="shared" si="32"/>
        <v>21222535</v>
      </c>
      <c r="AO75" s="16">
        <f t="shared" si="33"/>
        <v>22376782</v>
      </c>
      <c r="AP75" s="16">
        <f t="shared" si="34"/>
        <v>23549983</v>
      </c>
      <c r="AQ75" s="16">
        <f t="shared" si="35"/>
        <v>24947698</v>
      </c>
      <c r="AR75" s="16">
        <f t="shared" si="36"/>
        <v>27307945</v>
      </c>
      <c r="AS75" s="16">
        <f t="shared" si="37"/>
        <v>30485708</v>
      </c>
      <c r="AT75" s="16"/>
      <c r="AV75" s="17">
        <f t="shared" si="38"/>
        <v>0.52771240182704438</v>
      </c>
      <c r="AW75" s="17">
        <f t="shared" si="39"/>
        <v>0.52203898732499543</v>
      </c>
      <c r="AX75" s="17">
        <f t="shared" si="40"/>
        <v>0.5158535034625249</v>
      </c>
      <c r="AY75" s="17">
        <f t="shared" si="41"/>
        <v>0.51379738979828915</v>
      </c>
      <c r="AZ75" s="17">
        <f t="shared" si="42"/>
        <v>0.51294012396038569</v>
      </c>
      <c r="BA75" s="17">
        <f t="shared" si="43"/>
        <v>0.51520749057505921</v>
      </c>
      <c r="BB75" s="17">
        <f t="shared" si="44"/>
        <v>0.51822430236194128</v>
      </c>
    </row>
    <row r="76" spans="2:54" x14ac:dyDescent="0.25">
      <c r="B76" s="14">
        <v>86</v>
      </c>
      <c r="C76" s="158" t="s">
        <v>69</v>
      </c>
      <c r="D76" s="15">
        <v>2972269</v>
      </c>
      <c r="E76" s="15">
        <v>3262529</v>
      </c>
      <c r="F76" s="15">
        <v>4592421</v>
      </c>
      <c r="G76" s="15">
        <v>4441178</v>
      </c>
      <c r="H76" s="15">
        <v>4073136</v>
      </c>
      <c r="I76" s="15">
        <v>3769398</v>
      </c>
      <c r="J76" s="15">
        <v>3806212</v>
      </c>
      <c r="K76" s="15">
        <v>3724726</v>
      </c>
      <c r="L76" s="15">
        <v>4111990</v>
      </c>
      <c r="M76" s="15">
        <v>4608155</v>
      </c>
      <c r="N76" s="15"/>
      <c r="O76" s="15"/>
      <c r="Q76" s="15">
        <v>1759383</v>
      </c>
      <c r="R76" s="15">
        <v>1954451</v>
      </c>
      <c r="S76" s="15">
        <v>2632637</v>
      </c>
      <c r="T76" s="15">
        <v>2445577</v>
      </c>
      <c r="U76" s="15">
        <v>2205601</v>
      </c>
      <c r="V76" s="15">
        <v>2037962</v>
      </c>
      <c r="W76" s="15">
        <v>2151610</v>
      </c>
      <c r="X76" s="15">
        <v>2113908</v>
      </c>
      <c r="Y76" s="15">
        <v>2331124</v>
      </c>
      <c r="Z76" s="15">
        <v>2568831</v>
      </c>
      <c r="AA76" s="15"/>
      <c r="AB76" s="15"/>
      <c r="AD76" s="16">
        <f t="shared" si="24"/>
        <v>15268397</v>
      </c>
      <c r="AE76" s="16">
        <f t="shared" si="25"/>
        <v>16369264</v>
      </c>
      <c r="AF76" s="16">
        <f t="shared" si="26"/>
        <v>16876133</v>
      </c>
      <c r="AG76" s="16">
        <f t="shared" si="27"/>
        <v>16089924</v>
      </c>
      <c r="AH76" s="16">
        <f t="shared" si="28"/>
        <v>15373472</v>
      </c>
      <c r="AI76" s="16">
        <f t="shared" si="29"/>
        <v>15412326</v>
      </c>
      <c r="AJ76" s="16">
        <f t="shared" si="30"/>
        <v>16251083</v>
      </c>
      <c r="AK76" s="16"/>
      <c r="AM76" s="16">
        <f t="shared" si="31"/>
        <v>8792048</v>
      </c>
      <c r="AN76" s="16">
        <f t="shared" si="32"/>
        <v>9238266</v>
      </c>
      <c r="AO76" s="16">
        <f t="shared" si="33"/>
        <v>9321777</v>
      </c>
      <c r="AP76" s="16">
        <f t="shared" si="34"/>
        <v>8840750</v>
      </c>
      <c r="AQ76" s="16">
        <f t="shared" si="35"/>
        <v>8509081</v>
      </c>
      <c r="AR76" s="16">
        <f t="shared" si="36"/>
        <v>8634604</v>
      </c>
      <c r="AS76" s="16">
        <f t="shared" si="37"/>
        <v>9165473</v>
      </c>
      <c r="AT76" s="16"/>
      <c r="AV76" s="17">
        <f t="shared" si="38"/>
        <v>0.5758330753385571</v>
      </c>
      <c r="AW76" s="17">
        <f t="shared" si="39"/>
        <v>0.56436660805275052</v>
      </c>
      <c r="AX76" s="17">
        <f t="shared" si="40"/>
        <v>0.55236451383738205</v>
      </c>
      <c r="AY76" s="17">
        <f t="shared" si="41"/>
        <v>0.54945877929566356</v>
      </c>
      <c r="AZ76" s="17">
        <f t="shared" si="42"/>
        <v>0.55349116972405454</v>
      </c>
      <c r="BA76" s="17">
        <f t="shared" si="43"/>
        <v>0.56024016102436458</v>
      </c>
      <c r="BB76" s="17">
        <f t="shared" si="44"/>
        <v>0.56399151982670936</v>
      </c>
    </row>
    <row r="77" spans="2:54" x14ac:dyDescent="0.25">
      <c r="B77" s="14">
        <v>87</v>
      </c>
      <c r="C77" s="158" t="s">
        <v>70</v>
      </c>
      <c r="D77" s="15">
        <v>1625357</v>
      </c>
      <c r="E77" s="15">
        <v>2222754</v>
      </c>
      <c r="F77" s="15">
        <v>2306952</v>
      </c>
      <c r="G77" s="15">
        <v>2326760</v>
      </c>
      <c r="H77" s="15">
        <v>2492630</v>
      </c>
      <c r="I77" s="15">
        <v>2641076</v>
      </c>
      <c r="J77" s="15">
        <v>2698782</v>
      </c>
      <c r="K77" s="15">
        <v>2855954</v>
      </c>
      <c r="L77" s="15">
        <v>3368191</v>
      </c>
      <c r="M77" s="15">
        <v>3585420</v>
      </c>
      <c r="N77" s="15"/>
      <c r="O77" s="15"/>
      <c r="Q77" s="15">
        <v>837970</v>
      </c>
      <c r="R77" s="15">
        <v>1165658</v>
      </c>
      <c r="S77" s="15">
        <v>1248826</v>
      </c>
      <c r="T77" s="15">
        <v>1228223</v>
      </c>
      <c r="U77" s="15">
        <v>1313003</v>
      </c>
      <c r="V77" s="15">
        <v>1394303</v>
      </c>
      <c r="W77" s="15">
        <v>1439533</v>
      </c>
      <c r="X77" s="15">
        <v>1493819</v>
      </c>
      <c r="Y77" s="15">
        <v>1780653</v>
      </c>
      <c r="Z77" s="15">
        <v>1906564</v>
      </c>
      <c r="AA77" s="15"/>
      <c r="AB77" s="15"/>
      <c r="AD77" s="16">
        <f t="shared" si="24"/>
        <v>8481823</v>
      </c>
      <c r="AE77" s="16">
        <f t="shared" si="25"/>
        <v>9349096</v>
      </c>
      <c r="AF77" s="16">
        <f t="shared" si="26"/>
        <v>9767418</v>
      </c>
      <c r="AG77" s="16">
        <f t="shared" si="27"/>
        <v>10159248</v>
      </c>
      <c r="AH77" s="16">
        <f t="shared" si="28"/>
        <v>10688442</v>
      </c>
      <c r="AI77" s="16">
        <f t="shared" si="29"/>
        <v>11564003</v>
      </c>
      <c r="AJ77" s="16">
        <f t="shared" si="30"/>
        <v>12508347</v>
      </c>
      <c r="AK77" s="16"/>
      <c r="AM77" s="16">
        <f t="shared" si="31"/>
        <v>4480677</v>
      </c>
      <c r="AN77" s="16">
        <f t="shared" si="32"/>
        <v>4955710</v>
      </c>
      <c r="AO77" s="16">
        <f t="shared" si="33"/>
        <v>5184355</v>
      </c>
      <c r="AP77" s="16">
        <f t="shared" si="34"/>
        <v>5375062</v>
      </c>
      <c r="AQ77" s="16">
        <f t="shared" si="35"/>
        <v>5640658</v>
      </c>
      <c r="AR77" s="16">
        <f t="shared" si="36"/>
        <v>6108308</v>
      </c>
      <c r="AS77" s="16">
        <f t="shared" si="37"/>
        <v>6620569</v>
      </c>
      <c r="AT77" s="16"/>
      <c r="AV77" s="17">
        <f t="shared" si="38"/>
        <v>0.52826815650361958</v>
      </c>
      <c r="AW77" s="17">
        <f t="shared" si="39"/>
        <v>0.53007370980039137</v>
      </c>
      <c r="AX77" s="17">
        <f t="shared" si="40"/>
        <v>0.53078049900188562</v>
      </c>
      <c r="AY77" s="17">
        <f t="shared" si="41"/>
        <v>0.52908069573653482</v>
      </c>
      <c r="AZ77" s="17">
        <f t="shared" si="42"/>
        <v>0.52773435080622599</v>
      </c>
      <c r="BA77" s="17">
        <f t="shared" si="43"/>
        <v>0.52821743474123972</v>
      </c>
      <c r="BB77" s="17">
        <f t="shared" si="44"/>
        <v>0.52929207992071214</v>
      </c>
    </row>
    <row r="78" spans="2:54" x14ac:dyDescent="0.25">
      <c r="B78" s="14">
        <v>88</v>
      </c>
      <c r="C78" s="158" t="s">
        <v>71</v>
      </c>
      <c r="D78" s="15">
        <v>5066187</v>
      </c>
      <c r="E78" s="15">
        <v>5241031</v>
      </c>
      <c r="F78" s="15">
        <v>5448598</v>
      </c>
      <c r="G78" s="15">
        <v>5105489</v>
      </c>
      <c r="H78" s="15">
        <v>4950539</v>
      </c>
      <c r="I78" s="15">
        <v>5322634</v>
      </c>
      <c r="J78" s="15">
        <v>5424808</v>
      </c>
      <c r="K78" s="15">
        <v>5986786</v>
      </c>
      <c r="L78" s="15">
        <v>7298636</v>
      </c>
      <c r="M78" s="15">
        <v>8802230</v>
      </c>
      <c r="N78" s="15"/>
      <c r="O78" s="15"/>
      <c r="Q78" s="15">
        <v>2943642</v>
      </c>
      <c r="R78" s="15">
        <v>3027514</v>
      </c>
      <c r="S78" s="15">
        <v>3221819</v>
      </c>
      <c r="T78" s="15">
        <v>2875850</v>
      </c>
      <c r="U78" s="15">
        <v>2709189</v>
      </c>
      <c r="V78" s="15">
        <v>2917145</v>
      </c>
      <c r="W78" s="15">
        <v>3027912</v>
      </c>
      <c r="X78" s="15">
        <v>3262579</v>
      </c>
      <c r="Y78" s="15">
        <v>3954153</v>
      </c>
      <c r="Z78" s="15">
        <v>4784484</v>
      </c>
      <c r="AA78" s="15"/>
      <c r="AB78" s="15"/>
      <c r="AD78" s="16">
        <f t="shared" si="24"/>
        <v>20861305</v>
      </c>
      <c r="AE78" s="16">
        <f t="shared" si="25"/>
        <v>20745657</v>
      </c>
      <c r="AF78" s="16">
        <f t="shared" si="26"/>
        <v>20827260</v>
      </c>
      <c r="AG78" s="16">
        <f t="shared" si="27"/>
        <v>20803470</v>
      </c>
      <c r="AH78" s="16">
        <f t="shared" si="28"/>
        <v>21684767</v>
      </c>
      <c r="AI78" s="16">
        <f t="shared" si="29"/>
        <v>24032864</v>
      </c>
      <c r="AJ78" s="16">
        <f t="shared" si="30"/>
        <v>27512460</v>
      </c>
      <c r="AK78" s="16"/>
      <c r="AM78" s="16">
        <f t="shared" si="31"/>
        <v>12068825</v>
      </c>
      <c r="AN78" s="16">
        <f t="shared" si="32"/>
        <v>11834372</v>
      </c>
      <c r="AO78" s="16">
        <f t="shared" si="33"/>
        <v>11724003</v>
      </c>
      <c r="AP78" s="16">
        <f t="shared" si="34"/>
        <v>11530096</v>
      </c>
      <c r="AQ78" s="16">
        <f t="shared" si="35"/>
        <v>11916825</v>
      </c>
      <c r="AR78" s="16">
        <f t="shared" si="36"/>
        <v>13161789</v>
      </c>
      <c r="AS78" s="16">
        <f t="shared" si="37"/>
        <v>15029128</v>
      </c>
      <c r="AT78" s="16"/>
      <c r="AV78" s="17">
        <f t="shared" si="38"/>
        <v>0.57852684671452725</v>
      </c>
      <c r="AW78" s="17">
        <f t="shared" si="39"/>
        <v>0.57045057671588806</v>
      </c>
      <c r="AX78" s="17">
        <f t="shared" si="40"/>
        <v>0.56291624534384266</v>
      </c>
      <c r="AY78" s="17">
        <f t="shared" si="41"/>
        <v>0.5542390764617634</v>
      </c>
      <c r="AZ78" s="17">
        <f t="shared" si="42"/>
        <v>0.54954821511340191</v>
      </c>
      <c r="BA78" s="17">
        <f t="shared" si="43"/>
        <v>0.54765794871555884</v>
      </c>
      <c r="BB78" s="17">
        <f t="shared" si="44"/>
        <v>0.54626623718853207</v>
      </c>
    </row>
    <row r="79" spans="2:54" x14ac:dyDescent="0.25">
      <c r="B79" s="14">
        <v>89</v>
      </c>
      <c r="C79" s="158" t="s">
        <v>72</v>
      </c>
      <c r="D79" s="15">
        <v>83001494</v>
      </c>
      <c r="E79" s="15">
        <v>85447865</v>
      </c>
      <c r="F79" s="15">
        <v>99865473</v>
      </c>
      <c r="G79" s="15">
        <v>96800482</v>
      </c>
      <c r="H79" s="15">
        <v>105037683</v>
      </c>
      <c r="I79" s="15">
        <v>112722176</v>
      </c>
      <c r="J79" s="15">
        <v>118793066</v>
      </c>
      <c r="K79" s="15">
        <v>132708312</v>
      </c>
      <c r="L79" s="15">
        <v>147210705</v>
      </c>
      <c r="M79" s="15">
        <v>166281957</v>
      </c>
      <c r="N79" s="15"/>
      <c r="O79" s="15"/>
      <c r="Q79" s="15">
        <v>45828869</v>
      </c>
      <c r="R79" s="15">
        <v>47583516</v>
      </c>
      <c r="S79" s="15">
        <v>56105987</v>
      </c>
      <c r="T79" s="15">
        <v>53449721</v>
      </c>
      <c r="U79" s="15">
        <v>57307705</v>
      </c>
      <c r="V79" s="15">
        <v>60539949</v>
      </c>
      <c r="W79" s="15">
        <v>64071166</v>
      </c>
      <c r="X79" s="15">
        <v>70376520</v>
      </c>
      <c r="Y79" s="15">
        <v>77214641</v>
      </c>
      <c r="Z79" s="15">
        <v>86523724</v>
      </c>
      <c r="AA79" s="15"/>
      <c r="AB79" s="15"/>
      <c r="AD79" s="16">
        <f t="shared" si="24"/>
        <v>365115314</v>
      </c>
      <c r="AE79" s="16">
        <f t="shared" si="25"/>
        <v>387151503</v>
      </c>
      <c r="AF79" s="16">
        <f t="shared" si="26"/>
        <v>414425814</v>
      </c>
      <c r="AG79" s="16">
        <f t="shared" si="27"/>
        <v>433353407</v>
      </c>
      <c r="AH79" s="16">
        <f t="shared" si="28"/>
        <v>469261237</v>
      </c>
      <c r="AI79" s="16">
        <f t="shared" si="29"/>
        <v>511434259</v>
      </c>
      <c r="AJ79" s="16">
        <f t="shared" si="30"/>
        <v>564994040</v>
      </c>
      <c r="AK79" s="16"/>
      <c r="AM79" s="16">
        <f t="shared" si="31"/>
        <v>202968093</v>
      </c>
      <c r="AN79" s="16">
        <f t="shared" si="32"/>
        <v>214446929</v>
      </c>
      <c r="AO79" s="16">
        <f t="shared" si="33"/>
        <v>227403362</v>
      </c>
      <c r="AP79" s="16">
        <f t="shared" si="34"/>
        <v>235368541</v>
      </c>
      <c r="AQ79" s="16">
        <f t="shared" si="35"/>
        <v>252295340</v>
      </c>
      <c r="AR79" s="16">
        <f t="shared" si="36"/>
        <v>272202276</v>
      </c>
      <c r="AS79" s="16">
        <f t="shared" si="37"/>
        <v>298186051</v>
      </c>
      <c r="AT79" s="16"/>
      <c r="AV79" s="17">
        <f t="shared" si="38"/>
        <v>0.5559013418976998</v>
      </c>
      <c r="AW79" s="17">
        <f t="shared" si="39"/>
        <v>0.55390958665605383</v>
      </c>
      <c r="AX79" s="17">
        <f t="shared" si="40"/>
        <v>0.54871910561053994</v>
      </c>
      <c r="AY79" s="17">
        <f t="shared" si="41"/>
        <v>0.54313301152839444</v>
      </c>
      <c r="AZ79" s="17">
        <f t="shared" si="42"/>
        <v>0.53764368353314462</v>
      </c>
      <c r="BA79" s="17">
        <f t="shared" si="43"/>
        <v>0.53223316821253464</v>
      </c>
      <c r="BB79" s="17">
        <f t="shared" si="44"/>
        <v>0.52776848938087917</v>
      </c>
    </row>
    <row r="80" spans="2:54" x14ac:dyDescent="0.25">
      <c r="B80" s="14">
        <v>90</v>
      </c>
      <c r="C80" s="158" t="s">
        <v>73</v>
      </c>
      <c r="D80" s="15">
        <v>110645</v>
      </c>
      <c r="E80" s="15">
        <v>195682</v>
      </c>
      <c r="F80" s="15">
        <v>258226</v>
      </c>
      <c r="G80" s="15">
        <v>88000</v>
      </c>
      <c r="H80" s="15">
        <v>139321</v>
      </c>
      <c r="I80" s="15">
        <v>145277</v>
      </c>
      <c r="J80" s="15">
        <v>124742</v>
      </c>
      <c r="K80" s="15">
        <v>142375</v>
      </c>
      <c r="L80" s="15">
        <v>147144</v>
      </c>
      <c r="M80" s="15">
        <v>147948</v>
      </c>
      <c r="N80" s="15"/>
      <c r="O80" s="15"/>
      <c r="Q80" s="15">
        <v>65920</v>
      </c>
      <c r="R80" s="15">
        <v>131478</v>
      </c>
      <c r="S80" s="15">
        <v>187979</v>
      </c>
      <c r="T80" s="15">
        <v>49138</v>
      </c>
      <c r="U80" s="15">
        <v>78287</v>
      </c>
      <c r="V80" s="15">
        <v>85412</v>
      </c>
      <c r="W80" s="15">
        <v>69472</v>
      </c>
      <c r="X80" s="15">
        <v>81029</v>
      </c>
      <c r="Y80" s="15">
        <v>84482</v>
      </c>
      <c r="Z80" s="15">
        <v>83466</v>
      </c>
      <c r="AA80" s="15"/>
      <c r="AB80" s="15"/>
      <c r="AD80" s="16">
        <f t="shared" si="24"/>
        <v>652553</v>
      </c>
      <c r="AE80" s="16">
        <f t="shared" si="25"/>
        <v>681229</v>
      </c>
      <c r="AF80" s="16">
        <f t="shared" si="26"/>
        <v>630824</v>
      </c>
      <c r="AG80" s="16">
        <f t="shared" si="27"/>
        <v>497340</v>
      </c>
      <c r="AH80" s="16">
        <f t="shared" si="28"/>
        <v>551715</v>
      </c>
      <c r="AI80" s="16">
        <f t="shared" si="29"/>
        <v>559538</v>
      </c>
      <c r="AJ80" s="16">
        <f t="shared" si="30"/>
        <v>562209</v>
      </c>
      <c r="AK80" s="16"/>
      <c r="AM80" s="16">
        <f t="shared" si="31"/>
        <v>434515</v>
      </c>
      <c r="AN80" s="16">
        <f t="shared" si="32"/>
        <v>446882</v>
      </c>
      <c r="AO80" s="16">
        <f t="shared" si="33"/>
        <v>400816</v>
      </c>
      <c r="AP80" s="16">
        <f t="shared" si="34"/>
        <v>282309</v>
      </c>
      <c r="AQ80" s="16">
        <f t="shared" si="35"/>
        <v>314200</v>
      </c>
      <c r="AR80" s="16">
        <f t="shared" si="36"/>
        <v>320395</v>
      </c>
      <c r="AS80" s="16">
        <f t="shared" si="37"/>
        <v>318449</v>
      </c>
      <c r="AT80" s="16"/>
      <c r="AV80" s="17">
        <f t="shared" si="38"/>
        <v>0.66586928571319115</v>
      </c>
      <c r="AW80" s="17">
        <f t="shared" si="39"/>
        <v>0.65599379944189107</v>
      </c>
      <c r="AX80" s="17">
        <f t="shared" si="40"/>
        <v>0.6353848300001268</v>
      </c>
      <c r="AY80" s="17">
        <f t="shared" si="41"/>
        <v>0.56763783327301243</v>
      </c>
      <c r="AZ80" s="17">
        <f t="shared" si="42"/>
        <v>0.56949693229294107</v>
      </c>
      <c r="BA80" s="17">
        <f t="shared" si="43"/>
        <v>0.57260632879268258</v>
      </c>
      <c r="BB80" s="17">
        <f t="shared" si="44"/>
        <v>0.56642458587464806</v>
      </c>
    </row>
    <row r="81" spans="2:55" x14ac:dyDescent="0.25">
      <c r="B81" s="14">
        <v>91</v>
      </c>
      <c r="C81" s="158" t="s">
        <v>74</v>
      </c>
      <c r="D81" s="15">
        <v>41692465</v>
      </c>
      <c r="E81" s="15">
        <v>40897446</v>
      </c>
      <c r="F81" s="15">
        <v>43692522</v>
      </c>
      <c r="G81" s="15">
        <v>40608341</v>
      </c>
      <c r="H81" s="15">
        <v>39286437</v>
      </c>
      <c r="I81" s="15">
        <v>40308157</v>
      </c>
      <c r="J81" s="15">
        <v>41488512</v>
      </c>
      <c r="K81" s="15">
        <v>44517608</v>
      </c>
      <c r="L81" s="15">
        <v>46873251</v>
      </c>
      <c r="M81" s="15">
        <v>50655005</v>
      </c>
      <c r="N81" s="15"/>
      <c r="O81" s="15"/>
      <c r="Q81" s="15">
        <v>22134700</v>
      </c>
      <c r="R81" s="15">
        <v>21537995</v>
      </c>
      <c r="S81" s="15">
        <v>23198974</v>
      </c>
      <c r="T81" s="15">
        <v>21906385</v>
      </c>
      <c r="U81" s="15">
        <v>20282191</v>
      </c>
      <c r="V81" s="15">
        <v>20803079</v>
      </c>
      <c r="W81" s="15">
        <v>21806890</v>
      </c>
      <c r="X81" s="15">
        <v>22977949</v>
      </c>
      <c r="Y81" s="15">
        <v>24175504</v>
      </c>
      <c r="Z81" s="15">
        <v>26130638</v>
      </c>
      <c r="AA81" s="15"/>
      <c r="AB81" s="15"/>
      <c r="AD81" s="16">
        <f t="shared" si="24"/>
        <v>166890774</v>
      </c>
      <c r="AE81" s="16">
        <f t="shared" si="25"/>
        <v>164484746</v>
      </c>
      <c r="AF81" s="16">
        <f t="shared" si="26"/>
        <v>163895457</v>
      </c>
      <c r="AG81" s="16">
        <f t="shared" si="27"/>
        <v>161691447</v>
      </c>
      <c r="AH81" s="16">
        <f t="shared" si="28"/>
        <v>165600714</v>
      </c>
      <c r="AI81" s="16">
        <f t="shared" si="29"/>
        <v>173187528</v>
      </c>
      <c r="AJ81" s="16">
        <f t="shared" si="30"/>
        <v>183534376</v>
      </c>
      <c r="AK81" s="16"/>
      <c r="AM81" s="16">
        <f t="shared" si="31"/>
        <v>88778054</v>
      </c>
      <c r="AN81" s="16">
        <f t="shared" si="32"/>
        <v>86925545</v>
      </c>
      <c r="AO81" s="16">
        <f t="shared" si="33"/>
        <v>86190629</v>
      </c>
      <c r="AP81" s="16">
        <f t="shared" si="34"/>
        <v>84798545</v>
      </c>
      <c r="AQ81" s="16">
        <f t="shared" si="35"/>
        <v>85870109</v>
      </c>
      <c r="AR81" s="16">
        <f t="shared" si="36"/>
        <v>89763422</v>
      </c>
      <c r="AS81" s="16">
        <f t="shared" si="37"/>
        <v>95090981</v>
      </c>
      <c r="AT81" s="16"/>
      <c r="AV81" s="17">
        <f t="shared" si="38"/>
        <v>0.53195303654113324</v>
      </c>
      <c r="AW81" s="17">
        <f t="shared" si="39"/>
        <v>0.52847177087168917</v>
      </c>
      <c r="AX81" s="17">
        <f t="shared" si="40"/>
        <v>0.52588784690963097</v>
      </c>
      <c r="AY81" s="17">
        <f t="shared" si="41"/>
        <v>0.52444669506854003</v>
      </c>
      <c r="AZ81" s="17">
        <f t="shared" si="42"/>
        <v>0.51853706983413128</v>
      </c>
      <c r="BA81" s="17">
        <f t="shared" si="43"/>
        <v>0.5183018837245601</v>
      </c>
      <c r="BB81" s="17">
        <f t="shared" si="44"/>
        <v>0.5181099207267853</v>
      </c>
    </row>
    <row r="82" spans="2:55" x14ac:dyDescent="0.25">
      <c r="B82" s="14">
        <v>93</v>
      </c>
      <c r="C82" s="158" t="s">
        <v>75</v>
      </c>
      <c r="D82" s="15">
        <v>6172055</v>
      </c>
      <c r="E82" s="15">
        <v>6897460</v>
      </c>
      <c r="F82" s="15">
        <v>9035446</v>
      </c>
      <c r="G82" s="15">
        <v>8280779</v>
      </c>
      <c r="H82" s="15">
        <v>7387549</v>
      </c>
      <c r="I82" s="15">
        <v>8920868</v>
      </c>
      <c r="J82" s="15">
        <v>7044911</v>
      </c>
      <c r="K82" s="15">
        <v>11505498</v>
      </c>
      <c r="L82" s="15">
        <v>15939434</v>
      </c>
      <c r="M82" s="15">
        <v>24463047</v>
      </c>
      <c r="N82" s="15"/>
      <c r="O82" s="15"/>
      <c r="Q82" s="15">
        <v>3388737</v>
      </c>
      <c r="R82" s="15">
        <v>3747075</v>
      </c>
      <c r="S82" s="15">
        <v>4924156</v>
      </c>
      <c r="T82" s="15">
        <v>4437314</v>
      </c>
      <c r="U82" s="15">
        <v>3905630</v>
      </c>
      <c r="V82" s="15">
        <v>4689056</v>
      </c>
      <c r="W82" s="15">
        <v>3768067</v>
      </c>
      <c r="X82" s="15">
        <v>6142212</v>
      </c>
      <c r="Y82" s="15">
        <v>8329149</v>
      </c>
      <c r="Z82" s="15">
        <v>12728473</v>
      </c>
      <c r="AA82" s="15"/>
      <c r="AB82" s="15"/>
      <c r="AD82" s="16">
        <f t="shared" si="24"/>
        <v>30385740</v>
      </c>
      <c r="AE82" s="16">
        <f t="shared" si="25"/>
        <v>31601234</v>
      </c>
      <c r="AF82" s="16">
        <f t="shared" si="26"/>
        <v>33624642</v>
      </c>
      <c r="AG82" s="16">
        <f t="shared" si="27"/>
        <v>31634107</v>
      </c>
      <c r="AH82" s="16">
        <f t="shared" si="28"/>
        <v>34858826</v>
      </c>
      <c r="AI82" s="16">
        <f t="shared" si="29"/>
        <v>43410711</v>
      </c>
      <c r="AJ82" s="16">
        <f t="shared" si="30"/>
        <v>58952890</v>
      </c>
      <c r="AK82" s="16"/>
      <c r="AM82" s="16">
        <f t="shared" si="31"/>
        <v>16497282</v>
      </c>
      <c r="AN82" s="16">
        <f t="shared" si="32"/>
        <v>17014175</v>
      </c>
      <c r="AO82" s="16">
        <f t="shared" si="33"/>
        <v>17956156</v>
      </c>
      <c r="AP82" s="16">
        <f t="shared" si="34"/>
        <v>16800067</v>
      </c>
      <c r="AQ82" s="16">
        <f t="shared" si="35"/>
        <v>18504965</v>
      </c>
      <c r="AR82" s="16">
        <f t="shared" si="36"/>
        <v>22928484</v>
      </c>
      <c r="AS82" s="16">
        <f t="shared" si="37"/>
        <v>30967901</v>
      </c>
      <c r="AT82" s="16"/>
      <c r="AV82" s="17">
        <f t="shared" si="38"/>
        <v>0.54292842629470273</v>
      </c>
      <c r="AW82" s="17">
        <f t="shared" si="39"/>
        <v>0.53840223454565095</v>
      </c>
      <c r="AX82" s="17">
        <f t="shared" si="40"/>
        <v>0.53401775995116918</v>
      </c>
      <c r="AY82" s="17">
        <f t="shared" si="41"/>
        <v>0.53107448236171173</v>
      </c>
      <c r="AZ82" s="17">
        <f t="shared" si="42"/>
        <v>0.53085451013180995</v>
      </c>
      <c r="BA82" s="17">
        <f t="shared" si="43"/>
        <v>0.52817573063938072</v>
      </c>
      <c r="BB82" s="17">
        <f t="shared" si="44"/>
        <v>0.52529911595512957</v>
      </c>
    </row>
    <row r="83" spans="2:55" x14ac:dyDescent="0.25">
      <c r="B83" s="14">
        <v>94</v>
      </c>
      <c r="C83" s="158" t="s">
        <v>76</v>
      </c>
      <c r="D83" s="15">
        <v>141210</v>
      </c>
      <c r="E83" s="15">
        <v>199468</v>
      </c>
      <c r="F83" s="15">
        <v>125276</v>
      </c>
      <c r="G83" s="15">
        <v>145906</v>
      </c>
      <c r="H83" s="15">
        <v>390774</v>
      </c>
      <c r="I83" s="15">
        <v>164112</v>
      </c>
      <c r="J83" s="15">
        <v>185876</v>
      </c>
      <c r="K83" s="15">
        <v>206981</v>
      </c>
      <c r="L83" s="15">
        <v>187343</v>
      </c>
      <c r="M83" s="15">
        <v>319849</v>
      </c>
      <c r="N83" s="15"/>
      <c r="O83" s="15"/>
      <c r="Q83" s="15">
        <v>126210</v>
      </c>
      <c r="R83" s="15">
        <v>168956</v>
      </c>
      <c r="S83" s="15">
        <v>113289</v>
      </c>
      <c r="T83" s="15">
        <v>94270</v>
      </c>
      <c r="U83" s="15">
        <v>252479</v>
      </c>
      <c r="V83" s="15">
        <v>103806</v>
      </c>
      <c r="W83" s="15">
        <v>118961</v>
      </c>
      <c r="X83" s="15">
        <v>130398</v>
      </c>
      <c r="Y83" s="15">
        <v>116152</v>
      </c>
      <c r="Z83" s="15">
        <v>191910</v>
      </c>
      <c r="AA83" s="15"/>
      <c r="AB83" s="15"/>
      <c r="AD83" s="16">
        <f t="shared" si="24"/>
        <v>611860</v>
      </c>
      <c r="AE83" s="16">
        <f t="shared" si="25"/>
        <v>861424</v>
      </c>
      <c r="AF83" s="16">
        <f t="shared" si="26"/>
        <v>826068</v>
      </c>
      <c r="AG83" s="16">
        <f t="shared" si="27"/>
        <v>886668</v>
      </c>
      <c r="AH83" s="16">
        <f t="shared" si="28"/>
        <v>947743</v>
      </c>
      <c r="AI83" s="16">
        <f t="shared" si="29"/>
        <v>744312</v>
      </c>
      <c r="AJ83" s="16">
        <f t="shared" si="30"/>
        <v>900049</v>
      </c>
      <c r="AK83" s="16"/>
      <c r="AM83" s="16">
        <f t="shared" si="31"/>
        <v>502725</v>
      </c>
      <c r="AN83" s="16">
        <f t="shared" si="32"/>
        <v>628994</v>
      </c>
      <c r="AO83" s="16">
        <f t="shared" si="33"/>
        <v>563844</v>
      </c>
      <c r="AP83" s="16">
        <f t="shared" si="34"/>
        <v>569516</v>
      </c>
      <c r="AQ83" s="16">
        <f t="shared" si="35"/>
        <v>605644</v>
      </c>
      <c r="AR83" s="16">
        <f t="shared" si="36"/>
        <v>469317</v>
      </c>
      <c r="AS83" s="16">
        <f t="shared" si="37"/>
        <v>557421</v>
      </c>
      <c r="AT83" s="16"/>
      <c r="AV83" s="17">
        <f t="shared" si="38"/>
        <v>0.82163403392933021</v>
      </c>
      <c r="AW83" s="17">
        <f t="shared" si="39"/>
        <v>0.73017933096825716</v>
      </c>
      <c r="AX83" s="17">
        <f t="shared" si="40"/>
        <v>0.68256366303984661</v>
      </c>
      <c r="AY83" s="17">
        <f t="shared" si="41"/>
        <v>0.64231031231531988</v>
      </c>
      <c r="AZ83" s="17">
        <f t="shared" si="42"/>
        <v>0.63903822027701607</v>
      </c>
      <c r="BA83" s="17">
        <f t="shared" si="43"/>
        <v>0.63053800019346729</v>
      </c>
      <c r="BB83" s="17">
        <f t="shared" si="44"/>
        <v>0.6193229479728326</v>
      </c>
    </row>
    <row r="84" spans="2:55" s="22" customFormat="1" x14ac:dyDescent="0.25">
      <c r="B84" s="21">
        <v>99</v>
      </c>
      <c r="C84" s="22" t="s">
        <v>115</v>
      </c>
      <c r="D84" s="23">
        <f t="shared" ref="D84:H84" si="45">SUM(D6:D83)</f>
        <v>1523396660.75</v>
      </c>
      <c r="E84" s="23">
        <f t="shared" si="45"/>
        <v>1499022108.8299999</v>
      </c>
      <c r="F84" s="23">
        <f t="shared" si="45"/>
        <v>1500826857</v>
      </c>
      <c r="G84" s="23">
        <f t="shared" si="45"/>
        <v>1621549984</v>
      </c>
      <c r="H84" s="23">
        <f t="shared" si="45"/>
        <v>1582182202</v>
      </c>
      <c r="I84" s="23">
        <f t="shared" ref="I84" si="46">SUM(I6:I83)</f>
        <v>1642911607</v>
      </c>
      <c r="J84" s="23">
        <f t="shared" ref="J84" si="47">SUM(J6:J83)</f>
        <v>1643166150</v>
      </c>
      <c r="K84" s="23">
        <f t="shared" ref="K84:O84" si="48">SUM(K6:K83)</f>
        <v>1809461310</v>
      </c>
      <c r="L84" s="23">
        <f t="shared" si="48"/>
        <v>2124760404</v>
      </c>
      <c r="M84" s="23">
        <f t="shared" si="48"/>
        <v>2370980965</v>
      </c>
      <c r="N84" s="23">
        <f t="shared" si="48"/>
        <v>0</v>
      </c>
      <c r="O84" s="23">
        <f t="shared" si="48"/>
        <v>0</v>
      </c>
      <c r="Q84" s="23">
        <f>SUM(Q6:Q83)</f>
        <v>814709277.25000012</v>
      </c>
      <c r="R84" s="23">
        <f>SUM(R6:R83)</f>
        <v>801412856.94000006</v>
      </c>
      <c r="S84" s="23">
        <f>SUM(S6:S83)</f>
        <v>798153271.98449993</v>
      </c>
      <c r="T84" s="23">
        <f>SUM(T6:T83)</f>
        <v>850163999.25</v>
      </c>
      <c r="U84" s="23">
        <f t="shared" ref="U84" si="49">SUM(U6:U83)</f>
        <v>841165041</v>
      </c>
      <c r="V84" s="23">
        <f t="shared" ref="V84" si="50">SUM(V6:V83)</f>
        <v>871798424</v>
      </c>
      <c r="W84" s="23">
        <f t="shared" ref="W84" si="51">SUM(W6:W83)</f>
        <v>876642011</v>
      </c>
      <c r="X84" s="23">
        <f t="shared" ref="X84:Z84" si="52">SUM(X6:X83)</f>
        <v>968072809</v>
      </c>
      <c r="Y84" s="23">
        <f t="shared" si="52"/>
        <v>1146825736</v>
      </c>
      <c r="Z84" s="23">
        <f t="shared" si="52"/>
        <v>1285602669</v>
      </c>
      <c r="AA84" s="23"/>
      <c r="AB84" s="23"/>
      <c r="AD84" s="23">
        <f t="shared" ref="AD84" si="53">SUM(AD6:AD83)</f>
        <v>6144795610.5799999</v>
      </c>
      <c r="AE84" s="23">
        <f t="shared" ref="AE84" si="54">SUM(AE6:AE83)</f>
        <v>6203581151.8299999</v>
      </c>
      <c r="AF84" s="23">
        <f t="shared" ref="AF84" si="55">SUM(AF6:AF83)</f>
        <v>6347470650</v>
      </c>
      <c r="AG84" s="23">
        <f t="shared" ref="AG84" si="56">SUM(AG6:AG83)</f>
        <v>6489809943</v>
      </c>
      <c r="AH84" s="23">
        <f t="shared" ref="AH84" si="57">SUM(AH6:AH83)</f>
        <v>6677721269</v>
      </c>
      <c r="AI84" s="23">
        <f t="shared" ref="AI84" si="58">SUM(AI6:AI83)</f>
        <v>7220299471</v>
      </c>
      <c r="AJ84" s="23">
        <f t="shared" ref="AJ84" si="59">SUM(AJ6:AJ83)</f>
        <v>7948368829</v>
      </c>
      <c r="AK84" s="23">
        <f t="shared" ref="AK84" si="60">SUM(AK6:AK83)</f>
        <v>0</v>
      </c>
      <c r="AM84" s="23">
        <f t="shared" ref="AM84" si="61">SUM(AM6:AM83)</f>
        <v>3264439405.4245005</v>
      </c>
      <c r="AN84" s="23">
        <f t="shared" ref="AN84" si="62">SUM(AN6:AN83)</f>
        <v>3290895169.1745</v>
      </c>
      <c r="AO84" s="23">
        <f t="shared" ref="AO84" si="63">SUM(AO6:AO83)</f>
        <v>3361280736.2344999</v>
      </c>
      <c r="AP84" s="23">
        <f t="shared" ref="AP84" si="64">SUM(AP6:AP83)</f>
        <v>3439769475.25</v>
      </c>
      <c r="AQ84" s="23">
        <f t="shared" ref="AQ84" si="65">SUM(AQ6:AQ83)</f>
        <v>3557678285</v>
      </c>
      <c r="AR84" s="23">
        <f t="shared" ref="AR84" si="66">SUM(AR6:AR83)</f>
        <v>3863338980</v>
      </c>
      <c r="AS84" s="23">
        <f t="shared" ref="AS84" si="67">SUM(AS6:AS83)</f>
        <v>4277143225</v>
      </c>
      <c r="AT84" s="23">
        <f t="shared" ref="AT84" si="68">SUM(AT6:AT83)</f>
        <v>0</v>
      </c>
      <c r="AV84" s="24">
        <f t="shared" si="38"/>
        <v>0.53125272381783484</v>
      </c>
      <c r="AW84" s="24">
        <f t="shared" si="39"/>
        <v>0.53048313363382305</v>
      </c>
      <c r="AX84" s="24">
        <f t="shared" si="40"/>
        <v>0.52954647946808542</v>
      </c>
      <c r="AY84" s="24">
        <f t="shared" si="41"/>
        <v>0.53002622657080789</v>
      </c>
      <c r="AZ84" s="24">
        <f t="shared" si="42"/>
        <v>0.53276831147712289</v>
      </c>
      <c r="BA84" s="24">
        <f t="shared" si="43"/>
        <v>0.53506630791657916</v>
      </c>
      <c r="BB84" s="24">
        <f t="shared" si="44"/>
        <v>0.53811584703953852</v>
      </c>
    </row>
    <row r="85" spans="2:55" x14ac:dyDescent="0.25"/>
    <row r="86" spans="2:55" x14ac:dyDescent="0.25">
      <c r="H86" s="19"/>
      <c r="I86" s="19"/>
      <c r="J86" s="19"/>
      <c r="K86" s="19"/>
      <c r="Q86" s="25">
        <f>Q84/D84</f>
        <v>0.53479786206758639</v>
      </c>
      <c r="R86" s="25">
        <f t="shared" ref="R86:W86" si="69">R84/E84</f>
        <v>0.53462377387182758</v>
      </c>
      <c r="S86" s="25">
        <f t="shared" si="69"/>
        <v>0.53180902797803542</v>
      </c>
      <c r="T86" s="25">
        <f t="shared" si="69"/>
        <v>0.52429096089461036</v>
      </c>
      <c r="U86" s="25">
        <f t="shared" si="69"/>
        <v>0.53164865584804499</v>
      </c>
      <c r="V86" s="25">
        <f t="shared" si="69"/>
        <v>0.53064231836058851</v>
      </c>
      <c r="W86" s="25">
        <f t="shared" si="69"/>
        <v>0.53350783242461508</v>
      </c>
      <c r="X86" s="25">
        <f>X84/K84</f>
        <v>0.53500608366144065</v>
      </c>
      <c r="Y86" s="25">
        <f t="shared" ref="Y86" si="70">Y84/L84</f>
        <v>0.53974355595154433</v>
      </c>
      <c r="Z86" s="25">
        <f t="shared" ref="Z86" si="71">Z84/M84</f>
        <v>0.54222395201726137</v>
      </c>
    </row>
    <row r="87" spans="2:55" x14ac:dyDescent="0.25"/>
    <row r="88" spans="2:55" x14ac:dyDescent="0.25">
      <c r="B88" s="20" t="s">
        <v>323</v>
      </c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</row>
  </sheetData>
  <pageMargins left="0.23622047244094491" right="0.23622047244094491" top="0" bottom="0" header="0.31496062992125984" footer="0.31496062992125984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A4541-05B8-463D-B61D-3F8A31BC080B}">
  <sheetPr>
    <tabColor theme="1" tint="0.499984740745262"/>
  </sheetPr>
  <dimension ref="A1:O90"/>
  <sheetViews>
    <sheetView showGridLines="0" zoomScale="86" zoomScaleNormal="86" workbookViewId="0">
      <selection activeCell="K37" sqref="K37"/>
    </sheetView>
  </sheetViews>
  <sheetFormatPr defaultColWidth="0" defaultRowHeight="13.2" zeroHeight="1" x14ac:dyDescent="0.25"/>
  <cols>
    <col min="1" max="1" width="3.81640625" style="10" customWidth="1"/>
    <col min="2" max="2" width="27.90625" style="7" customWidth="1"/>
    <col min="3" max="6" width="12.453125" style="7" customWidth="1"/>
    <col min="7" max="10" width="12.453125" style="10" customWidth="1"/>
    <col min="11" max="11" width="2.81640625" style="28" customWidth="1"/>
    <col min="12" max="12" width="8.90625" style="10" customWidth="1"/>
    <col min="13" max="15" width="0" style="10" hidden="1" customWidth="1"/>
    <col min="16" max="16384" width="8.90625" style="10" hidden="1"/>
  </cols>
  <sheetData>
    <row r="1" spans="2:11" x14ac:dyDescent="0.25"/>
    <row r="2" spans="2:11" x14ac:dyDescent="0.25">
      <c r="B2" s="20" t="s">
        <v>276</v>
      </c>
      <c r="C2" s="11"/>
      <c r="D2" s="11"/>
      <c r="E2" s="11"/>
      <c r="F2" s="11"/>
      <c r="G2" s="11"/>
      <c r="H2" s="11"/>
      <c r="I2" s="11"/>
      <c r="J2" s="11"/>
      <c r="K2" s="11"/>
    </row>
    <row r="3" spans="2:11" x14ac:dyDescent="0.25">
      <c r="B3" s="20" t="s">
        <v>328</v>
      </c>
      <c r="C3" s="11"/>
      <c r="D3" s="11"/>
      <c r="E3" s="11"/>
      <c r="F3" s="11"/>
      <c r="G3" s="11"/>
      <c r="H3" s="11"/>
      <c r="I3" s="11"/>
      <c r="J3" s="11"/>
      <c r="K3" s="11"/>
    </row>
    <row r="4" spans="2:11" x14ac:dyDescent="0.25">
      <c r="B4" s="9"/>
      <c r="C4" s="47"/>
      <c r="D4" s="47"/>
      <c r="E4" s="47"/>
      <c r="F4" s="47"/>
      <c r="G4" s="48"/>
      <c r="H4" s="48"/>
      <c r="I4" s="48"/>
      <c r="J4" s="48"/>
      <c r="K4" s="209"/>
    </row>
    <row r="5" spans="2:11" ht="42.6" customHeight="1" x14ac:dyDescent="0.25">
      <c r="B5" s="13" t="s">
        <v>85</v>
      </c>
      <c r="C5" s="13" t="s">
        <v>238</v>
      </c>
      <c r="D5" s="13" t="s">
        <v>239</v>
      </c>
      <c r="E5" s="13" t="s">
        <v>240</v>
      </c>
      <c r="F5" s="13" t="s">
        <v>362</v>
      </c>
      <c r="G5" s="13" t="s">
        <v>306</v>
      </c>
      <c r="H5" s="13" t="s">
        <v>307</v>
      </c>
      <c r="I5" s="13" t="s">
        <v>308</v>
      </c>
      <c r="J5" s="13" t="s">
        <v>363</v>
      </c>
      <c r="K5" s="201"/>
    </row>
    <row r="6" spans="2:11" x14ac:dyDescent="0.25">
      <c r="B6" s="158" t="s">
        <v>0</v>
      </c>
      <c r="C6" s="50">
        <v>0.59</v>
      </c>
      <c r="D6" s="50">
        <v>0.6</v>
      </c>
      <c r="E6" s="50">
        <v>0.61</v>
      </c>
      <c r="F6" s="50">
        <v>0.66</v>
      </c>
      <c r="G6" s="50">
        <v>0.66</v>
      </c>
      <c r="H6" s="50">
        <v>0.66</v>
      </c>
      <c r="I6" s="50">
        <v>0.66</v>
      </c>
      <c r="J6" s="50">
        <v>0.66</v>
      </c>
      <c r="K6" s="210"/>
    </row>
    <row r="7" spans="2:11" x14ac:dyDescent="0.25">
      <c r="B7" s="158" t="s">
        <v>1</v>
      </c>
      <c r="C7" s="50">
        <v>0.61</v>
      </c>
      <c r="D7" s="50">
        <v>0.61</v>
      </c>
      <c r="E7" s="50">
        <v>0.61</v>
      </c>
      <c r="F7" s="50">
        <v>0.61</v>
      </c>
      <c r="G7" s="50">
        <v>0.61</v>
      </c>
      <c r="H7" s="50">
        <v>0.61</v>
      </c>
      <c r="I7" s="50">
        <v>0.61</v>
      </c>
      <c r="J7" s="50">
        <v>0.61</v>
      </c>
      <c r="K7" s="210"/>
    </row>
    <row r="8" spans="2:11" x14ac:dyDescent="0.25">
      <c r="B8" s="158" t="s">
        <v>66</v>
      </c>
      <c r="C8" s="50">
        <v>0.54</v>
      </c>
      <c r="D8" s="50">
        <v>0.54</v>
      </c>
      <c r="E8" s="50">
        <v>0.54</v>
      </c>
      <c r="F8" s="50">
        <v>0.54</v>
      </c>
      <c r="G8" s="50">
        <v>0.54</v>
      </c>
      <c r="H8" s="50">
        <v>0.54</v>
      </c>
      <c r="I8" s="50">
        <v>0.54</v>
      </c>
      <c r="J8" s="50">
        <v>0.54</v>
      </c>
      <c r="K8" s="210"/>
    </row>
    <row r="9" spans="2:11" x14ac:dyDescent="0.25">
      <c r="B9" s="158" t="s">
        <v>2</v>
      </c>
      <c r="C9" s="50">
        <v>0.54</v>
      </c>
      <c r="D9" s="50">
        <v>0.53</v>
      </c>
      <c r="E9" s="50">
        <v>0.53</v>
      </c>
      <c r="F9" s="50">
        <v>0.53</v>
      </c>
      <c r="G9" s="50">
        <v>0.53</v>
      </c>
      <c r="H9" s="50">
        <v>0.53</v>
      </c>
      <c r="I9" s="50">
        <v>0.53</v>
      </c>
      <c r="J9" s="50">
        <v>0.53</v>
      </c>
      <c r="K9" s="210"/>
    </row>
    <row r="10" spans="2:11" x14ac:dyDescent="0.25">
      <c r="B10" s="158" t="s">
        <v>3</v>
      </c>
      <c r="C10" s="50">
        <v>0.51</v>
      </c>
      <c r="D10" s="50">
        <v>0.51</v>
      </c>
      <c r="E10" s="50">
        <v>0.51</v>
      </c>
      <c r="F10" s="50">
        <v>0.51</v>
      </c>
      <c r="G10" s="50">
        <v>0.51</v>
      </c>
      <c r="H10" s="50">
        <v>0.51</v>
      </c>
      <c r="I10" s="50">
        <v>0.51</v>
      </c>
      <c r="J10" s="50">
        <v>0.51</v>
      </c>
      <c r="K10" s="210"/>
    </row>
    <row r="11" spans="2:11" x14ac:dyDescent="0.25">
      <c r="B11" s="158" t="s">
        <v>4</v>
      </c>
      <c r="C11" s="50">
        <v>0.51</v>
      </c>
      <c r="D11" s="50">
        <v>0.51</v>
      </c>
      <c r="E11" s="50">
        <v>0.51</v>
      </c>
      <c r="F11" s="50">
        <v>0.51</v>
      </c>
      <c r="G11" s="50">
        <v>0.51</v>
      </c>
      <c r="H11" s="50">
        <v>0.51</v>
      </c>
      <c r="I11" s="50">
        <v>0.51</v>
      </c>
      <c r="J11" s="50">
        <v>0.51</v>
      </c>
      <c r="K11" s="210"/>
    </row>
    <row r="12" spans="2:11" x14ac:dyDescent="0.25">
      <c r="B12" s="158" t="s">
        <v>5</v>
      </c>
      <c r="C12" s="50">
        <v>0.56000000000000005</v>
      </c>
      <c r="D12" s="50">
        <v>0.56999999999999995</v>
      </c>
      <c r="E12" s="50">
        <v>0.57999999999999996</v>
      </c>
      <c r="F12" s="50">
        <v>0.6</v>
      </c>
      <c r="G12" s="50">
        <v>0.6</v>
      </c>
      <c r="H12" s="50">
        <v>0.6</v>
      </c>
      <c r="I12" s="50">
        <v>0.6</v>
      </c>
      <c r="J12" s="50">
        <v>0.6</v>
      </c>
      <c r="K12" s="210"/>
    </row>
    <row r="13" spans="2:11" x14ac:dyDescent="0.25">
      <c r="B13" s="158" t="s">
        <v>6</v>
      </c>
      <c r="C13" s="50">
        <v>0.51</v>
      </c>
      <c r="D13" s="50">
        <v>0.51</v>
      </c>
      <c r="E13" s="50">
        <v>0.51</v>
      </c>
      <c r="F13" s="50">
        <v>0.51</v>
      </c>
      <c r="G13" s="50">
        <v>0.51</v>
      </c>
      <c r="H13" s="50">
        <v>0.51</v>
      </c>
      <c r="I13" s="50">
        <v>0.51</v>
      </c>
      <c r="J13" s="50">
        <v>0.51</v>
      </c>
      <c r="K13" s="210"/>
    </row>
    <row r="14" spans="2:11" x14ac:dyDescent="0.25">
      <c r="B14" s="158" t="s">
        <v>7</v>
      </c>
      <c r="C14" s="50">
        <v>0.55000000000000004</v>
      </c>
      <c r="D14" s="50">
        <v>0.56000000000000005</v>
      </c>
      <c r="E14" s="50">
        <v>0.56999999999999995</v>
      </c>
      <c r="F14" s="50">
        <v>0.57999999999999996</v>
      </c>
      <c r="G14" s="50">
        <v>0.57999999999999996</v>
      </c>
      <c r="H14" s="50">
        <v>0.57999999999999996</v>
      </c>
      <c r="I14" s="50">
        <v>0.57999999999999996</v>
      </c>
      <c r="J14" s="50">
        <v>0.57999999999999996</v>
      </c>
      <c r="K14" s="210"/>
    </row>
    <row r="15" spans="2:11" x14ac:dyDescent="0.25">
      <c r="B15" s="158" t="s">
        <v>8</v>
      </c>
      <c r="C15" s="50">
        <v>0.53</v>
      </c>
      <c r="D15" s="50">
        <v>0.54</v>
      </c>
      <c r="E15" s="50">
        <v>0.55000000000000004</v>
      </c>
      <c r="F15" s="50">
        <v>0.62</v>
      </c>
      <c r="G15" s="50">
        <v>0.62</v>
      </c>
      <c r="H15" s="50">
        <v>0.62</v>
      </c>
      <c r="I15" s="50">
        <v>0.62</v>
      </c>
      <c r="J15" s="50">
        <v>0.62</v>
      </c>
      <c r="K15" s="210"/>
    </row>
    <row r="16" spans="2:11" x14ac:dyDescent="0.25">
      <c r="B16" s="158" t="s">
        <v>9</v>
      </c>
      <c r="C16" s="50">
        <v>0.5</v>
      </c>
      <c r="D16" s="50">
        <v>0.51</v>
      </c>
      <c r="E16" s="50">
        <v>0.51</v>
      </c>
      <c r="F16" s="50">
        <v>0.51</v>
      </c>
      <c r="G16" s="50">
        <v>0.51</v>
      </c>
      <c r="H16" s="50">
        <v>0.51</v>
      </c>
      <c r="I16" s="50">
        <v>0.51</v>
      </c>
      <c r="J16" s="50">
        <v>0.51</v>
      </c>
      <c r="K16" s="210"/>
    </row>
    <row r="17" spans="2:11" x14ac:dyDescent="0.25">
      <c r="B17" s="158" t="s">
        <v>10</v>
      </c>
      <c r="C17" s="50">
        <v>0.46</v>
      </c>
      <c r="D17" s="50">
        <v>0.47</v>
      </c>
      <c r="E17" s="50">
        <v>0.48</v>
      </c>
      <c r="F17" s="50">
        <v>0.51</v>
      </c>
      <c r="G17" s="50">
        <v>0.51</v>
      </c>
      <c r="H17" s="50">
        <v>0.51</v>
      </c>
      <c r="I17" s="50">
        <v>0.51</v>
      </c>
      <c r="J17" s="50">
        <v>0.51</v>
      </c>
      <c r="K17" s="210"/>
    </row>
    <row r="18" spans="2:11" x14ac:dyDescent="0.25">
      <c r="B18" s="158" t="s">
        <v>11</v>
      </c>
      <c r="C18" s="50">
        <v>0.54</v>
      </c>
      <c r="D18" s="50">
        <v>0.53</v>
      </c>
      <c r="E18" s="50">
        <v>0.52</v>
      </c>
      <c r="F18" s="50">
        <v>0.52</v>
      </c>
      <c r="G18" s="50">
        <v>0.52</v>
      </c>
      <c r="H18" s="50">
        <v>0.52</v>
      </c>
      <c r="I18" s="50">
        <v>0.52</v>
      </c>
      <c r="J18" s="50">
        <v>0.52</v>
      </c>
      <c r="K18" s="210"/>
    </row>
    <row r="19" spans="2:11" x14ac:dyDescent="0.25">
      <c r="B19" s="158" t="s">
        <v>67</v>
      </c>
      <c r="C19" s="50">
        <v>0.52</v>
      </c>
      <c r="D19" s="50">
        <v>0.51</v>
      </c>
      <c r="E19" s="50">
        <v>0.51</v>
      </c>
      <c r="F19" s="50">
        <v>0.51</v>
      </c>
      <c r="G19" s="50">
        <v>0.51</v>
      </c>
      <c r="H19" s="50">
        <v>0.51</v>
      </c>
      <c r="I19" s="50">
        <v>0.51</v>
      </c>
      <c r="J19" s="50">
        <v>0.51</v>
      </c>
      <c r="K19" s="210"/>
    </row>
    <row r="20" spans="2:11" x14ac:dyDescent="0.25">
      <c r="B20" s="158" t="s">
        <v>12</v>
      </c>
      <c r="C20" s="50">
        <v>0.52</v>
      </c>
      <c r="D20" s="50">
        <v>0.51</v>
      </c>
      <c r="E20" s="50">
        <v>0.51</v>
      </c>
      <c r="F20" s="50">
        <v>0.51</v>
      </c>
      <c r="G20" s="50">
        <v>0.51</v>
      </c>
      <c r="H20" s="50">
        <v>0.51</v>
      </c>
      <c r="I20" s="50">
        <v>0.51</v>
      </c>
      <c r="J20" s="50">
        <v>0.51</v>
      </c>
      <c r="K20" s="210"/>
    </row>
    <row r="21" spans="2:11" x14ac:dyDescent="0.25">
      <c r="B21" s="158" t="s">
        <v>13</v>
      </c>
      <c r="C21" s="50">
        <v>0.62</v>
      </c>
      <c r="D21" s="50">
        <v>0.63</v>
      </c>
      <c r="E21" s="50">
        <v>0.64</v>
      </c>
      <c r="F21" s="50">
        <v>0.71</v>
      </c>
      <c r="G21" s="50">
        <v>0.73</v>
      </c>
      <c r="H21" s="50">
        <v>0.73</v>
      </c>
      <c r="I21" s="50">
        <v>0.73</v>
      </c>
      <c r="J21" s="50">
        <v>0.73</v>
      </c>
      <c r="K21" s="210"/>
    </row>
    <row r="22" spans="2:11" x14ac:dyDescent="0.25">
      <c r="B22" s="158" t="s">
        <v>68</v>
      </c>
      <c r="C22" s="50">
        <v>0.52</v>
      </c>
      <c r="D22" s="50">
        <v>0.51</v>
      </c>
      <c r="E22" s="50">
        <v>0.51</v>
      </c>
      <c r="F22" s="50">
        <v>0.51</v>
      </c>
      <c r="G22" s="50">
        <v>0.51</v>
      </c>
      <c r="H22" s="50">
        <v>0.51</v>
      </c>
      <c r="I22" s="50">
        <v>0.51</v>
      </c>
      <c r="J22" s="50">
        <v>0.51</v>
      </c>
      <c r="K22" s="210"/>
    </row>
    <row r="23" spans="2:11" x14ac:dyDescent="0.25">
      <c r="B23" s="158" t="s">
        <v>14</v>
      </c>
      <c r="C23" s="50">
        <v>0.66</v>
      </c>
      <c r="D23" s="50">
        <v>0.67</v>
      </c>
      <c r="E23" s="50">
        <v>0.68</v>
      </c>
      <c r="F23" s="50">
        <v>0.75</v>
      </c>
      <c r="G23" s="50">
        <v>0.75</v>
      </c>
      <c r="H23" s="50">
        <v>0.75</v>
      </c>
      <c r="I23" s="50">
        <v>0.75</v>
      </c>
      <c r="J23" s="50">
        <v>0.75</v>
      </c>
      <c r="K23" s="210"/>
    </row>
    <row r="24" spans="2:11" x14ac:dyDescent="0.25">
      <c r="B24" s="158" t="s">
        <v>15</v>
      </c>
      <c r="C24" s="50">
        <v>0.53</v>
      </c>
      <c r="D24" s="50">
        <v>0.54</v>
      </c>
      <c r="E24" s="50">
        <v>0.55000000000000004</v>
      </c>
      <c r="F24" s="50">
        <v>0.75</v>
      </c>
      <c r="G24" s="50">
        <v>0.75</v>
      </c>
      <c r="H24" s="50">
        <v>0.75</v>
      </c>
      <c r="I24" s="50">
        <v>0.75</v>
      </c>
      <c r="J24" s="50">
        <v>0.75</v>
      </c>
      <c r="K24" s="210"/>
    </row>
    <row r="25" spans="2:11" x14ac:dyDescent="0.25">
      <c r="B25" s="158" t="s">
        <v>16</v>
      </c>
      <c r="C25" s="50">
        <v>0.51</v>
      </c>
      <c r="D25" s="50">
        <v>0.52</v>
      </c>
      <c r="E25" s="50">
        <v>0.53</v>
      </c>
      <c r="F25" s="50">
        <v>0.55000000000000004</v>
      </c>
      <c r="G25" s="50">
        <v>0.55000000000000004</v>
      </c>
      <c r="H25" s="50">
        <v>0.55000000000000004</v>
      </c>
      <c r="I25" s="50">
        <v>0.55000000000000004</v>
      </c>
      <c r="J25" s="50">
        <v>0.55000000000000004</v>
      </c>
      <c r="K25" s="210"/>
    </row>
    <row r="26" spans="2:11" x14ac:dyDescent="0.25">
      <c r="B26" s="158" t="s">
        <v>17</v>
      </c>
      <c r="C26" s="50">
        <v>0.47</v>
      </c>
      <c r="D26" s="50">
        <v>0.48</v>
      </c>
      <c r="E26" s="50">
        <v>0.49</v>
      </c>
      <c r="F26" s="50">
        <v>0.51</v>
      </c>
      <c r="G26" s="50">
        <v>0.51</v>
      </c>
      <c r="H26" s="50">
        <v>0.51</v>
      </c>
      <c r="I26" s="50">
        <v>0.51</v>
      </c>
      <c r="J26" s="50">
        <v>0.51</v>
      </c>
      <c r="K26" s="210"/>
    </row>
    <row r="27" spans="2:11" x14ac:dyDescent="0.25">
      <c r="B27" s="158" t="s">
        <v>18</v>
      </c>
      <c r="C27" s="50">
        <v>0.49</v>
      </c>
      <c r="D27" s="50">
        <v>0.5</v>
      </c>
      <c r="E27" s="50">
        <v>0.51</v>
      </c>
      <c r="F27" s="50">
        <v>0.51</v>
      </c>
      <c r="G27" s="50">
        <v>0.51</v>
      </c>
      <c r="H27" s="50">
        <v>0.51</v>
      </c>
      <c r="I27" s="50">
        <v>0.51</v>
      </c>
      <c r="J27" s="50">
        <v>0.51</v>
      </c>
      <c r="K27" s="210"/>
    </row>
    <row r="28" spans="2:11" x14ac:dyDescent="0.25">
      <c r="B28" s="158" t="s">
        <v>216</v>
      </c>
      <c r="C28" s="50">
        <v>0.53</v>
      </c>
      <c r="D28" s="50">
        <v>0.54</v>
      </c>
      <c r="E28" s="50">
        <v>0.55000000000000004</v>
      </c>
      <c r="F28" s="50">
        <v>0.64</v>
      </c>
      <c r="G28" s="50">
        <v>0.64</v>
      </c>
      <c r="H28" s="50">
        <v>0.64</v>
      </c>
      <c r="I28" s="50">
        <v>0.64</v>
      </c>
      <c r="J28" s="50">
        <v>0.64</v>
      </c>
      <c r="K28" s="210"/>
    </row>
    <row r="29" spans="2:11" x14ac:dyDescent="0.25">
      <c r="B29" s="158" t="s">
        <v>19</v>
      </c>
      <c r="C29" s="50">
        <v>0.61</v>
      </c>
      <c r="D29" s="50">
        <v>0.62</v>
      </c>
      <c r="E29" s="50">
        <v>0.63</v>
      </c>
      <c r="F29" s="50">
        <v>0.67</v>
      </c>
      <c r="G29" s="50">
        <v>0.68</v>
      </c>
      <c r="H29" s="50">
        <v>0.68</v>
      </c>
      <c r="I29" s="50">
        <v>0.68</v>
      </c>
      <c r="J29" s="50">
        <v>0.68</v>
      </c>
      <c r="K29" s="210"/>
    </row>
    <row r="30" spans="2:11" x14ac:dyDescent="0.25">
      <c r="B30" s="158" t="s">
        <v>20</v>
      </c>
      <c r="C30" s="50">
        <v>0.6</v>
      </c>
      <c r="D30" s="50">
        <v>0.6</v>
      </c>
      <c r="E30" s="50">
        <v>0.6</v>
      </c>
      <c r="F30" s="50">
        <v>0.6</v>
      </c>
      <c r="G30" s="50">
        <v>0.6</v>
      </c>
      <c r="H30" s="50">
        <v>0.6</v>
      </c>
      <c r="I30" s="50">
        <v>0.6</v>
      </c>
      <c r="J30" s="50">
        <v>0.6</v>
      </c>
      <c r="K30" s="210"/>
    </row>
    <row r="31" spans="2:11" x14ac:dyDescent="0.25">
      <c r="B31" s="158" t="s">
        <v>21</v>
      </c>
      <c r="C31" s="50">
        <v>0.54</v>
      </c>
      <c r="D31" s="50">
        <v>0.54</v>
      </c>
      <c r="E31" s="50">
        <v>0.54</v>
      </c>
      <c r="F31" s="50">
        <v>0.54</v>
      </c>
      <c r="G31" s="50">
        <v>0.54</v>
      </c>
      <c r="H31" s="50">
        <v>0.54</v>
      </c>
      <c r="I31" s="50">
        <v>0.54</v>
      </c>
      <c r="J31" s="50">
        <v>0.54</v>
      </c>
      <c r="K31" s="210"/>
    </row>
    <row r="32" spans="2:11" x14ac:dyDescent="0.25">
      <c r="B32" s="158" t="s">
        <v>69</v>
      </c>
      <c r="C32" s="50">
        <v>0.53</v>
      </c>
      <c r="D32" s="50">
        <v>0.52</v>
      </c>
      <c r="E32" s="50">
        <v>0.51</v>
      </c>
      <c r="F32" s="50">
        <v>0.51</v>
      </c>
      <c r="G32" s="50">
        <v>0.51</v>
      </c>
      <c r="H32" s="50">
        <v>0.51</v>
      </c>
      <c r="I32" s="50">
        <v>0.51</v>
      </c>
      <c r="J32" s="50">
        <v>0.51</v>
      </c>
      <c r="K32" s="210"/>
    </row>
    <row r="33" spans="2:11" x14ac:dyDescent="0.25">
      <c r="B33" s="158" t="s">
        <v>22</v>
      </c>
      <c r="C33" s="50">
        <v>0.51</v>
      </c>
      <c r="D33" s="50">
        <v>0.51</v>
      </c>
      <c r="E33" s="50">
        <v>0.51</v>
      </c>
      <c r="F33" s="50">
        <v>0.51</v>
      </c>
      <c r="G33" s="50">
        <v>0.51</v>
      </c>
      <c r="H33" s="50">
        <v>0.51</v>
      </c>
      <c r="I33" s="50">
        <v>0.51</v>
      </c>
      <c r="J33" s="50">
        <v>0.51</v>
      </c>
      <c r="K33" s="210"/>
    </row>
    <row r="34" spans="2:11" x14ac:dyDescent="0.25">
      <c r="B34" s="158" t="s">
        <v>23</v>
      </c>
      <c r="C34" s="50">
        <v>0.68</v>
      </c>
      <c r="D34" s="50">
        <v>0.69</v>
      </c>
      <c r="E34" s="50">
        <v>0.7</v>
      </c>
      <c r="F34" s="50">
        <v>0.75</v>
      </c>
      <c r="G34" s="50">
        <v>0.75</v>
      </c>
      <c r="H34" s="50">
        <v>0.75</v>
      </c>
      <c r="I34" s="50">
        <v>0.75</v>
      </c>
      <c r="J34" s="50">
        <v>0.75</v>
      </c>
      <c r="K34" s="210"/>
    </row>
    <row r="35" spans="2:11" x14ac:dyDescent="0.25">
      <c r="B35" s="158" t="s">
        <v>24</v>
      </c>
      <c r="C35" s="50">
        <v>0.52</v>
      </c>
      <c r="D35" s="50">
        <v>0.51</v>
      </c>
      <c r="E35" s="50">
        <v>0.51</v>
      </c>
      <c r="F35" s="50">
        <v>0.51</v>
      </c>
      <c r="G35" s="50">
        <v>0.51</v>
      </c>
      <c r="H35" s="50">
        <v>0.51</v>
      </c>
      <c r="I35" s="50">
        <v>0.51</v>
      </c>
      <c r="J35" s="50">
        <v>0.51</v>
      </c>
      <c r="K35" s="210"/>
    </row>
    <row r="36" spans="2:11" x14ac:dyDescent="0.25">
      <c r="B36" s="158" t="s">
        <v>25</v>
      </c>
      <c r="C36" s="50">
        <v>0.54</v>
      </c>
      <c r="D36" s="50">
        <v>0.55000000000000004</v>
      </c>
      <c r="E36" s="50">
        <v>0.56000000000000005</v>
      </c>
      <c r="F36" s="50">
        <v>0.57999999999999996</v>
      </c>
      <c r="G36" s="50">
        <v>0.57999999999999996</v>
      </c>
      <c r="H36" s="50">
        <v>0.57999999999999996</v>
      </c>
      <c r="I36" s="50">
        <v>0.57999999999999996</v>
      </c>
      <c r="J36" s="50">
        <v>0.57999999999999996</v>
      </c>
      <c r="K36" s="210"/>
    </row>
    <row r="37" spans="2:11" x14ac:dyDescent="0.25">
      <c r="B37" s="158" t="s">
        <v>26</v>
      </c>
      <c r="C37" s="50">
        <v>0.55000000000000004</v>
      </c>
      <c r="D37" s="50">
        <v>0.56000000000000005</v>
      </c>
      <c r="E37" s="50">
        <v>0.56999999999999995</v>
      </c>
      <c r="F37" s="50">
        <v>0.56999999999999995</v>
      </c>
      <c r="G37" s="50">
        <v>0.56999999999999995</v>
      </c>
      <c r="H37" s="50">
        <v>0.56999999999999995</v>
      </c>
      <c r="I37" s="50">
        <v>0.56999999999999995</v>
      </c>
      <c r="J37" s="50">
        <v>0.56999999999999995</v>
      </c>
      <c r="K37" s="210"/>
    </row>
    <row r="38" spans="2:11" x14ac:dyDescent="0.25">
      <c r="B38" s="158" t="s">
        <v>70</v>
      </c>
      <c r="C38" s="50">
        <v>0.52</v>
      </c>
      <c r="D38" s="50">
        <v>0.51</v>
      </c>
      <c r="E38" s="50">
        <v>0.51</v>
      </c>
      <c r="F38" s="50">
        <v>0.51</v>
      </c>
      <c r="G38" s="50">
        <v>0.51</v>
      </c>
      <c r="H38" s="50">
        <v>0.51</v>
      </c>
      <c r="I38" s="50">
        <v>0.51</v>
      </c>
      <c r="J38" s="50">
        <v>0.51</v>
      </c>
      <c r="K38" s="210"/>
    </row>
    <row r="39" spans="2:11" x14ac:dyDescent="0.25">
      <c r="B39" s="158" t="s">
        <v>224</v>
      </c>
      <c r="C39" s="50">
        <v>0.53</v>
      </c>
      <c r="D39" s="50">
        <v>0.52</v>
      </c>
      <c r="E39" s="50">
        <v>0.51</v>
      </c>
      <c r="F39" s="50">
        <v>0.51</v>
      </c>
      <c r="G39" s="50">
        <v>0.51</v>
      </c>
      <c r="H39" s="50">
        <v>0.51</v>
      </c>
      <c r="I39" s="50">
        <v>0.51</v>
      </c>
      <c r="J39" s="50">
        <v>0.51</v>
      </c>
      <c r="K39" s="210"/>
    </row>
    <row r="40" spans="2:11" x14ac:dyDescent="0.25">
      <c r="B40" s="158" t="s">
        <v>27</v>
      </c>
      <c r="C40" s="50">
        <v>0.5</v>
      </c>
      <c r="D40" s="50">
        <v>0.51</v>
      </c>
      <c r="E40" s="50">
        <v>0.52</v>
      </c>
      <c r="F40" s="50">
        <v>0.59</v>
      </c>
      <c r="G40" s="50">
        <v>0.59</v>
      </c>
      <c r="H40" s="50">
        <v>0.59</v>
      </c>
      <c r="I40" s="50">
        <v>0.59</v>
      </c>
      <c r="J40" s="50">
        <v>0.59</v>
      </c>
      <c r="K40" s="210"/>
    </row>
    <row r="41" spans="2:11" x14ac:dyDescent="0.25">
      <c r="B41" s="158" t="s">
        <v>28</v>
      </c>
      <c r="C41" s="50">
        <v>0.54</v>
      </c>
      <c r="D41" s="50">
        <v>0.53</v>
      </c>
      <c r="E41" s="50">
        <v>0.53</v>
      </c>
      <c r="F41" s="50">
        <v>0.53</v>
      </c>
      <c r="G41" s="50">
        <v>0.53</v>
      </c>
      <c r="H41" s="50">
        <v>0.53</v>
      </c>
      <c r="I41" s="50">
        <v>0.53</v>
      </c>
      <c r="J41" s="50">
        <v>0.53</v>
      </c>
      <c r="K41" s="210"/>
    </row>
    <row r="42" spans="2:11" x14ac:dyDescent="0.25">
      <c r="B42" s="158" t="s">
        <v>29</v>
      </c>
      <c r="C42" s="50">
        <v>0.51</v>
      </c>
      <c r="D42" s="50">
        <v>0.51</v>
      </c>
      <c r="E42" s="50">
        <v>0.51</v>
      </c>
      <c r="F42" s="50">
        <v>0.51</v>
      </c>
      <c r="G42" s="50">
        <v>0.51</v>
      </c>
      <c r="H42" s="50">
        <v>0.51</v>
      </c>
      <c r="I42" s="50">
        <v>0.51</v>
      </c>
      <c r="J42" s="50">
        <v>0.51</v>
      </c>
      <c r="K42" s="210"/>
    </row>
    <row r="43" spans="2:11" x14ac:dyDescent="0.25">
      <c r="B43" s="158" t="s">
        <v>30</v>
      </c>
      <c r="C43" s="50">
        <v>0.62</v>
      </c>
      <c r="D43" s="50">
        <v>0.63</v>
      </c>
      <c r="E43" s="50">
        <v>0.63</v>
      </c>
      <c r="F43" s="50">
        <v>0.63</v>
      </c>
      <c r="G43" s="50">
        <v>0.63</v>
      </c>
      <c r="H43" s="50">
        <v>0.63</v>
      </c>
      <c r="I43" s="50">
        <v>0.63</v>
      </c>
      <c r="J43" s="50">
        <v>0.63</v>
      </c>
      <c r="K43" s="210"/>
    </row>
    <row r="44" spans="2:11" x14ac:dyDescent="0.25">
      <c r="B44" s="158" t="s">
        <v>31</v>
      </c>
      <c r="C44" s="50">
        <v>0.64</v>
      </c>
      <c r="D44" s="50">
        <v>0.65</v>
      </c>
      <c r="E44" s="50">
        <v>0.66</v>
      </c>
      <c r="F44" s="50">
        <v>0.72</v>
      </c>
      <c r="G44" s="50">
        <v>0.72</v>
      </c>
      <c r="H44" s="50">
        <v>0.72</v>
      </c>
      <c r="I44" s="50">
        <v>0.72</v>
      </c>
      <c r="J44" s="50">
        <v>0.72</v>
      </c>
      <c r="K44" s="210"/>
    </row>
    <row r="45" spans="2:11" x14ac:dyDescent="0.25">
      <c r="B45" s="158" t="s">
        <v>32</v>
      </c>
      <c r="C45" s="50">
        <v>0.62</v>
      </c>
      <c r="D45" s="50">
        <v>0.63</v>
      </c>
      <c r="E45" s="50">
        <v>0.64</v>
      </c>
      <c r="F45" s="50">
        <v>0.65</v>
      </c>
      <c r="G45" s="50">
        <v>0.66</v>
      </c>
      <c r="H45" s="50">
        <v>0.66</v>
      </c>
      <c r="I45" s="50">
        <v>0.66</v>
      </c>
      <c r="J45" s="50">
        <v>0.66</v>
      </c>
      <c r="K45" s="210"/>
    </row>
    <row r="46" spans="2:11" x14ac:dyDescent="0.25">
      <c r="B46" s="158" t="s">
        <v>33</v>
      </c>
      <c r="C46" s="50">
        <v>0.64</v>
      </c>
      <c r="D46" s="50">
        <v>0.63</v>
      </c>
      <c r="E46" s="50">
        <v>0.62</v>
      </c>
      <c r="F46" s="50">
        <v>0.6</v>
      </c>
      <c r="G46" s="50">
        <v>0.61</v>
      </c>
      <c r="H46" s="50">
        <v>0.61</v>
      </c>
      <c r="I46" s="50">
        <v>0.61</v>
      </c>
      <c r="J46" s="50">
        <v>0.61</v>
      </c>
      <c r="K46" s="210"/>
    </row>
    <row r="47" spans="2:11" x14ac:dyDescent="0.25">
      <c r="B47" s="158" t="s">
        <v>34</v>
      </c>
      <c r="C47" s="50">
        <v>0.54</v>
      </c>
      <c r="D47" s="50">
        <v>0.53</v>
      </c>
      <c r="E47" s="50">
        <v>0.53</v>
      </c>
      <c r="F47" s="50">
        <v>0.53</v>
      </c>
      <c r="G47" s="50">
        <v>0.53</v>
      </c>
      <c r="H47" s="50">
        <v>0.53</v>
      </c>
      <c r="I47" s="50">
        <v>0.53</v>
      </c>
      <c r="J47" s="50">
        <v>0.53</v>
      </c>
      <c r="K47" s="210"/>
    </row>
    <row r="48" spans="2:11" x14ac:dyDescent="0.25">
      <c r="B48" s="158" t="s">
        <v>223</v>
      </c>
      <c r="C48" s="50">
        <v>0.52</v>
      </c>
      <c r="D48" s="50">
        <v>0.51</v>
      </c>
      <c r="E48" s="50">
        <v>0.51</v>
      </c>
      <c r="F48" s="50">
        <v>0.51</v>
      </c>
      <c r="G48" s="50">
        <v>0.51</v>
      </c>
      <c r="H48" s="50">
        <v>0.51</v>
      </c>
      <c r="I48" s="50">
        <v>0.51</v>
      </c>
      <c r="J48" s="50">
        <v>0.51</v>
      </c>
      <c r="K48" s="210"/>
    </row>
    <row r="49" spans="2:11" x14ac:dyDescent="0.25">
      <c r="B49" s="158" t="s">
        <v>220</v>
      </c>
      <c r="C49" s="50">
        <v>0.51</v>
      </c>
      <c r="D49" s="50">
        <v>0.51</v>
      </c>
      <c r="E49" s="50">
        <v>0.51</v>
      </c>
      <c r="F49" s="50">
        <v>0.51</v>
      </c>
      <c r="G49" s="50">
        <v>0.51</v>
      </c>
      <c r="H49" s="50">
        <v>0.51</v>
      </c>
      <c r="I49" s="50">
        <v>0.51</v>
      </c>
      <c r="J49" s="50">
        <v>0.51</v>
      </c>
      <c r="K49" s="210"/>
    </row>
    <row r="50" spans="2:11" x14ac:dyDescent="0.25">
      <c r="B50" s="158" t="s">
        <v>35</v>
      </c>
      <c r="C50" s="50">
        <v>0.47</v>
      </c>
      <c r="D50" s="50">
        <v>0.48</v>
      </c>
      <c r="E50" s="50">
        <v>0.49</v>
      </c>
      <c r="F50" s="50">
        <v>0.51</v>
      </c>
      <c r="G50" s="50">
        <v>0.51</v>
      </c>
      <c r="H50" s="50">
        <v>0.51</v>
      </c>
      <c r="I50" s="50">
        <v>0.51</v>
      </c>
      <c r="J50" s="50">
        <v>0.51</v>
      </c>
      <c r="K50" s="210"/>
    </row>
    <row r="51" spans="2:11" x14ac:dyDescent="0.25">
      <c r="B51" s="158" t="s">
        <v>37</v>
      </c>
      <c r="C51" s="50">
        <v>0.56999999999999995</v>
      </c>
      <c r="D51" s="50">
        <v>0.56999999999999995</v>
      </c>
      <c r="E51" s="50">
        <v>0.56999999999999995</v>
      </c>
      <c r="F51" s="50">
        <v>0.56999999999999995</v>
      </c>
      <c r="G51" s="50">
        <v>0.56999999999999995</v>
      </c>
      <c r="H51" s="50">
        <v>0.56999999999999995</v>
      </c>
      <c r="I51" s="50">
        <v>0.56999999999999995</v>
      </c>
      <c r="J51" s="50">
        <v>0.56999999999999995</v>
      </c>
      <c r="K51" s="210"/>
    </row>
    <row r="52" spans="2:11" x14ac:dyDescent="0.25">
      <c r="B52" s="158" t="s">
        <v>38</v>
      </c>
      <c r="C52" s="50">
        <v>0.48</v>
      </c>
      <c r="D52" s="50">
        <v>0.49</v>
      </c>
      <c r="E52" s="50">
        <v>0.5</v>
      </c>
      <c r="F52" s="50">
        <v>0.56000000000000005</v>
      </c>
      <c r="G52" s="50">
        <v>0.56000000000000005</v>
      </c>
      <c r="H52" s="50">
        <v>0.56000000000000005</v>
      </c>
      <c r="I52" s="50">
        <v>0.56000000000000005</v>
      </c>
      <c r="J52" s="50">
        <v>0.56000000000000005</v>
      </c>
      <c r="K52" s="210"/>
    </row>
    <row r="53" spans="2:11" x14ac:dyDescent="0.25">
      <c r="B53" s="158" t="s">
        <v>39</v>
      </c>
      <c r="C53" s="50">
        <v>0.52</v>
      </c>
      <c r="D53" s="50">
        <v>0.52</v>
      </c>
      <c r="E53" s="50">
        <v>0.52</v>
      </c>
      <c r="F53" s="50">
        <v>0.52</v>
      </c>
      <c r="G53" s="50">
        <v>0.52</v>
      </c>
      <c r="H53" s="50">
        <v>0.52</v>
      </c>
      <c r="I53" s="50">
        <v>0.52</v>
      </c>
      <c r="J53" s="50">
        <v>0.52</v>
      </c>
      <c r="K53" s="210"/>
    </row>
    <row r="54" spans="2:11" x14ac:dyDescent="0.25">
      <c r="B54" s="158" t="s">
        <v>40</v>
      </c>
      <c r="C54" s="50">
        <v>0.51</v>
      </c>
      <c r="D54" s="50">
        <v>0.51</v>
      </c>
      <c r="E54" s="50">
        <v>0.51</v>
      </c>
      <c r="F54" s="50">
        <v>0.51</v>
      </c>
      <c r="G54" s="50">
        <v>0.51</v>
      </c>
      <c r="H54" s="50">
        <v>0.51</v>
      </c>
      <c r="I54" s="50">
        <v>0.51</v>
      </c>
      <c r="J54" s="50">
        <v>0.51</v>
      </c>
      <c r="K54" s="210"/>
    </row>
    <row r="55" spans="2:11" x14ac:dyDescent="0.25">
      <c r="B55" s="158" t="s">
        <v>41</v>
      </c>
      <c r="C55" s="50">
        <v>0.48</v>
      </c>
      <c r="D55" s="50">
        <v>0.49</v>
      </c>
      <c r="E55" s="50">
        <v>0.5</v>
      </c>
      <c r="F55" s="50">
        <v>0.51</v>
      </c>
      <c r="G55" s="50">
        <v>0.51</v>
      </c>
      <c r="H55" s="50">
        <v>0.51</v>
      </c>
      <c r="I55" s="50">
        <v>0.51</v>
      </c>
      <c r="J55" s="50">
        <v>0.51</v>
      </c>
      <c r="K55" s="210"/>
    </row>
    <row r="56" spans="2:11" x14ac:dyDescent="0.25">
      <c r="B56" s="158" t="s">
        <v>44</v>
      </c>
      <c r="C56" s="50">
        <v>0.47</v>
      </c>
      <c r="D56" s="50">
        <v>0.48</v>
      </c>
      <c r="E56" s="50">
        <v>0.49</v>
      </c>
      <c r="F56" s="50">
        <v>0.51</v>
      </c>
      <c r="G56" s="50">
        <v>0.51</v>
      </c>
      <c r="H56" s="50">
        <v>0.51</v>
      </c>
      <c r="I56" s="50">
        <v>0.51</v>
      </c>
      <c r="J56" s="50">
        <v>0.51</v>
      </c>
      <c r="K56" s="210"/>
    </row>
    <row r="57" spans="2:11" x14ac:dyDescent="0.25">
      <c r="B57" s="158" t="s">
        <v>43</v>
      </c>
      <c r="C57" s="50">
        <v>0.5</v>
      </c>
      <c r="D57" s="50">
        <v>0.51</v>
      </c>
      <c r="E57" s="50">
        <v>0.51</v>
      </c>
      <c r="F57" s="50">
        <v>0.51</v>
      </c>
      <c r="G57" s="50">
        <v>0.51</v>
      </c>
      <c r="H57" s="50">
        <v>0.51</v>
      </c>
      <c r="I57" s="50">
        <v>0.51</v>
      </c>
      <c r="J57" s="50">
        <v>0.51</v>
      </c>
      <c r="K57" s="210"/>
    </row>
    <row r="58" spans="2:11" x14ac:dyDescent="0.25">
      <c r="B58" s="158" t="s">
        <v>45</v>
      </c>
      <c r="C58" s="50">
        <v>0.52</v>
      </c>
      <c r="D58" s="50">
        <v>0.51</v>
      </c>
      <c r="E58" s="50">
        <v>0.51</v>
      </c>
      <c r="F58" s="50">
        <v>0.51</v>
      </c>
      <c r="G58" s="50">
        <v>0.51</v>
      </c>
      <c r="H58" s="50">
        <v>0.51</v>
      </c>
      <c r="I58" s="50">
        <v>0.51</v>
      </c>
      <c r="J58" s="50">
        <v>0.51</v>
      </c>
      <c r="K58" s="210"/>
    </row>
    <row r="59" spans="2:11" x14ac:dyDescent="0.25">
      <c r="B59" s="158" t="s">
        <v>46</v>
      </c>
      <c r="C59" s="50">
        <v>0.49</v>
      </c>
      <c r="D59" s="50">
        <v>0.5</v>
      </c>
      <c r="E59" s="50">
        <v>0.51</v>
      </c>
      <c r="F59" s="50">
        <v>0.51</v>
      </c>
      <c r="G59" s="50">
        <v>0.51</v>
      </c>
      <c r="H59" s="50">
        <v>0.51</v>
      </c>
      <c r="I59" s="50">
        <v>0.51</v>
      </c>
      <c r="J59" s="50">
        <v>0.51</v>
      </c>
      <c r="K59" s="210"/>
    </row>
    <row r="60" spans="2:11" x14ac:dyDescent="0.25">
      <c r="B60" s="158" t="s">
        <v>47</v>
      </c>
      <c r="C60" s="50">
        <v>0.48</v>
      </c>
      <c r="D60" s="50">
        <v>0.49</v>
      </c>
      <c r="E60" s="50">
        <v>0.5</v>
      </c>
      <c r="F60" s="50">
        <v>0.51</v>
      </c>
      <c r="G60" s="50">
        <v>0.51</v>
      </c>
      <c r="H60" s="50">
        <v>0.51</v>
      </c>
      <c r="I60" s="50">
        <v>0.51</v>
      </c>
      <c r="J60" s="50">
        <v>0.51</v>
      </c>
      <c r="K60" s="210"/>
    </row>
    <row r="61" spans="2:11" x14ac:dyDescent="0.25">
      <c r="B61" s="158" t="s">
        <v>222</v>
      </c>
      <c r="C61" s="50">
        <v>0.52</v>
      </c>
      <c r="D61" s="50">
        <v>0.51</v>
      </c>
      <c r="E61" s="50">
        <v>0.51</v>
      </c>
      <c r="F61" s="50">
        <v>0.51</v>
      </c>
      <c r="G61" s="50">
        <v>0.51</v>
      </c>
      <c r="H61" s="50">
        <v>0.51</v>
      </c>
      <c r="I61" s="50">
        <v>0.51</v>
      </c>
      <c r="J61" s="50">
        <v>0.51</v>
      </c>
      <c r="K61" s="210"/>
    </row>
    <row r="62" spans="2:11" x14ac:dyDescent="0.25">
      <c r="B62" s="158" t="s">
        <v>48</v>
      </c>
      <c r="C62" s="50">
        <v>0.52</v>
      </c>
      <c r="D62" s="50">
        <v>0.51</v>
      </c>
      <c r="E62" s="50">
        <v>0.51</v>
      </c>
      <c r="F62" s="50">
        <v>0.51</v>
      </c>
      <c r="G62" s="50">
        <v>0.51</v>
      </c>
      <c r="H62" s="50">
        <v>0.51</v>
      </c>
      <c r="I62" s="50">
        <v>0.51</v>
      </c>
      <c r="J62" s="50">
        <v>0.51</v>
      </c>
      <c r="K62" s="210"/>
    </row>
    <row r="63" spans="2:11" x14ac:dyDescent="0.25">
      <c r="B63" s="158" t="s">
        <v>42</v>
      </c>
      <c r="C63" s="50">
        <v>0.47</v>
      </c>
      <c r="D63" s="50">
        <v>0.48</v>
      </c>
      <c r="E63" s="50">
        <v>0.49</v>
      </c>
      <c r="F63" s="50">
        <v>0.51</v>
      </c>
      <c r="G63" s="50">
        <v>0.51</v>
      </c>
      <c r="H63" s="50">
        <v>0.51</v>
      </c>
      <c r="I63" s="50">
        <v>0.51</v>
      </c>
      <c r="J63" s="50">
        <v>0.51</v>
      </c>
      <c r="K63" s="210"/>
    </row>
    <row r="64" spans="2:11" x14ac:dyDescent="0.25">
      <c r="B64" s="158" t="s">
        <v>49</v>
      </c>
      <c r="C64" s="50">
        <v>0.54</v>
      </c>
      <c r="D64" s="50">
        <v>0.53</v>
      </c>
      <c r="E64" s="50">
        <v>0.52</v>
      </c>
      <c r="F64" s="50">
        <v>0.51</v>
      </c>
      <c r="G64" s="50">
        <v>0.51</v>
      </c>
      <c r="H64" s="50">
        <v>0.51</v>
      </c>
      <c r="I64" s="50">
        <v>0.51</v>
      </c>
      <c r="J64" s="50">
        <v>0.51</v>
      </c>
      <c r="K64" s="210"/>
    </row>
    <row r="65" spans="2:11" x14ac:dyDescent="0.25">
      <c r="B65" s="158" t="s">
        <v>50</v>
      </c>
      <c r="C65" s="50">
        <v>0.51</v>
      </c>
      <c r="D65" s="50">
        <v>0.51</v>
      </c>
      <c r="E65" s="50">
        <v>0.51</v>
      </c>
      <c r="F65" s="50">
        <v>0.51</v>
      </c>
      <c r="G65" s="50">
        <v>0.51</v>
      </c>
      <c r="H65" s="50">
        <v>0.51</v>
      </c>
      <c r="I65" s="50">
        <v>0.51</v>
      </c>
      <c r="J65" s="50">
        <v>0.51</v>
      </c>
      <c r="K65" s="210"/>
    </row>
    <row r="66" spans="2:11" x14ac:dyDescent="0.25">
      <c r="B66" s="158" t="s">
        <v>51</v>
      </c>
      <c r="C66" s="50">
        <v>0.55000000000000004</v>
      </c>
      <c r="D66" s="50">
        <v>0.54</v>
      </c>
      <c r="E66" s="50">
        <v>0.53</v>
      </c>
      <c r="F66" s="50">
        <v>0.51</v>
      </c>
      <c r="G66" s="50">
        <v>0.52</v>
      </c>
      <c r="H66" s="50">
        <v>0.51</v>
      </c>
      <c r="I66" s="50">
        <v>0.51</v>
      </c>
      <c r="J66" s="50">
        <v>0.51</v>
      </c>
      <c r="K66" s="210"/>
    </row>
    <row r="67" spans="2:11" x14ac:dyDescent="0.25">
      <c r="B67" s="158" t="s">
        <v>52</v>
      </c>
      <c r="C67" s="50">
        <v>0.52</v>
      </c>
      <c r="D67" s="50">
        <v>0.51</v>
      </c>
      <c r="E67" s="50">
        <v>0.51</v>
      </c>
      <c r="F67" s="50">
        <v>0.51</v>
      </c>
      <c r="G67" s="50">
        <v>0.51</v>
      </c>
      <c r="H67" s="50">
        <v>0.51</v>
      </c>
      <c r="I67" s="50">
        <v>0.51</v>
      </c>
      <c r="J67" s="50">
        <v>0.51</v>
      </c>
      <c r="K67" s="210"/>
    </row>
    <row r="68" spans="2:11" x14ac:dyDescent="0.25">
      <c r="B68" s="158" t="s">
        <v>53</v>
      </c>
      <c r="C68" s="50">
        <v>0.54</v>
      </c>
      <c r="D68" s="50">
        <v>0.55000000000000004</v>
      </c>
      <c r="E68" s="50">
        <v>0.56000000000000005</v>
      </c>
      <c r="F68" s="50">
        <v>0.6</v>
      </c>
      <c r="G68" s="50">
        <v>0.6</v>
      </c>
      <c r="H68" s="50">
        <v>0.6</v>
      </c>
      <c r="I68" s="50">
        <v>0.6</v>
      </c>
      <c r="J68" s="50">
        <v>0.6</v>
      </c>
      <c r="K68" s="210"/>
    </row>
    <row r="69" spans="2:11" x14ac:dyDescent="0.25">
      <c r="B69" s="158" t="s">
        <v>54</v>
      </c>
      <c r="C69" s="50">
        <v>0.61</v>
      </c>
      <c r="D69" s="50">
        <v>0.62</v>
      </c>
      <c r="E69" s="50">
        <v>0.63</v>
      </c>
      <c r="F69" s="50">
        <v>0.63</v>
      </c>
      <c r="G69" s="50">
        <v>0.66</v>
      </c>
      <c r="H69" s="50">
        <v>0.66</v>
      </c>
      <c r="I69" s="50">
        <v>0.66</v>
      </c>
      <c r="J69" s="50">
        <v>0.66</v>
      </c>
      <c r="K69" s="210"/>
    </row>
    <row r="70" spans="2:11" x14ac:dyDescent="0.25">
      <c r="B70" s="158" t="s">
        <v>55</v>
      </c>
      <c r="C70" s="50">
        <v>0.62</v>
      </c>
      <c r="D70" s="50">
        <v>0.61</v>
      </c>
      <c r="E70" s="50">
        <v>0.6</v>
      </c>
      <c r="F70" s="50">
        <v>0.56999999999999995</v>
      </c>
      <c r="G70" s="50">
        <v>0.59</v>
      </c>
      <c r="H70" s="50">
        <v>0.57999999999999996</v>
      </c>
      <c r="I70" s="50">
        <v>0.57999999999999996</v>
      </c>
      <c r="J70" s="50">
        <v>0.57999999999999996</v>
      </c>
      <c r="K70" s="210"/>
    </row>
    <row r="71" spans="2:11" x14ac:dyDescent="0.25">
      <c r="B71" s="158" t="s">
        <v>73</v>
      </c>
      <c r="C71" s="50">
        <v>0.67</v>
      </c>
      <c r="D71" s="50">
        <v>0.66</v>
      </c>
      <c r="E71" s="50">
        <v>0.65</v>
      </c>
      <c r="F71" s="50">
        <v>0.57999999999999996</v>
      </c>
      <c r="G71" s="50">
        <v>0.64</v>
      </c>
      <c r="H71" s="50">
        <v>0.63</v>
      </c>
      <c r="I71" s="50">
        <v>0.62</v>
      </c>
      <c r="J71" s="50">
        <v>0.6</v>
      </c>
      <c r="K71" s="210"/>
    </row>
    <row r="72" spans="2:11" x14ac:dyDescent="0.25">
      <c r="B72" s="158" t="s">
        <v>56</v>
      </c>
      <c r="C72" s="50">
        <v>0.59</v>
      </c>
      <c r="D72" s="50">
        <v>0.57999999999999996</v>
      </c>
      <c r="E72" s="50">
        <v>0.57999999999999996</v>
      </c>
      <c r="F72" s="50">
        <v>0.57999999999999996</v>
      </c>
      <c r="G72" s="50">
        <v>0.59</v>
      </c>
      <c r="H72" s="50">
        <v>0.59</v>
      </c>
      <c r="I72" s="50">
        <v>0.59</v>
      </c>
      <c r="J72" s="50">
        <v>0.59</v>
      </c>
      <c r="K72" s="210"/>
    </row>
    <row r="73" spans="2:11" x14ac:dyDescent="0.25">
      <c r="B73" s="158" t="s">
        <v>219</v>
      </c>
      <c r="C73" s="50">
        <v>0.9</v>
      </c>
      <c r="D73" s="50">
        <v>0.89</v>
      </c>
      <c r="E73" s="50">
        <v>0.88</v>
      </c>
      <c r="F73" s="50">
        <v>0.85</v>
      </c>
      <c r="G73" s="50">
        <v>0.88</v>
      </c>
      <c r="H73" s="50">
        <v>0.88</v>
      </c>
      <c r="I73" s="50">
        <v>0.88</v>
      </c>
      <c r="J73" s="50">
        <v>0.88</v>
      </c>
      <c r="K73" s="210"/>
    </row>
    <row r="74" spans="2:11" x14ac:dyDescent="0.25">
      <c r="B74" s="158" t="s">
        <v>57</v>
      </c>
      <c r="C74" s="50">
        <v>0.51</v>
      </c>
      <c r="D74" s="50">
        <v>0.51</v>
      </c>
      <c r="E74" s="50">
        <v>0.51</v>
      </c>
      <c r="F74" s="50">
        <v>0.51</v>
      </c>
      <c r="G74" s="50">
        <v>0.51</v>
      </c>
      <c r="H74" s="50">
        <v>0.51</v>
      </c>
      <c r="I74" s="50">
        <v>0.51</v>
      </c>
      <c r="J74" s="50">
        <v>0.51</v>
      </c>
      <c r="K74" s="210"/>
    </row>
    <row r="75" spans="2:11" x14ac:dyDescent="0.25">
      <c r="B75" s="158" t="s">
        <v>58</v>
      </c>
      <c r="C75" s="50">
        <v>0.6</v>
      </c>
      <c r="D75" s="50">
        <v>0.59</v>
      </c>
      <c r="E75" s="50">
        <v>0.59</v>
      </c>
      <c r="F75" s="50">
        <v>0.59</v>
      </c>
      <c r="G75" s="50">
        <v>0.59</v>
      </c>
      <c r="H75" s="50">
        <v>0.59</v>
      </c>
      <c r="I75" s="50">
        <v>0.59</v>
      </c>
      <c r="J75" s="50">
        <v>0.59</v>
      </c>
      <c r="K75" s="210"/>
    </row>
    <row r="76" spans="2:11" x14ac:dyDescent="0.25">
      <c r="B76" s="158" t="s">
        <v>59</v>
      </c>
      <c r="C76" s="50">
        <v>0.59</v>
      </c>
      <c r="D76" s="50">
        <v>0.57999999999999996</v>
      </c>
      <c r="E76" s="50">
        <v>0.56999999999999995</v>
      </c>
      <c r="F76" s="50">
        <v>0.51</v>
      </c>
      <c r="G76" s="50">
        <v>0.56000000000000005</v>
      </c>
      <c r="H76" s="50">
        <v>0.55000000000000004</v>
      </c>
      <c r="I76" s="50">
        <v>0.54</v>
      </c>
      <c r="J76" s="50">
        <v>0.51</v>
      </c>
      <c r="K76" s="210"/>
    </row>
    <row r="77" spans="2:11" x14ac:dyDescent="0.25">
      <c r="B77" s="158" t="s">
        <v>75</v>
      </c>
      <c r="C77" s="50">
        <v>0.52</v>
      </c>
      <c r="D77" s="50">
        <v>0.51</v>
      </c>
      <c r="E77" s="50">
        <v>0.51</v>
      </c>
      <c r="F77" s="50">
        <v>0.51</v>
      </c>
      <c r="G77" s="50">
        <v>0.51</v>
      </c>
      <c r="H77" s="50">
        <v>0.51</v>
      </c>
      <c r="I77" s="50">
        <v>0.51</v>
      </c>
      <c r="J77" s="50">
        <v>0.51</v>
      </c>
      <c r="K77" s="210"/>
    </row>
    <row r="78" spans="2:11" x14ac:dyDescent="0.25">
      <c r="B78" s="158" t="s">
        <v>60</v>
      </c>
      <c r="C78" s="50">
        <v>0.5</v>
      </c>
      <c r="D78" s="50">
        <v>0.51</v>
      </c>
      <c r="E78" s="50">
        <v>0.51</v>
      </c>
      <c r="F78" s="50">
        <v>0.51</v>
      </c>
      <c r="G78" s="50">
        <v>0.51</v>
      </c>
      <c r="H78" s="50">
        <v>0.51</v>
      </c>
      <c r="I78" s="50">
        <v>0.51</v>
      </c>
      <c r="J78" s="50">
        <v>0.51</v>
      </c>
      <c r="K78" s="210"/>
    </row>
    <row r="79" spans="2:11" x14ac:dyDescent="0.25">
      <c r="B79" s="158" t="s">
        <v>61</v>
      </c>
      <c r="C79" s="50">
        <v>0.57999999999999996</v>
      </c>
      <c r="D79" s="50">
        <v>0.56999999999999995</v>
      </c>
      <c r="E79" s="50">
        <v>0.56000000000000005</v>
      </c>
      <c r="F79" s="50">
        <v>0.55000000000000004</v>
      </c>
      <c r="G79" s="50">
        <v>0.55000000000000004</v>
      </c>
      <c r="H79" s="50">
        <v>0.55000000000000004</v>
      </c>
      <c r="I79" s="50">
        <v>0.55000000000000004</v>
      </c>
      <c r="J79" s="50">
        <v>0.55000000000000004</v>
      </c>
      <c r="K79" s="210"/>
    </row>
    <row r="80" spans="2:11" x14ac:dyDescent="0.25">
      <c r="B80" s="158" t="s">
        <v>221</v>
      </c>
      <c r="C80" s="50">
        <v>0.64</v>
      </c>
      <c r="D80" s="50">
        <v>0.63</v>
      </c>
      <c r="E80" s="50">
        <v>0.62</v>
      </c>
      <c r="F80" s="50">
        <v>0.51</v>
      </c>
      <c r="G80" s="50">
        <v>0.6</v>
      </c>
      <c r="H80" s="50">
        <v>0.57999999999999996</v>
      </c>
      <c r="I80" s="50">
        <v>0.56000000000000005</v>
      </c>
      <c r="J80" s="50">
        <v>0.51</v>
      </c>
      <c r="K80" s="210"/>
    </row>
    <row r="81" spans="2:11" x14ac:dyDescent="0.25">
      <c r="B81" s="158" t="s">
        <v>62</v>
      </c>
      <c r="C81" s="50">
        <v>0.56000000000000005</v>
      </c>
      <c r="D81" s="50">
        <v>0.55000000000000004</v>
      </c>
      <c r="E81" s="50">
        <v>0.54</v>
      </c>
      <c r="F81" s="50">
        <v>0.54</v>
      </c>
      <c r="G81" s="50">
        <v>0.55000000000000004</v>
      </c>
      <c r="H81" s="50">
        <v>0.55000000000000004</v>
      </c>
      <c r="I81" s="50">
        <v>0.55000000000000004</v>
      </c>
      <c r="J81" s="50">
        <v>0.55000000000000004</v>
      </c>
      <c r="K81" s="210"/>
    </row>
    <row r="82" spans="2:11" x14ac:dyDescent="0.25">
      <c r="B82" s="158" t="s">
        <v>63</v>
      </c>
      <c r="C82" s="50">
        <v>0.6</v>
      </c>
      <c r="D82" s="50">
        <v>0.59</v>
      </c>
      <c r="E82" s="50">
        <v>0.57999999999999996</v>
      </c>
      <c r="F82" s="50">
        <v>0.51</v>
      </c>
      <c r="G82" s="50">
        <v>0.56999999999999995</v>
      </c>
      <c r="H82" s="50">
        <v>0.56000000000000005</v>
      </c>
      <c r="I82" s="50">
        <v>0.54</v>
      </c>
      <c r="J82" s="50">
        <v>0.51</v>
      </c>
      <c r="K82" s="210"/>
    </row>
    <row r="83" spans="2:11" x14ac:dyDescent="0.25">
      <c r="B83" s="158" t="s">
        <v>64</v>
      </c>
      <c r="C83" s="50">
        <v>0.54</v>
      </c>
      <c r="D83" s="50">
        <v>0.53</v>
      </c>
      <c r="E83" s="50">
        <v>0.52</v>
      </c>
      <c r="F83" s="50">
        <v>0.51</v>
      </c>
      <c r="G83" s="50">
        <v>0.51</v>
      </c>
      <c r="H83" s="50">
        <v>0.51</v>
      </c>
      <c r="I83" s="50">
        <v>0.51</v>
      </c>
      <c r="J83" s="50">
        <v>0.51</v>
      </c>
      <c r="K83" s="210"/>
    </row>
    <row r="84" spans="2:11" x14ac:dyDescent="0.25"/>
    <row r="85" spans="2:11" x14ac:dyDescent="0.25">
      <c r="B85" s="49" t="s">
        <v>321</v>
      </c>
    </row>
    <row r="86" spans="2:11" x14ac:dyDescent="0.25">
      <c r="B86" s="49" t="s">
        <v>322</v>
      </c>
    </row>
    <row r="87" spans="2:11" x14ac:dyDescent="0.25">
      <c r="B87" s="49" t="s">
        <v>320</v>
      </c>
    </row>
    <row r="88" spans="2:11" x14ac:dyDescent="0.25"/>
    <row r="89" spans="2:11" x14ac:dyDescent="0.25">
      <c r="B89" s="20" t="s">
        <v>323</v>
      </c>
      <c r="C89" s="26"/>
      <c r="D89" s="26"/>
      <c r="E89" s="26"/>
      <c r="F89" s="26"/>
      <c r="G89" s="26"/>
      <c r="H89" s="26"/>
      <c r="I89" s="26"/>
      <c r="J89" s="26"/>
      <c r="K89" s="9"/>
    </row>
    <row r="90" spans="2:11" x14ac:dyDescent="0.25"/>
  </sheetData>
  <pageMargins left="0.7" right="0.7" top="0.75" bottom="0.75" header="0.3" footer="0.3"/>
  <pageSetup orientation="portrait" horizontalDpi="0" verticalDpi="0" r:id="rId1"/>
  <headerFooter>
    <oddHeader>&amp;L&amp;16&amp;F&amp;R&amp;G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0C3C-928C-4B7E-8160-50327B47010B}">
  <sheetPr>
    <tabColor theme="1" tint="0.499984740745262"/>
    <pageSetUpPr fitToPage="1"/>
  </sheetPr>
  <dimension ref="A1:E87"/>
  <sheetViews>
    <sheetView showGridLines="0" zoomScale="84" zoomScaleNormal="84" workbookViewId="0">
      <selection activeCell="C6" sqref="C6"/>
    </sheetView>
  </sheetViews>
  <sheetFormatPr defaultColWidth="0" defaultRowHeight="14.4" zeroHeight="1" x14ac:dyDescent="0.3"/>
  <cols>
    <col min="1" max="1" width="3.1796875" style="3" customWidth="1"/>
    <col min="2" max="2" width="10.90625" style="3" customWidth="1"/>
    <col min="3" max="3" width="28.6328125" style="3" customWidth="1"/>
    <col min="4" max="4" width="8.90625" style="5" customWidth="1"/>
    <col min="5" max="5" width="8.90625" style="3" customWidth="1"/>
    <col min="6" max="16384" width="8.90625" style="3" hidden="1"/>
  </cols>
  <sheetData>
    <row r="1" spans="2:4" x14ac:dyDescent="0.3">
      <c r="B1" s="4"/>
    </row>
    <row r="2" spans="2:4" s="1" customFormat="1" x14ac:dyDescent="0.3">
      <c r="B2" s="20" t="s">
        <v>276</v>
      </c>
      <c r="C2" s="11"/>
      <c r="D2" s="11"/>
    </row>
    <row r="3" spans="2:4" s="1" customFormat="1" x14ac:dyDescent="0.3">
      <c r="B3" s="20" t="s">
        <v>329</v>
      </c>
      <c r="C3" s="11"/>
      <c r="D3" s="11"/>
    </row>
    <row r="4" spans="2:4" s="1" customFormat="1" x14ac:dyDescent="0.3">
      <c r="B4" s="9"/>
      <c r="C4" s="47"/>
      <c r="D4" s="2"/>
    </row>
    <row r="5" spans="2:4" x14ac:dyDescent="0.3">
      <c r="B5" s="13" t="s">
        <v>381</v>
      </c>
      <c r="C5" s="13" t="s">
        <v>85</v>
      </c>
      <c r="D5" s="13" t="s">
        <v>127</v>
      </c>
    </row>
    <row r="6" spans="2:4" x14ac:dyDescent="0.3">
      <c r="B6" s="51">
        <v>1</v>
      </c>
      <c r="C6" s="52" t="s">
        <v>0</v>
      </c>
      <c r="D6" s="171">
        <v>81</v>
      </c>
    </row>
    <row r="7" spans="2:4" x14ac:dyDescent="0.3">
      <c r="B7" s="51">
        <v>2</v>
      </c>
      <c r="C7" s="52" t="s">
        <v>1</v>
      </c>
      <c r="D7" s="171">
        <v>81</v>
      </c>
    </row>
    <row r="8" spans="2:4" x14ac:dyDescent="0.3">
      <c r="B8" s="51">
        <v>3</v>
      </c>
      <c r="C8" s="52" t="s">
        <v>2</v>
      </c>
      <c r="D8" s="171">
        <v>81</v>
      </c>
    </row>
    <row r="9" spans="2:4" x14ac:dyDescent="0.3">
      <c r="B9" s="51">
        <v>4</v>
      </c>
      <c r="C9" s="52" t="s">
        <v>3</v>
      </c>
      <c r="D9" s="171">
        <v>4</v>
      </c>
    </row>
    <row r="10" spans="2:4" x14ac:dyDescent="0.3">
      <c r="B10" s="51">
        <v>11</v>
      </c>
      <c r="C10" s="52" t="s">
        <v>4</v>
      </c>
      <c r="D10" s="171">
        <v>83</v>
      </c>
    </row>
    <row r="11" spans="2:4" x14ac:dyDescent="0.3">
      <c r="B11" s="51">
        <v>12</v>
      </c>
      <c r="C11" s="52" t="s">
        <v>5</v>
      </c>
      <c r="D11" s="171">
        <v>83</v>
      </c>
    </row>
    <row r="12" spans="2:4" x14ac:dyDescent="0.3">
      <c r="B12" s="51">
        <v>13</v>
      </c>
      <c r="C12" s="52" t="s">
        <v>6</v>
      </c>
      <c r="D12" s="171">
        <v>83</v>
      </c>
    </row>
    <row r="13" spans="2:4" x14ac:dyDescent="0.3">
      <c r="B13" s="51">
        <v>14</v>
      </c>
      <c r="C13" s="52" t="s">
        <v>7</v>
      </c>
      <c r="D13" s="171">
        <v>83</v>
      </c>
    </row>
    <row r="14" spans="2:4" x14ac:dyDescent="0.3">
      <c r="B14" s="51">
        <v>15</v>
      </c>
      <c r="C14" s="52" t="s">
        <v>8</v>
      </c>
      <c r="D14" s="171">
        <v>83</v>
      </c>
    </row>
    <row r="15" spans="2:4" x14ac:dyDescent="0.3">
      <c r="B15" s="51">
        <v>16</v>
      </c>
      <c r="C15" s="52" t="s">
        <v>9</v>
      </c>
      <c r="D15" s="171">
        <v>83</v>
      </c>
    </row>
    <row r="16" spans="2:4" x14ac:dyDescent="0.3">
      <c r="B16" s="51">
        <v>17</v>
      </c>
      <c r="C16" s="52" t="s">
        <v>10</v>
      </c>
      <c r="D16" s="171">
        <v>83</v>
      </c>
    </row>
    <row r="17" spans="2:4" x14ac:dyDescent="0.3">
      <c r="B17" s="51">
        <v>18</v>
      </c>
      <c r="C17" s="52" t="s">
        <v>11</v>
      </c>
      <c r="D17" s="171">
        <v>83</v>
      </c>
    </row>
    <row r="18" spans="2:4" x14ac:dyDescent="0.3">
      <c r="B18" s="51">
        <v>19</v>
      </c>
      <c r="C18" s="52" t="s">
        <v>12</v>
      </c>
      <c r="D18" s="171">
        <v>83</v>
      </c>
    </row>
    <row r="19" spans="2:4" x14ac:dyDescent="0.3">
      <c r="B19" s="51">
        <v>20</v>
      </c>
      <c r="C19" s="52" t="s">
        <v>13</v>
      </c>
      <c r="D19" s="171">
        <v>83</v>
      </c>
    </row>
    <row r="20" spans="2:4" x14ac:dyDescent="0.3">
      <c r="B20" s="51">
        <v>21</v>
      </c>
      <c r="C20" s="52" t="s">
        <v>14</v>
      </c>
      <c r="D20" s="171">
        <v>84</v>
      </c>
    </row>
    <row r="21" spans="2:4" x14ac:dyDescent="0.3">
      <c r="B21" s="51">
        <v>22</v>
      </c>
      <c r="C21" s="52" t="s">
        <v>15</v>
      </c>
      <c r="D21" s="171">
        <v>84</v>
      </c>
    </row>
    <row r="22" spans="2:4" x14ac:dyDescent="0.3">
      <c r="B22" s="51">
        <v>23</v>
      </c>
      <c r="C22" s="52" t="s">
        <v>16</v>
      </c>
      <c r="D22" s="171">
        <v>84</v>
      </c>
    </row>
    <row r="23" spans="2:4" x14ac:dyDescent="0.3">
      <c r="B23" s="51">
        <v>24</v>
      </c>
      <c r="C23" s="52" t="s">
        <v>17</v>
      </c>
      <c r="D23" s="171">
        <v>84</v>
      </c>
    </row>
    <row r="24" spans="2:4" x14ac:dyDescent="0.3">
      <c r="B24" s="51">
        <v>25</v>
      </c>
      <c r="C24" s="52" t="s">
        <v>18</v>
      </c>
      <c r="D24" s="171">
        <v>84</v>
      </c>
    </row>
    <row r="25" spans="2:4" x14ac:dyDescent="0.3">
      <c r="B25" s="51">
        <v>26</v>
      </c>
      <c r="C25" s="52" t="s">
        <v>216</v>
      </c>
      <c r="D25" s="171">
        <v>84</v>
      </c>
    </row>
    <row r="26" spans="2:4" x14ac:dyDescent="0.3">
      <c r="B26" s="51">
        <v>27</v>
      </c>
      <c r="C26" s="52" t="s">
        <v>19</v>
      </c>
      <c r="D26" s="171">
        <v>27</v>
      </c>
    </row>
    <row r="27" spans="2:4" x14ac:dyDescent="0.3">
      <c r="B27" s="51">
        <v>28</v>
      </c>
      <c r="C27" s="52" t="s">
        <v>20</v>
      </c>
      <c r="D27" s="171">
        <v>86</v>
      </c>
    </row>
    <row r="28" spans="2:4" x14ac:dyDescent="0.3">
      <c r="B28" s="51">
        <v>29</v>
      </c>
      <c r="C28" s="52" t="s">
        <v>21</v>
      </c>
      <c r="D28" s="171">
        <v>86</v>
      </c>
    </row>
    <row r="29" spans="2:4" x14ac:dyDescent="0.3">
      <c r="B29" s="51">
        <v>30</v>
      </c>
      <c r="C29" s="52" t="s">
        <v>22</v>
      </c>
      <c r="D29" s="171">
        <v>86</v>
      </c>
    </row>
    <row r="30" spans="2:4" x14ac:dyDescent="0.3">
      <c r="B30" s="51">
        <v>31</v>
      </c>
      <c r="C30" s="52" t="s">
        <v>23</v>
      </c>
      <c r="D30" s="171">
        <v>86</v>
      </c>
    </row>
    <row r="31" spans="2:4" x14ac:dyDescent="0.3">
      <c r="B31" s="51">
        <v>32</v>
      </c>
      <c r="C31" s="52" t="s">
        <v>24</v>
      </c>
      <c r="D31" s="171">
        <v>87</v>
      </c>
    </row>
    <row r="32" spans="2:4" x14ac:dyDescent="0.3">
      <c r="B32" s="51">
        <v>33</v>
      </c>
      <c r="C32" s="52" t="s">
        <v>25</v>
      </c>
      <c r="D32" s="171">
        <v>87</v>
      </c>
    </row>
    <row r="33" spans="2:4" x14ac:dyDescent="0.3">
      <c r="B33" s="51">
        <v>34</v>
      </c>
      <c r="C33" s="52" t="s">
        <v>26</v>
      </c>
      <c r="D33" s="171">
        <v>87</v>
      </c>
    </row>
    <row r="34" spans="2:4" x14ac:dyDescent="0.3">
      <c r="B34" s="51">
        <v>35</v>
      </c>
      <c r="C34" s="52" t="s">
        <v>27</v>
      </c>
      <c r="D34" s="171">
        <v>88</v>
      </c>
    </row>
    <row r="35" spans="2:4" x14ac:dyDescent="0.3">
      <c r="B35" s="51">
        <v>36</v>
      </c>
      <c r="C35" s="52" t="s">
        <v>28</v>
      </c>
      <c r="D35" s="171">
        <v>88</v>
      </c>
    </row>
    <row r="36" spans="2:4" x14ac:dyDescent="0.3">
      <c r="B36" s="51">
        <v>37</v>
      </c>
      <c r="C36" s="52" t="s">
        <v>29</v>
      </c>
      <c r="D36" s="171">
        <v>88</v>
      </c>
    </row>
    <row r="37" spans="2:4" x14ac:dyDescent="0.3">
      <c r="B37" s="51">
        <v>38</v>
      </c>
      <c r="C37" s="52" t="s">
        <v>30</v>
      </c>
      <c r="D37" s="171">
        <v>88</v>
      </c>
    </row>
    <row r="38" spans="2:4" x14ac:dyDescent="0.3">
      <c r="B38" s="51">
        <v>39</v>
      </c>
      <c r="C38" s="52" t="s">
        <v>31</v>
      </c>
      <c r="D38" s="171">
        <v>88</v>
      </c>
    </row>
    <row r="39" spans="2:4" x14ac:dyDescent="0.3">
      <c r="B39" s="51">
        <v>40</v>
      </c>
      <c r="C39" s="52" t="s">
        <v>32</v>
      </c>
      <c r="D39" s="171">
        <v>88</v>
      </c>
    </row>
    <row r="40" spans="2:4" x14ac:dyDescent="0.3">
      <c r="B40" s="51">
        <v>41</v>
      </c>
      <c r="C40" s="52" t="s">
        <v>33</v>
      </c>
      <c r="D40" s="171">
        <v>88</v>
      </c>
    </row>
    <row r="41" spans="2:4" x14ac:dyDescent="0.3">
      <c r="B41" s="51">
        <v>42</v>
      </c>
      <c r="C41" s="52" t="s">
        <v>34</v>
      </c>
      <c r="D41" s="171">
        <v>89</v>
      </c>
    </row>
    <row r="42" spans="2:4" x14ac:dyDescent="0.3">
      <c r="B42" s="51">
        <v>43</v>
      </c>
      <c r="C42" s="52" t="s">
        <v>35</v>
      </c>
      <c r="D42" s="171">
        <v>89</v>
      </c>
    </row>
    <row r="43" spans="2:4" x14ac:dyDescent="0.3">
      <c r="B43" s="51">
        <v>44</v>
      </c>
      <c r="C43" s="52" t="s">
        <v>36</v>
      </c>
      <c r="D43" s="171">
        <v>89</v>
      </c>
    </row>
    <row r="44" spans="2:4" x14ac:dyDescent="0.3">
      <c r="B44" s="51">
        <v>45</v>
      </c>
      <c r="C44" s="52" t="s">
        <v>37</v>
      </c>
      <c r="D44" s="171">
        <v>89</v>
      </c>
    </row>
    <row r="45" spans="2:4" x14ac:dyDescent="0.3">
      <c r="B45" s="51">
        <v>46</v>
      </c>
      <c r="C45" s="52" t="s">
        <v>38</v>
      </c>
      <c r="D45" s="171">
        <v>89</v>
      </c>
    </row>
    <row r="46" spans="2:4" x14ac:dyDescent="0.3">
      <c r="B46" s="51">
        <v>47</v>
      </c>
      <c r="C46" s="52" t="s">
        <v>39</v>
      </c>
      <c r="D46" s="171">
        <v>89</v>
      </c>
    </row>
    <row r="47" spans="2:4" x14ac:dyDescent="0.3">
      <c r="B47" s="51">
        <v>48</v>
      </c>
      <c r="C47" s="52" t="s">
        <v>40</v>
      </c>
      <c r="D47" s="171">
        <v>89</v>
      </c>
    </row>
    <row r="48" spans="2:4" x14ac:dyDescent="0.3">
      <c r="B48" s="51">
        <v>49</v>
      </c>
      <c r="C48" s="52" t="s">
        <v>41</v>
      </c>
      <c r="D48" s="171">
        <v>89</v>
      </c>
    </row>
    <row r="49" spans="2:4" x14ac:dyDescent="0.3">
      <c r="B49" s="51">
        <v>50</v>
      </c>
      <c r="C49" s="52" t="s">
        <v>42</v>
      </c>
      <c r="D49" s="171">
        <v>91</v>
      </c>
    </row>
    <row r="50" spans="2:4" x14ac:dyDescent="0.3">
      <c r="B50" s="51">
        <v>51</v>
      </c>
      <c r="C50" s="52" t="s">
        <v>43</v>
      </c>
      <c r="D50" s="171">
        <v>51</v>
      </c>
    </row>
    <row r="51" spans="2:4" x14ac:dyDescent="0.3">
      <c r="B51" s="51">
        <v>52</v>
      </c>
      <c r="C51" s="52" t="s">
        <v>44</v>
      </c>
      <c r="D51" s="171">
        <v>52</v>
      </c>
    </row>
    <row r="52" spans="2:4" x14ac:dyDescent="0.3">
      <c r="B52" s="51">
        <v>53</v>
      </c>
      <c r="C52" s="52" t="s">
        <v>45</v>
      </c>
      <c r="D52" s="171">
        <v>53</v>
      </c>
    </row>
    <row r="53" spans="2:4" x14ac:dyDescent="0.3">
      <c r="B53" s="51">
        <v>54</v>
      </c>
      <c r="C53" s="52" t="s">
        <v>46</v>
      </c>
      <c r="D53" s="171">
        <v>91</v>
      </c>
    </row>
    <row r="54" spans="2:4" x14ac:dyDescent="0.3">
      <c r="B54" s="51">
        <v>56</v>
      </c>
      <c r="C54" s="52" t="s">
        <v>47</v>
      </c>
      <c r="D54" s="171">
        <v>91</v>
      </c>
    </row>
    <row r="55" spans="2:4" x14ac:dyDescent="0.3">
      <c r="B55" s="51">
        <v>57</v>
      </c>
      <c r="C55" s="52" t="s">
        <v>48</v>
      </c>
      <c r="D55" s="171">
        <v>91</v>
      </c>
    </row>
    <row r="56" spans="2:4" x14ac:dyDescent="0.3">
      <c r="B56" s="51">
        <v>58</v>
      </c>
      <c r="C56" s="52" t="s">
        <v>49</v>
      </c>
      <c r="D56" s="171">
        <v>91</v>
      </c>
    </row>
    <row r="57" spans="2:4" x14ac:dyDescent="0.3">
      <c r="B57" s="51">
        <v>59</v>
      </c>
      <c r="C57" s="52" t="s">
        <v>50</v>
      </c>
      <c r="D57" s="171">
        <v>91</v>
      </c>
    </row>
    <row r="58" spans="2:4" x14ac:dyDescent="0.3">
      <c r="B58" s="51">
        <v>60</v>
      </c>
      <c r="C58" s="52" t="s">
        <v>51</v>
      </c>
      <c r="D58" s="171">
        <v>91</v>
      </c>
    </row>
    <row r="59" spans="2:4" x14ac:dyDescent="0.3">
      <c r="B59" s="51">
        <v>61</v>
      </c>
      <c r="C59" s="52" t="s">
        <v>52</v>
      </c>
      <c r="D59" s="171">
        <v>91</v>
      </c>
    </row>
    <row r="60" spans="2:4" x14ac:dyDescent="0.3">
      <c r="B60" s="51">
        <v>62</v>
      </c>
      <c r="C60" s="52" t="s">
        <v>53</v>
      </c>
      <c r="D60" s="171">
        <v>91</v>
      </c>
    </row>
    <row r="61" spans="2:4" x14ac:dyDescent="0.3">
      <c r="B61" s="51">
        <v>63</v>
      </c>
      <c r="C61" s="52" t="s">
        <v>54</v>
      </c>
      <c r="D61" s="171">
        <v>90</v>
      </c>
    </row>
    <row r="62" spans="2:4" x14ac:dyDescent="0.3">
      <c r="B62" s="51">
        <v>64</v>
      </c>
      <c r="C62" s="52" t="s">
        <v>55</v>
      </c>
      <c r="D62" s="171">
        <v>90</v>
      </c>
    </row>
    <row r="63" spans="2:4" x14ac:dyDescent="0.3">
      <c r="B63" s="51">
        <v>65</v>
      </c>
      <c r="C63" s="52" t="s">
        <v>56</v>
      </c>
      <c r="D63" s="171">
        <v>90</v>
      </c>
    </row>
    <row r="64" spans="2:4" x14ac:dyDescent="0.3">
      <c r="B64" s="51">
        <v>66</v>
      </c>
      <c r="C64" s="52" t="s">
        <v>57</v>
      </c>
      <c r="D64" s="171">
        <v>93</v>
      </c>
    </row>
    <row r="65" spans="2:4" x14ac:dyDescent="0.3">
      <c r="B65" s="51">
        <v>67</v>
      </c>
      <c r="C65" s="52" t="s">
        <v>58</v>
      </c>
      <c r="D65" s="171">
        <v>93</v>
      </c>
    </row>
    <row r="66" spans="2:4" x14ac:dyDescent="0.3">
      <c r="B66" s="51">
        <v>68</v>
      </c>
      <c r="C66" s="52" t="s">
        <v>59</v>
      </c>
      <c r="D66" s="171">
        <v>93</v>
      </c>
    </row>
    <row r="67" spans="2:4" x14ac:dyDescent="0.3">
      <c r="B67" s="51">
        <v>69</v>
      </c>
      <c r="C67" s="52" t="s">
        <v>60</v>
      </c>
      <c r="D67" s="171">
        <v>93</v>
      </c>
    </row>
    <row r="68" spans="2:4" x14ac:dyDescent="0.3">
      <c r="B68" s="51">
        <v>70</v>
      </c>
      <c r="C68" s="52" t="s">
        <v>61</v>
      </c>
      <c r="D68" s="171">
        <v>93</v>
      </c>
    </row>
    <row r="69" spans="2:4" x14ac:dyDescent="0.3">
      <c r="B69" s="51">
        <v>71</v>
      </c>
      <c r="C69" s="52" t="s">
        <v>62</v>
      </c>
      <c r="D69" s="171">
        <v>94</v>
      </c>
    </row>
    <row r="70" spans="2:4" x14ac:dyDescent="0.3">
      <c r="B70" s="51">
        <v>72</v>
      </c>
      <c r="C70" s="52" t="s">
        <v>63</v>
      </c>
      <c r="D70" s="171">
        <v>94</v>
      </c>
    </row>
    <row r="71" spans="2:4" x14ac:dyDescent="0.3">
      <c r="B71" s="51">
        <v>73</v>
      </c>
      <c r="C71" s="52" t="s">
        <v>64</v>
      </c>
      <c r="D71" s="171">
        <v>94</v>
      </c>
    </row>
    <row r="72" spans="2:4" x14ac:dyDescent="0.3">
      <c r="B72" s="51">
        <v>74</v>
      </c>
      <c r="C72" s="52" t="s">
        <v>65</v>
      </c>
      <c r="D72" s="171">
        <v>74</v>
      </c>
    </row>
    <row r="73" spans="2:4" x14ac:dyDescent="0.3">
      <c r="B73" s="51">
        <v>81</v>
      </c>
      <c r="C73" s="52" t="s">
        <v>66</v>
      </c>
      <c r="D73" s="51"/>
    </row>
    <row r="74" spans="2:4" x14ac:dyDescent="0.3">
      <c r="B74" s="51">
        <v>83</v>
      </c>
      <c r="C74" s="52" t="s">
        <v>67</v>
      </c>
      <c r="D74" s="51"/>
    </row>
    <row r="75" spans="2:4" x14ac:dyDescent="0.3">
      <c r="B75" s="51">
        <v>84</v>
      </c>
      <c r="C75" s="52" t="s">
        <v>68</v>
      </c>
      <c r="D75" s="51"/>
    </row>
    <row r="76" spans="2:4" x14ac:dyDescent="0.3">
      <c r="B76" s="51">
        <v>86</v>
      </c>
      <c r="C76" s="52" t="s">
        <v>69</v>
      </c>
      <c r="D76" s="51"/>
    </row>
    <row r="77" spans="2:4" x14ac:dyDescent="0.3">
      <c r="B77" s="51">
        <v>87</v>
      </c>
      <c r="C77" s="52" t="s">
        <v>70</v>
      </c>
      <c r="D77" s="51"/>
    </row>
    <row r="78" spans="2:4" x14ac:dyDescent="0.3">
      <c r="B78" s="51">
        <v>88</v>
      </c>
      <c r="C78" s="52" t="s">
        <v>71</v>
      </c>
      <c r="D78" s="51"/>
    </row>
    <row r="79" spans="2:4" x14ac:dyDescent="0.3">
      <c r="B79" s="51">
        <v>89</v>
      </c>
      <c r="C79" s="52" t="s">
        <v>72</v>
      </c>
      <c r="D79" s="51"/>
    </row>
    <row r="80" spans="2:4" x14ac:dyDescent="0.3">
      <c r="B80" s="51">
        <v>90</v>
      </c>
      <c r="C80" s="52" t="s">
        <v>73</v>
      </c>
      <c r="D80" s="51"/>
    </row>
    <row r="81" spans="2:4" x14ac:dyDescent="0.3">
      <c r="B81" s="51">
        <v>91</v>
      </c>
      <c r="C81" s="52" t="s">
        <v>74</v>
      </c>
      <c r="D81" s="51"/>
    </row>
    <row r="82" spans="2:4" x14ac:dyDescent="0.3">
      <c r="B82" s="51">
        <v>93</v>
      </c>
      <c r="C82" s="52" t="s">
        <v>75</v>
      </c>
      <c r="D82" s="51"/>
    </row>
    <row r="83" spans="2:4" x14ac:dyDescent="0.3">
      <c r="B83" s="51">
        <v>94</v>
      </c>
      <c r="C83" s="52" t="s">
        <v>76</v>
      </c>
      <c r="D83" s="51"/>
    </row>
    <row r="84" spans="2:4" x14ac:dyDescent="0.3">
      <c r="B84" s="51">
        <v>99</v>
      </c>
      <c r="C84" s="52" t="s">
        <v>115</v>
      </c>
      <c r="D84" s="51"/>
    </row>
    <row r="85" spans="2:4" x14ac:dyDescent="0.3"/>
    <row r="86" spans="2:4" x14ac:dyDescent="0.3">
      <c r="B86" s="20" t="s">
        <v>323</v>
      </c>
      <c r="C86" s="26"/>
      <c r="D86" s="26"/>
    </row>
    <row r="87" spans="2:4" x14ac:dyDescent="0.3"/>
  </sheetData>
  <pageMargins left="0.23622047244094491" right="0.23622047244094491" top="0" bottom="0" header="0.31496062992125984" footer="0.31496062992125984"/>
  <pageSetup paperSize="9" scale="4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">
    <tabColor rgb="FFFF0000"/>
    <pageSetUpPr fitToPage="1"/>
  </sheetPr>
  <dimension ref="A1:P101"/>
  <sheetViews>
    <sheetView showGridLines="0" zoomScale="86" zoomScaleNormal="86" workbookViewId="0">
      <selection activeCell="I59" sqref="I59"/>
    </sheetView>
  </sheetViews>
  <sheetFormatPr defaultColWidth="0" defaultRowHeight="13.2" zeroHeight="1" x14ac:dyDescent="0.25"/>
  <cols>
    <col min="1" max="1" width="3.81640625" style="7" customWidth="1"/>
    <col min="2" max="2" width="19" style="7" customWidth="1"/>
    <col min="3" max="3" width="25.36328125" style="7" bestFit="1" customWidth="1"/>
    <col min="4" max="4" width="12" style="9" customWidth="1"/>
    <col min="5" max="5" width="16.6328125" style="9" bestFit="1" customWidth="1"/>
    <col min="6" max="8" width="12" style="9" customWidth="1"/>
    <col min="9" max="12" width="12" style="7" customWidth="1"/>
    <col min="13" max="13" width="8.90625" style="7" customWidth="1"/>
    <col min="14" max="16" width="0" style="7" hidden="1" customWidth="1"/>
    <col min="17" max="16384" width="8.90625" style="7" hidden="1"/>
  </cols>
  <sheetData>
    <row r="1" spans="2:12" x14ac:dyDescent="0.25"/>
    <row r="2" spans="2:12" x14ac:dyDescent="0.25">
      <c r="B2" s="20" t="s">
        <v>276</v>
      </c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2:12" x14ac:dyDescent="0.25">
      <c r="B3" s="20" t="s">
        <v>376</v>
      </c>
      <c r="C3" s="11"/>
      <c r="D3" s="11"/>
      <c r="E3" s="11"/>
      <c r="F3" s="11"/>
      <c r="G3" s="11"/>
      <c r="H3" s="11"/>
      <c r="I3" s="11"/>
      <c r="J3" s="11"/>
      <c r="K3" s="11"/>
      <c r="L3" s="11"/>
    </row>
    <row r="4" spans="2:12" x14ac:dyDescent="0.25"/>
    <row r="5" spans="2:12" x14ac:dyDescent="0.25">
      <c r="B5" s="58" t="s">
        <v>370</v>
      </c>
      <c r="C5" s="243" t="s">
        <v>293</v>
      </c>
      <c r="D5" s="244" t="s">
        <v>294</v>
      </c>
      <c r="E5" s="245" t="s">
        <v>78</v>
      </c>
      <c r="H5" s="122" t="s">
        <v>116</v>
      </c>
      <c r="I5" s="59"/>
      <c r="J5" s="134"/>
    </row>
    <row r="6" spans="2:12" x14ac:dyDescent="0.25">
      <c r="B6" s="246" t="s">
        <v>117</v>
      </c>
      <c r="C6" s="247" t="s">
        <v>299</v>
      </c>
      <c r="D6" s="248" t="str">
        <f>RIGHT(C6,4)</f>
        <v>2019</v>
      </c>
      <c r="E6" s="249" t="s">
        <v>82</v>
      </c>
      <c r="H6" s="136" t="s">
        <v>133</v>
      </c>
      <c r="I6" s="61"/>
      <c r="J6" s="235">
        <v>0.75</v>
      </c>
    </row>
    <row r="7" spans="2:12" x14ac:dyDescent="0.25">
      <c r="B7" s="246" t="s">
        <v>77</v>
      </c>
      <c r="C7" s="250" t="s">
        <v>305</v>
      </c>
      <c r="D7" s="248" t="str">
        <f>RIGHT(C7,4)</f>
        <v>2019</v>
      </c>
      <c r="E7" s="249" t="s">
        <v>295</v>
      </c>
      <c r="H7" s="136" t="s">
        <v>134</v>
      </c>
      <c r="I7" s="61"/>
      <c r="J7" s="235">
        <v>0.88</v>
      </c>
    </row>
    <row r="8" spans="2:12" x14ac:dyDescent="0.25">
      <c r="B8" s="246" t="s">
        <v>81</v>
      </c>
      <c r="C8" s="250" t="s">
        <v>302</v>
      </c>
      <c r="D8" s="248" t="str">
        <f>RIGHT(C8,4)</f>
        <v>2019</v>
      </c>
      <c r="E8" s="249" t="s">
        <v>295</v>
      </c>
      <c r="H8" s="136" t="s">
        <v>132</v>
      </c>
      <c r="I8" s="61"/>
      <c r="J8" s="235">
        <v>0.53</v>
      </c>
    </row>
    <row r="9" spans="2:12" x14ac:dyDescent="0.25">
      <c r="B9" s="246" t="s">
        <v>83</v>
      </c>
      <c r="C9" s="250" t="s">
        <v>301</v>
      </c>
      <c r="D9" s="248" t="str">
        <f>RIGHT(C9,4)</f>
        <v>2018</v>
      </c>
      <c r="E9" s="249" t="s">
        <v>80</v>
      </c>
      <c r="H9" s="138" t="s">
        <v>87</v>
      </c>
      <c r="I9" s="112"/>
      <c r="J9" s="236">
        <v>0.51</v>
      </c>
    </row>
    <row r="10" spans="2:12" x14ac:dyDescent="0.25">
      <c r="B10" s="246" t="s">
        <v>259</v>
      </c>
      <c r="C10" s="250" t="s">
        <v>265</v>
      </c>
      <c r="D10" s="248" t="str">
        <f>C10</f>
        <v>2015/19</v>
      </c>
      <c r="E10" s="249" t="s">
        <v>82</v>
      </c>
      <c r="I10" s="61"/>
      <c r="J10" s="61"/>
    </row>
    <row r="11" spans="2:12" x14ac:dyDescent="0.25">
      <c r="B11" s="251" t="s">
        <v>95</v>
      </c>
      <c r="C11" s="248" t="str">
        <f>CONCATENATE("Total Cost ",$C$10)</f>
        <v>Total Cost 2015/19</v>
      </c>
      <c r="D11" s="70"/>
      <c r="E11" s="252"/>
      <c r="H11" s="237" t="s">
        <v>372</v>
      </c>
      <c r="I11" s="238"/>
      <c r="J11" s="239">
        <f>Calculation!AE86/Calculation!AB86</f>
        <v>0.53004359155915581</v>
      </c>
    </row>
    <row r="12" spans="2:12" x14ac:dyDescent="0.25">
      <c r="B12" s="251" t="s">
        <v>266</v>
      </c>
      <c r="C12" s="248" t="str">
        <f>CONCATENATE("NLTF ",$C$10)</f>
        <v>NLTF 2015/19</v>
      </c>
      <c r="D12" s="70"/>
      <c r="E12" s="252"/>
      <c r="I12" s="61"/>
      <c r="J12" s="61"/>
    </row>
    <row r="13" spans="2:12" x14ac:dyDescent="0.25">
      <c r="B13" s="253" t="s">
        <v>267</v>
      </c>
      <c r="C13" s="254" t="str">
        <f>CONCATENATE("Local Share ",$C$10)</f>
        <v>Local Share 2015/19</v>
      </c>
      <c r="D13" s="255"/>
      <c r="E13" s="256"/>
      <c r="H13" s="142" t="s">
        <v>373</v>
      </c>
      <c r="I13" s="59"/>
      <c r="J13" s="241">
        <v>7.7992178376824872E-2</v>
      </c>
    </row>
    <row r="14" spans="2:12" x14ac:dyDescent="0.25">
      <c r="H14" s="143" t="s">
        <v>135</v>
      </c>
      <c r="I14" s="61"/>
      <c r="J14" s="144">
        <f>Parameter!J11-Parameter!J8</f>
        <v>4.3591559155786719E-5</v>
      </c>
    </row>
    <row r="15" spans="2:12" x14ac:dyDescent="0.25">
      <c r="H15" s="240" t="s">
        <v>371</v>
      </c>
      <c r="I15" s="154"/>
      <c r="J15" s="145" t="str">
        <f>IF(ABS(J14)&gt;0.01%,"Outside tolerance","Within tolerance")</f>
        <v>Within tolerance</v>
      </c>
    </row>
    <row r="16" spans="2:12" x14ac:dyDescent="0.25">
      <c r="H16" s="215" t="s">
        <v>375</v>
      </c>
      <c r="J16" s="133"/>
    </row>
    <row r="17" spans="2:15" x14ac:dyDescent="0.25"/>
    <row r="18" spans="2:15" x14ac:dyDescent="0.25">
      <c r="B18" s="6"/>
      <c r="D18" s="8"/>
      <c r="E18" s="8"/>
      <c r="F18" s="8"/>
      <c r="G18" s="8"/>
      <c r="H18" s="8"/>
    </row>
    <row r="19" spans="2:15" ht="26.4" x14ac:dyDescent="0.25">
      <c r="B19" s="13" t="s">
        <v>84</v>
      </c>
      <c r="C19" s="13" t="s">
        <v>85</v>
      </c>
      <c r="D19" s="13" t="s">
        <v>117</v>
      </c>
      <c r="E19" s="13" t="s">
        <v>77</v>
      </c>
      <c r="F19" s="13" t="s">
        <v>118</v>
      </c>
      <c r="G19" s="13" t="s">
        <v>81</v>
      </c>
      <c r="H19" s="13" t="s">
        <v>83</v>
      </c>
      <c r="I19" s="13" t="s">
        <v>95</v>
      </c>
      <c r="J19" s="13" t="s">
        <v>96</v>
      </c>
      <c r="K19" s="13" t="s">
        <v>102</v>
      </c>
      <c r="L19" s="13" t="s">
        <v>97</v>
      </c>
    </row>
    <row r="20" spans="2:15" x14ac:dyDescent="0.25">
      <c r="B20" s="51">
        <v>1</v>
      </c>
      <c r="C20" s="46" t="s">
        <v>0</v>
      </c>
      <c r="D20" s="54">
        <f>INDEX(Input_Centreline!$C$5:$J$83,MATCH($C20,Input_Centreline!$C$5:$C$83,0),MATCH(Centreline,Input_Centreline!$C$5:$J$5,0))</f>
        <v>2508.2999999999997</v>
      </c>
      <c r="E20" s="54">
        <f>INDEX('Input_QV Valuation'!$C$5:$Q$83,MATCH($C20,'Input_QV Valuation'!$C$5:$C$83,0),MATCH(Capital_Value,'Input_QV Valuation'!$C$5:$Q$5,0))</f>
        <v>19445705204</v>
      </c>
      <c r="F20" s="46">
        <f t="shared" ref="F20:F51" si="0">D20/E20</f>
        <v>1.2898992212861687E-7</v>
      </c>
      <c r="G20" s="54">
        <f>INDEX('Input_QV Valuation'!$C$5:$Q$83,MATCH($C20,'Input_QV Valuation'!$C$5:$C$83,0),MATCH(Rateable_Units,'Input_QV Valuation'!$C$5:$Q$5,0))</f>
        <v>36929</v>
      </c>
      <c r="H20" s="55">
        <f>INDEX(Input_Deprivation!$B$5:$D$83,MATCH(Parameter!C20,Input_Deprivation!$B$5:$B$83,0),MATCH(Deprivation_Index,Input_Deprivation!$B$5:$D$5,0))</f>
        <v>1113.4297733437543</v>
      </c>
      <c r="I20" s="54">
        <f>INDEX(Input_Costs!$C$5:$AT$83,MATCH($C20,Input_Costs!$C$5:$C$83,0),MATCH(Total_Cost,Input_Costs!$C$5:$AT$5,0))</f>
        <v>119905293</v>
      </c>
      <c r="J20" s="54">
        <f>INDEX(Input_Costs!$C$5:$AT$83,MATCH($C20,Input_Costs!$C$5:$C$83,0),MATCH(NLTF_Cost,Input_Costs!$C$5:$AT$5,0))</f>
        <v>73967164</v>
      </c>
      <c r="K20" s="54">
        <f t="shared" ref="K20:K51" si="1">I20-J20</f>
        <v>45938129</v>
      </c>
      <c r="L20" s="56">
        <f>J20/I20</f>
        <v>0.6168798903648065</v>
      </c>
      <c r="O20" s="17"/>
    </row>
    <row r="21" spans="2:15" x14ac:dyDescent="0.25">
      <c r="B21" s="51">
        <v>2</v>
      </c>
      <c r="C21" s="46" t="s">
        <v>1</v>
      </c>
      <c r="D21" s="54">
        <f>INDEX(Input_Centreline!$C$5:$J$83,MATCH($C21,Input_Centreline!$C$5:$C$83,0),MATCH(Centreline,Input_Centreline!$C$5:$J$5,0))</f>
        <v>1572.1</v>
      </c>
      <c r="E21" s="54">
        <f>INDEX('Input_QV Valuation'!$C$5:$Q$83,MATCH($C21,'Input_QV Valuation'!$C$5:$C$83,0),MATCH(Capital_Value,'Input_QV Valuation'!$C$5:$Q$5,0))</f>
        <v>9989023880</v>
      </c>
      <c r="F21" s="46">
        <f t="shared" si="0"/>
        <v>1.5738274518971317E-7</v>
      </c>
      <c r="G21" s="54">
        <f>INDEX('Input_QV Valuation'!$C$5:$Q$83,MATCH($C21,'Input_QV Valuation'!$C$5:$C$83,0),MATCH(Rateable_Units,'Input_QV Valuation'!$C$5:$Q$5,0))</f>
        <v>14632</v>
      </c>
      <c r="H21" s="55">
        <f>INDEX(Input_Deprivation!$B$5:$D$83,MATCH(Parameter!C21,Input_Deprivation!$B$5:$B$83,0),MATCH(Deprivation_Index,Input_Deprivation!$B$5:$D$5,0))</f>
        <v>1042.4294905462184</v>
      </c>
      <c r="I21" s="54">
        <f>INDEX(Input_Costs!$C$5:$AT$83,MATCH($C21,Input_Costs!$C$5:$C$83,0),MATCH(Total_Cost,Input_Costs!$C$5:$AT$5,0))</f>
        <v>69406347</v>
      </c>
      <c r="J21" s="54">
        <f>INDEX(Input_Costs!$C$5:$AT$83,MATCH($C21,Input_Costs!$C$5:$C$83,0),MATCH(NLTF_Cost,Input_Costs!$C$5:$AT$5,0))</f>
        <v>42581457</v>
      </c>
      <c r="K21" s="54">
        <f t="shared" si="1"/>
        <v>26824890</v>
      </c>
      <c r="L21" s="56">
        <f t="shared" ref="L21:L51" si="2">J21/I21</f>
        <v>0.61350955410461239</v>
      </c>
      <c r="O21" s="17"/>
    </row>
    <row r="22" spans="2:15" x14ac:dyDescent="0.25">
      <c r="B22" s="51">
        <v>3</v>
      </c>
      <c r="C22" s="46" t="s">
        <v>2</v>
      </c>
      <c r="D22" s="54">
        <f>INDEX(Input_Centreline!$C$5:$J$83,MATCH($C22,Input_Centreline!$C$5:$C$83,0),MATCH(Centreline,Input_Centreline!$C$5:$J$5,0))</f>
        <v>1747.7</v>
      </c>
      <c r="E22" s="54">
        <f>INDEX('Input_QV Valuation'!$C$5:$Q$83,MATCH($C22,'Input_QV Valuation'!$C$5:$C$83,0),MATCH(Capital_Value,'Input_QV Valuation'!$C$5:$Q$5,0))</f>
        <v>31545751092.330002</v>
      </c>
      <c r="F22" s="46">
        <f t="shared" si="0"/>
        <v>5.5402072846030092E-8</v>
      </c>
      <c r="G22" s="54">
        <f>INDEX('Input_QV Valuation'!$C$5:$Q$83,MATCH($C22,'Input_QV Valuation'!$C$5:$C$83,0),MATCH(Rateable_Units,'Input_QV Valuation'!$C$5:$Q$5,0))</f>
        <v>44865</v>
      </c>
      <c r="H22" s="55">
        <f>INDEX(Input_Deprivation!$B$5:$D$83,MATCH(Parameter!C22,Input_Deprivation!$B$5:$B$83,0),MATCH(Deprivation_Index,Input_Deprivation!$B$5:$D$5,0))</f>
        <v>1042.8171419152793</v>
      </c>
      <c r="I22" s="54">
        <f>INDEX(Input_Costs!$C$5:$AT$83,MATCH($C22,Input_Costs!$C$5:$C$83,0),MATCH(Total_Cost,Input_Costs!$C$5:$AT$5,0))</f>
        <v>139053895</v>
      </c>
      <c r="J22" s="54">
        <f>INDEX(Input_Costs!$C$5:$AT$83,MATCH($C22,Input_Costs!$C$5:$C$83,0),MATCH(NLTF_Cost,Input_Costs!$C$5:$AT$5,0))</f>
        <v>76205106</v>
      </c>
      <c r="K22" s="54">
        <f t="shared" si="1"/>
        <v>62848789</v>
      </c>
      <c r="L22" s="56">
        <f t="shared" si="2"/>
        <v>0.54802568457359646</v>
      </c>
      <c r="O22" s="17"/>
    </row>
    <row r="23" spans="2:15" x14ac:dyDescent="0.25">
      <c r="B23" s="51">
        <v>4</v>
      </c>
      <c r="C23" s="46" t="s">
        <v>3</v>
      </c>
      <c r="D23" s="54">
        <f>INDEX(Input_Centreline!$C$5:$J$83,MATCH($C23,Input_Centreline!$C$5:$C$83,0),MATCH(Centreline,Input_Centreline!$C$5:$J$5,0))</f>
        <v>7550.3</v>
      </c>
      <c r="E23" s="54">
        <f>INDEX('Input_QV Valuation'!$C$5:$Q$83,MATCH($C23,'Input_QV Valuation'!$C$5:$C$83,0),MATCH(Capital_Value,'Input_QV Valuation'!$C$5:$Q$5,0))</f>
        <v>761449747552.19995</v>
      </c>
      <c r="F23" s="46">
        <f t="shared" si="0"/>
        <v>9.9156904631876601E-9</v>
      </c>
      <c r="G23" s="54">
        <f>INDEX('Input_QV Valuation'!$C$5:$Q$83,MATCH($C23,'Input_QV Valuation'!$C$5:$C$83,0),MATCH(Rateable_Units,'Input_QV Valuation'!$C$5:$Q$5,0))</f>
        <v>564585</v>
      </c>
      <c r="H23" s="55">
        <f>INDEX(Input_Deprivation!$B$5:$D$83,MATCH(Parameter!C23,Input_Deprivation!$B$5:$B$83,0),MATCH(Deprivation_Index,Input_Deprivation!$B$5:$D$5,0))</f>
        <v>1003.8163487728018</v>
      </c>
      <c r="I23" s="54">
        <f>INDEX(Input_Costs!$C$5:$AT$83,MATCH($C23,Input_Costs!$C$5:$C$83,0),MATCH(Total_Cost,Input_Costs!$C$5:$AT$5,0))</f>
        <v>3255485263</v>
      </c>
      <c r="J23" s="54">
        <f>INDEX(Input_Costs!$C$5:$AT$83,MATCH($C23,Input_Costs!$C$5:$C$83,0),MATCH(NLTF_Cost,Input_Costs!$C$5:$AT$5,0))</f>
        <v>1700938363</v>
      </c>
      <c r="K23" s="54">
        <f t="shared" si="1"/>
        <v>1554546900</v>
      </c>
      <c r="L23" s="56">
        <f t="shared" si="2"/>
        <v>0.52248381595576587</v>
      </c>
      <c r="O23" s="17"/>
    </row>
    <row r="24" spans="2:15" x14ac:dyDescent="0.25">
      <c r="B24" s="51">
        <v>11</v>
      </c>
      <c r="C24" s="46" t="s">
        <v>4</v>
      </c>
      <c r="D24" s="54">
        <f>INDEX(Input_Centreline!$C$5:$J$83,MATCH($C24,Input_Centreline!$C$5:$C$83,0),MATCH(Centreline,Input_Centreline!$C$5:$J$5,0))</f>
        <v>683.59999999999991</v>
      </c>
      <c r="E24" s="54">
        <f>INDEX('Input_QV Valuation'!$C$5:$Q$83,MATCH($C24,'Input_QV Valuation'!$C$5:$C$83,0),MATCH(Capital_Value,'Input_QV Valuation'!$C$5:$Q$5,0))</f>
        <v>45788259562.262634</v>
      </c>
      <c r="F24" s="46">
        <f t="shared" si="0"/>
        <v>1.4929591264993249E-8</v>
      </c>
      <c r="G24" s="54">
        <f>INDEX('Input_QV Valuation'!$C$5:$Q$83,MATCH($C24,'Input_QV Valuation'!$C$5:$C$83,0),MATCH(Rateable_Units,'Input_QV Valuation'!$C$5:$Q$5,0))</f>
        <v>60184</v>
      </c>
      <c r="H24" s="55">
        <f>INDEX(Input_Deprivation!$B$5:$D$83,MATCH(Parameter!C24,Input_Deprivation!$B$5:$B$83,0),MATCH(Deprivation_Index,Input_Deprivation!$B$5:$D$5,0))</f>
        <v>1031.3918606386153</v>
      </c>
      <c r="I24" s="54">
        <f>INDEX(Input_Costs!$C$5:$AT$83,MATCH($C24,Input_Costs!$C$5:$C$83,0),MATCH(Total_Cost,Input_Costs!$C$5:$AT$5,0))</f>
        <v>122991041</v>
      </c>
      <c r="J24" s="54">
        <f>INDEX(Input_Costs!$C$5:$AT$83,MATCH($C24,Input_Costs!$C$5:$C$83,0),MATCH(NLTF_Cost,Input_Costs!$C$5:$AT$5,0))</f>
        <v>66230114</v>
      </c>
      <c r="K24" s="54">
        <f t="shared" si="1"/>
        <v>56760927</v>
      </c>
      <c r="L24" s="56">
        <f t="shared" si="2"/>
        <v>0.53849543398856181</v>
      </c>
      <c r="O24" s="17"/>
    </row>
    <row r="25" spans="2:15" x14ac:dyDescent="0.25">
      <c r="B25" s="51">
        <v>12</v>
      </c>
      <c r="C25" s="46" t="s">
        <v>5</v>
      </c>
      <c r="D25" s="54">
        <f>INDEX(Input_Centreline!$C$5:$J$83,MATCH($C25,Input_Centreline!$C$5:$C$83,0),MATCH(Centreline,Input_Centreline!$C$5:$J$5,0))</f>
        <v>631.9</v>
      </c>
      <c r="E25" s="54">
        <f>INDEX('Input_QV Valuation'!$C$5:$Q$83,MATCH($C25,'Input_QV Valuation'!$C$5:$C$83,0),MATCH(Capital_Value,'Input_QV Valuation'!$C$5:$Q$5,0))</f>
        <v>7475563406.2025537</v>
      </c>
      <c r="F25" s="46">
        <f t="shared" si="0"/>
        <v>8.4528745950533429E-8</v>
      </c>
      <c r="G25" s="54">
        <f>INDEX('Input_QV Valuation'!$C$5:$Q$83,MATCH($C25,'Input_QV Valuation'!$C$5:$C$83,0),MATCH(Rateable_Units,'Input_QV Valuation'!$C$5:$Q$5,0))</f>
        <v>11100</v>
      </c>
      <c r="H25" s="55">
        <f>INDEX(Input_Deprivation!$B$5:$D$83,MATCH(Parameter!C25,Input_Deprivation!$B$5:$B$83,0),MATCH(Deprivation_Index,Input_Deprivation!$B$5:$D$5,0))</f>
        <v>1055.1534653465346</v>
      </c>
      <c r="I25" s="54">
        <f>INDEX(Input_Costs!$C$5:$AT$83,MATCH($C25,Input_Costs!$C$5:$C$83,0),MATCH(Total_Cost,Input_Costs!$C$5:$AT$5,0))</f>
        <v>23338105</v>
      </c>
      <c r="J25" s="54">
        <f>INDEX(Input_Costs!$C$5:$AT$83,MATCH($C25,Input_Costs!$C$5:$C$83,0),MATCH(NLTF_Cost,Input_Costs!$C$5:$AT$5,0))</f>
        <v>13701736</v>
      </c>
      <c r="K25" s="54">
        <f t="shared" si="1"/>
        <v>9636369</v>
      </c>
      <c r="L25" s="56">
        <f t="shared" si="2"/>
        <v>0.58709719576632291</v>
      </c>
      <c r="O25" s="17"/>
    </row>
    <row r="26" spans="2:15" x14ac:dyDescent="0.25">
      <c r="B26" s="51">
        <v>13</v>
      </c>
      <c r="C26" s="46" t="s">
        <v>6</v>
      </c>
      <c r="D26" s="54">
        <f>INDEX(Input_Centreline!$C$5:$J$83,MATCH($C26,Input_Centreline!$C$5:$C$83,0),MATCH(Centreline,Input_Centreline!$C$5:$J$5,0))</f>
        <v>1010</v>
      </c>
      <c r="E26" s="54">
        <f>INDEX('Input_QV Valuation'!$C$5:$Q$83,MATCH($C26,'Input_QV Valuation'!$C$5:$C$83,0),MATCH(Capital_Value,'Input_QV Valuation'!$C$5:$Q$5,0))</f>
        <v>15887445405.244387</v>
      </c>
      <c r="F26" s="46">
        <f t="shared" si="0"/>
        <v>6.3572209013955303E-8</v>
      </c>
      <c r="G26" s="54">
        <f>INDEX('Input_QV Valuation'!$C$5:$Q$83,MATCH($C26,'Input_QV Valuation'!$C$5:$C$83,0),MATCH(Rateable_Units,'Input_QV Valuation'!$C$5:$Q$5,0))</f>
        <v>14629</v>
      </c>
      <c r="H26" s="55">
        <f>INDEX(Input_Deprivation!$B$5:$D$83,MATCH(Parameter!C26,Input_Deprivation!$B$5:$B$83,0),MATCH(Deprivation_Index,Input_Deprivation!$B$5:$D$5,0))</f>
        <v>1008.0043614794138</v>
      </c>
      <c r="I26" s="54">
        <f>INDEX(Input_Costs!$C$5:$AT$83,MATCH($C26,Input_Costs!$C$5:$C$83,0),MATCH(Total_Cost,Input_Costs!$C$5:$AT$5,0))</f>
        <v>45715659</v>
      </c>
      <c r="J26" s="54">
        <f>INDEX(Input_Costs!$C$5:$AT$83,MATCH($C26,Input_Costs!$C$5:$C$83,0),MATCH(NLTF_Cost,Input_Costs!$C$5:$AT$5,0))</f>
        <v>23804886</v>
      </c>
      <c r="K26" s="54">
        <f t="shared" si="1"/>
        <v>21910773</v>
      </c>
      <c r="L26" s="56">
        <f t="shared" si="2"/>
        <v>0.5207162386087445</v>
      </c>
      <c r="O26" s="17"/>
    </row>
    <row r="27" spans="2:15" x14ac:dyDescent="0.25">
      <c r="B27" s="51">
        <v>14</v>
      </c>
      <c r="C27" s="46" t="s">
        <v>7</v>
      </c>
      <c r="D27" s="54">
        <f>INDEX(Input_Centreline!$C$5:$J$83,MATCH($C27,Input_Centreline!$C$5:$C$83,0),MATCH(Centreline,Input_Centreline!$C$5:$J$5,0))</f>
        <v>803.9</v>
      </c>
      <c r="E27" s="54">
        <f>INDEX('Input_QV Valuation'!$C$5:$Q$83,MATCH($C27,'Input_QV Valuation'!$C$5:$C$83,0),MATCH(Capital_Value,'Input_QV Valuation'!$C$5:$Q$5,0))</f>
        <v>4878545574.125</v>
      </c>
      <c r="F27" s="46">
        <f t="shared" si="0"/>
        <v>1.6478271808379793E-7</v>
      </c>
      <c r="G27" s="54">
        <f>INDEX('Input_QV Valuation'!$C$5:$Q$83,MATCH($C27,'Input_QV Valuation'!$C$5:$C$83,0),MATCH(Rateable_Units,'Input_QV Valuation'!$C$5:$Q$5,0))</f>
        <v>4933</v>
      </c>
      <c r="H27" s="55">
        <f>INDEX(Input_Deprivation!$B$5:$D$83,MATCH(Parameter!C27,Input_Deprivation!$B$5:$B$83,0),MATCH(Deprivation_Index,Input_Deprivation!$B$5:$D$5,0))</f>
        <v>1026.8116458704694</v>
      </c>
      <c r="I27" s="54">
        <f>INDEX(Input_Costs!$C$5:$AT$83,MATCH($C27,Input_Costs!$C$5:$C$83,0),MATCH(Total_Cost,Input_Costs!$C$5:$AT$5,0))</f>
        <v>26624221</v>
      </c>
      <c r="J27" s="54">
        <f>INDEX(Input_Costs!$C$5:$AT$83,MATCH($C27,Input_Costs!$C$5:$C$83,0),MATCH(NLTF_Cost,Input_Costs!$C$5:$AT$5,0))</f>
        <v>15209115</v>
      </c>
      <c r="K27" s="54">
        <f t="shared" si="1"/>
        <v>11415106</v>
      </c>
      <c r="L27" s="56">
        <f t="shared" si="2"/>
        <v>0.57125107998465008</v>
      </c>
      <c r="O27" s="17"/>
    </row>
    <row r="28" spans="2:15" x14ac:dyDescent="0.25">
      <c r="B28" s="51">
        <v>15</v>
      </c>
      <c r="C28" s="46" t="s">
        <v>8</v>
      </c>
      <c r="D28" s="54">
        <f>INDEX(Input_Centreline!$C$5:$J$83,MATCH($C28,Input_Centreline!$C$5:$C$83,0),MATCH(Centreline,Input_Centreline!$C$5:$J$5,0))</f>
        <v>516.30000000000007</v>
      </c>
      <c r="E28" s="54">
        <f>INDEX('Input_QV Valuation'!$C$5:$Q$83,MATCH($C28,'Input_QV Valuation'!$C$5:$C$83,0),MATCH(Capital_Value,'Input_QV Valuation'!$C$5:$Q$5,0))</f>
        <v>7208091816.534874</v>
      </c>
      <c r="F28" s="46">
        <f t="shared" si="0"/>
        <v>7.1627833432371503E-8</v>
      </c>
      <c r="G28" s="54">
        <f>INDEX('Input_QV Valuation'!$C$5:$Q$83,MATCH($C28,'Input_QV Valuation'!$C$5:$C$83,0),MATCH(Rateable_Units,'Input_QV Valuation'!$C$5:$Q$5,0))</f>
        <v>10101</v>
      </c>
      <c r="H28" s="55">
        <f>INDEX(Input_Deprivation!$B$5:$D$83,MATCH(Parameter!C28,Input_Deprivation!$B$5:$B$83,0),MATCH(Deprivation_Index,Input_Deprivation!$B$5:$D$5,0))</f>
        <v>1090.1372084320819</v>
      </c>
      <c r="I28" s="54">
        <f>INDEX(Input_Costs!$C$5:$AT$83,MATCH($C28,Input_Costs!$C$5:$C$83,0),MATCH(Total_Cost,Input_Costs!$C$5:$AT$5,0))</f>
        <v>24777685</v>
      </c>
      <c r="J28" s="54">
        <f>INDEX(Input_Costs!$C$5:$AT$83,MATCH($C28,Input_Costs!$C$5:$C$83,0),MATCH(NLTF_Cost,Input_Costs!$C$5:$AT$5,0))</f>
        <v>14714197</v>
      </c>
      <c r="K28" s="54">
        <f t="shared" si="1"/>
        <v>10063488</v>
      </c>
      <c r="L28" s="56">
        <f t="shared" si="2"/>
        <v>0.5938487392990911</v>
      </c>
      <c r="O28" s="17"/>
    </row>
    <row r="29" spans="2:15" x14ac:dyDescent="0.25">
      <c r="B29" s="51">
        <v>16</v>
      </c>
      <c r="C29" s="46" t="s">
        <v>9</v>
      </c>
      <c r="D29" s="54">
        <f>INDEX(Input_Centreline!$C$5:$J$83,MATCH($C29,Input_Centreline!$C$5:$C$83,0),MATCH(Centreline,Input_Centreline!$C$5:$J$5,0))</f>
        <v>795.69999999999993</v>
      </c>
      <c r="E29" s="54">
        <f>INDEX('Input_QV Valuation'!$C$5:$Q$83,MATCH($C29,'Input_QV Valuation'!$C$5:$C$83,0),MATCH(Capital_Value,'Input_QV Valuation'!$C$5:$Q$5,0))</f>
        <v>19348060515.239998</v>
      </c>
      <c r="F29" s="46">
        <f t="shared" si="0"/>
        <v>4.1125569117030948E-8</v>
      </c>
      <c r="G29" s="54">
        <f>INDEX('Input_QV Valuation'!$C$5:$Q$83,MATCH($C29,'Input_QV Valuation'!$C$5:$C$83,0),MATCH(Rateable_Units,'Input_QV Valuation'!$C$5:$Q$5,0))</f>
        <v>23129</v>
      </c>
      <c r="H29" s="55">
        <f>INDEX(Input_Deprivation!$B$5:$D$83,MATCH(Parameter!C29,Input_Deprivation!$B$5:$B$83,0),MATCH(Deprivation_Index,Input_Deprivation!$B$5:$D$5,0))</f>
        <v>1001.660696999032</v>
      </c>
      <c r="I29" s="54">
        <f>INDEX(Input_Costs!$C$5:$AT$83,MATCH($C29,Input_Costs!$C$5:$C$83,0),MATCH(Total_Cost,Input_Costs!$C$5:$AT$5,0))</f>
        <v>23340318</v>
      </c>
      <c r="J29" s="54">
        <f>INDEX(Input_Costs!$C$5:$AT$83,MATCH($C29,Input_Costs!$C$5:$C$83,0),MATCH(NLTF_Cost,Input_Costs!$C$5:$AT$5,0))</f>
        <v>12384609</v>
      </c>
      <c r="K29" s="54">
        <f t="shared" si="1"/>
        <v>10955709</v>
      </c>
      <c r="L29" s="56">
        <f t="shared" si="2"/>
        <v>0.5306101227926715</v>
      </c>
      <c r="O29" s="17"/>
    </row>
    <row r="30" spans="2:15" x14ac:dyDescent="0.25">
      <c r="B30" s="51">
        <v>17</v>
      </c>
      <c r="C30" s="46" t="s">
        <v>10</v>
      </c>
      <c r="D30" s="54">
        <f>INDEX(Input_Centreline!$C$5:$J$83,MATCH($C30,Input_Centreline!$C$5:$C$83,0),MATCH(Centreline,Input_Centreline!$C$5:$J$5,0))</f>
        <v>701.3</v>
      </c>
      <c r="E30" s="54">
        <f>INDEX('Input_QV Valuation'!$C$5:$Q$83,MATCH($C30,'Input_QV Valuation'!$C$5:$C$83,0),MATCH(Capital_Value,'Input_QV Valuation'!$C$5:$Q$5,0))</f>
        <v>22572856742.993374</v>
      </c>
      <c r="F30" s="46">
        <f t="shared" si="0"/>
        <v>3.1068287367644942E-8</v>
      </c>
      <c r="G30" s="54">
        <f>INDEX('Input_QV Valuation'!$C$5:$Q$83,MATCH($C30,'Input_QV Valuation'!$C$5:$C$83,0),MATCH(Rateable_Units,'Input_QV Valuation'!$C$5:$Q$5,0))</f>
        <v>27816</v>
      </c>
      <c r="H30" s="55">
        <f>INDEX(Input_Deprivation!$B$5:$D$83,MATCH(Parameter!C30,Input_Deprivation!$B$5:$B$83,0),MATCH(Deprivation_Index,Input_Deprivation!$B$5:$D$5,0))</f>
        <v>1009.8807302638178</v>
      </c>
      <c r="I30" s="54">
        <f>INDEX(Input_Costs!$C$5:$AT$83,MATCH($C30,Input_Costs!$C$5:$C$83,0),MATCH(Total_Cost,Input_Costs!$C$5:$AT$5,0))</f>
        <v>51145872</v>
      </c>
      <c r="J30" s="54">
        <f>INDEX(Input_Costs!$C$5:$AT$83,MATCH($C30,Input_Costs!$C$5:$C$83,0),MATCH(NLTF_Cost,Input_Costs!$C$5:$AT$5,0))</f>
        <v>25236473</v>
      </c>
      <c r="K30" s="54">
        <f t="shared" si="1"/>
        <v>25909399</v>
      </c>
      <c r="L30" s="56">
        <f t="shared" si="2"/>
        <v>0.49342150232574</v>
      </c>
      <c r="O30" s="17"/>
    </row>
    <row r="31" spans="2:15" x14ac:dyDescent="0.25">
      <c r="B31" s="51">
        <v>18</v>
      </c>
      <c r="C31" s="46" t="s">
        <v>11</v>
      </c>
      <c r="D31" s="54">
        <f>INDEX(Input_Centreline!$C$5:$J$83,MATCH($C31,Input_Centreline!$C$5:$C$83,0),MATCH(Centreline,Input_Centreline!$C$5:$J$5,0))</f>
        <v>2464.5</v>
      </c>
      <c r="E31" s="54">
        <f>INDEX('Input_QV Valuation'!$C$5:$Q$83,MATCH($C31,'Input_QV Valuation'!$C$5:$C$83,0),MATCH(Capital_Value,'Input_QV Valuation'!$C$5:$Q$5,0))</f>
        <v>31192774533.885769</v>
      </c>
      <c r="F31" s="46">
        <f t="shared" si="0"/>
        <v>7.9008681876718921E-8</v>
      </c>
      <c r="G31" s="54">
        <f>INDEX('Input_QV Valuation'!$C$5:$Q$83,MATCH($C31,'Input_QV Valuation'!$C$5:$C$83,0),MATCH(Rateable_Units,'Input_QV Valuation'!$C$5:$Q$5,0))</f>
        <v>32708</v>
      </c>
      <c r="H31" s="55">
        <f>INDEX(Input_Deprivation!$B$5:$D$83,MATCH(Parameter!C31,Input_Deprivation!$B$5:$B$83,0),MATCH(Deprivation_Index,Input_Deprivation!$B$5:$D$5,0))</f>
        <v>1003.3650749583564</v>
      </c>
      <c r="I31" s="54">
        <f>INDEX(Input_Costs!$C$5:$AT$83,MATCH($C31,Input_Costs!$C$5:$C$83,0),MATCH(Total_Cost,Input_Costs!$C$5:$AT$5,0))</f>
        <v>133367852</v>
      </c>
      <c r="J31" s="54">
        <f>INDEX(Input_Costs!$C$5:$AT$83,MATCH($C31,Input_Costs!$C$5:$C$83,0),MATCH(NLTF_Cost,Input_Costs!$C$5:$AT$5,0))</f>
        <v>70786826</v>
      </c>
      <c r="K31" s="54">
        <f t="shared" si="1"/>
        <v>62581026</v>
      </c>
      <c r="L31" s="56">
        <f t="shared" si="2"/>
        <v>0.53076378556355541</v>
      </c>
      <c r="O31" s="17"/>
    </row>
    <row r="32" spans="2:15" x14ac:dyDescent="0.25">
      <c r="B32" s="51">
        <v>19</v>
      </c>
      <c r="C32" s="46" t="s">
        <v>12</v>
      </c>
      <c r="D32" s="54">
        <f>INDEX(Input_Centreline!$C$5:$J$83,MATCH($C32,Input_Centreline!$C$5:$C$83,0),MATCH(Centreline,Input_Centreline!$C$5:$J$5,0))</f>
        <v>1105.5</v>
      </c>
      <c r="E32" s="54">
        <f>INDEX('Input_QV Valuation'!$C$5:$Q$83,MATCH($C32,'Input_QV Valuation'!$C$5:$C$83,0),MATCH(Capital_Value,'Input_QV Valuation'!$C$5:$Q$5,0))</f>
        <v>21604084565</v>
      </c>
      <c r="F32" s="46">
        <f t="shared" si="0"/>
        <v>5.117087913046687E-8</v>
      </c>
      <c r="G32" s="54">
        <f>INDEX('Input_QV Valuation'!$C$5:$Q$83,MATCH($C32,'Input_QV Valuation'!$C$5:$C$83,0),MATCH(Rateable_Units,'Input_QV Valuation'!$C$5:$Q$5,0))</f>
        <v>22224</v>
      </c>
      <c r="H32" s="55">
        <f>INDEX(Input_Deprivation!$B$5:$D$83,MATCH(Parameter!C32,Input_Deprivation!$B$5:$B$83,0),MATCH(Deprivation_Index,Input_Deprivation!$B$5:$D$5,0))</f>
        <v>966.18685530691619</v>
      </c>
      <c r="I32" s="54">
        <f>INDEX(Input_Costs!$C$5:$AT$83,MATCH($C32,Input_Costs!$C$5:$C$83,0),MATCH(Total_Cost,Input_Costs!$C$5:$AT$5,0))</f>
        <v>52741168</v>
      </c>
      <c r="J32" s="54">
        <f>INDEX(Input_Costs!$C$5:$AT$83,MATCH($C32,Input_Costs!$C$5:$C$83,0),MATCH(NLTF_Cost,Input_Costs!$C$5:$AT$5,0))</f>
        <v>28018503</v>
      </c>
      <c r="K32" s="54">
        <f t="shared" si="1"/>
        <v>24722665</v>
      </c>
      <c r="L32" s="56">
        <f t="shared" si="2"/>
        <v>0.53124540207376525</v>
      </c>
      <c r="O32" s="17"/>
    </row>
    <row r="33" spans="2:15" x14ac:dyDescent="0.25">
      <c r="B33" s="51">
        <v>20</v>
      </c>
      <c r="C33" s="46" t="s">
        <v>13</v>
      </c>
      <c r="D33" s="54">
        <f>INDEX(Input_Centreline!$C$5:$J$83,MATCH($C33,Input_Centreline!$C$5:$C$83,0),MATCH(Centreline,Input_Centreline!$C$5:$J$5,0))</f>
        <v>1014.4</v>
      </c>
      <c r="E33" s="54">
        <f>INDEX('Input_QV Valuation'!$C$5:$Q$83,MATCH($C33,'Input_QV Valuation'!$C$5:$C$83,0),MATCH(Capital_Value,'Input_QV Valuation'!$C$5:$Q$5,0))</f>
        <v>3838372740.7389946</v>
      </c>
      <c r="F33" s="46">
        <f t="shared" si="0"/>
        <v>2.6427865882683908E-7</v>
      </c>
      <c r="G33" s="54">
        <f>INDEX('Input_QV Valuation'!$C$5:$Q$83,MATCH($C33,'Input_QV Valuation'!$C$5:$C$83,0),MATCH(Rateable_Units,'Input_QV Valuation'!$C$5:$Q$5,0))</f>
        <v>5578</v>
      </c>
      <c r="H33" s="55">
        <f>INDEX(Input_Deprivation!$B$5:$D$83,MATCH(Parameter!C33,Input_Deprivation!$B$5:$B$83,0),MATCH(Deprivation_Index,Input_Deprivation!$B$5:$D$5,0))</f>
        <v>1083.8653970303421</v>
      </c>
      <c r="I33" s="54">
        <f>INDEX(Input_Costs!$C$5:$AT$83,MATCH($C33,Input_Costs!$C$5:$C$83,0),MATCH(Total_Cost,Input_Costs!$C$5:$AT$5,0))</f>
        <v>40503030</v>
      </c>
      <c r="J33" s="54">
        <f>INDEX(Input_Costs!$C$5:$AT$83,MATCH($C33,Input_Costs!$C$5:$C$83,0),MATCH(NLTF_Cost,Input_Costs!$C$5:$AT$5,0))</f>
        <v>26707206</v>
      </c>
      <c r="K33" s="54">
        <f t="shared" si="1"/>
        <v>13795824</v>
      </c>
      <c r="L33" s="56">
        <f t="shared" si="2"/>
        <v>0.65938785320505655</v>
      </c>
      <c r="O33" s="17"/>
    </row>
    <row r="34" spans="2:15" x14ac:dyDescent="0.25">
      <c r="B34" s="51">
        <v>21</v>
      </c>
      <c r="C34" s="46" t="s">
        <v>14</v>
      </c>
      <c r="D34" s="54">
        <f>INDEX(Input_Centreline!$C$5:$J$83,MATCH($C34,Input_Centreline!$C$5:$C$83,0),MATCH(Centreline,Input_Centreline!$C$5:$J$5,0))</f>
        <v>41</v>
      </c>
      <c r="E34" s="54">
        <f>INDEX('Input_QV Valuation'!$C$5:$Q$83,MATCH($C34,'Input_QV Valuation'!$C$5:$C$83,0),MATCH(Capital_Value,'Input_QV Valuation'!$C$5:$Q$5,0))</f>
        <v>1094875745</v>
      </c>
      <c r="F34" s="46">
        <f t="shared" si="0"/>
        <v>3.7447171687961724E-8</v>
      </c>
      <c r="G34" s="54">
        <f>INDEX('Input_QV Valuation'!$C$5:$Q$83,MATCH($C34,'Input_QV Valuation'!$C$5:$C$83,0),MATCH(Rateable_Units,'Input_QV Valuation'!$C$5:$Q$5,0))</f>
        <v>2903</v>
      </c>
      <c r="H34" s="55">
        <f>INDEX(Input_Deprivation!$B$5:$D$83,MATCH(Parameter!C34,Input_Deprivation!$B$5:$B$83,0),MATCH(Deprivation_Index,Input_Deprivation!$B$5:$D$5,0))</f>
        <v>1176.7542016806722</v>
      </c>
      <c r="I34" s="54">
        <f>INDEX(Input_Costs!$C$5:$AT$83,MATCH($C34,Input_Costs!$C$5:$C$83,0),MATCH(Total_Cost,Input_Costs!$C$5:$AT$5,0))</f>
        <v>2667854</v>
      </c>
      <c r="J34" s="54">
        <f>INDEX(Input_Costs!$C$5:$AT$83,MATCH($C34,Input_Costs!$C$5:$C$83,0),MATCH(NLTF_Cost,Input_Costs!$C$5:$AT$5,0))</f>
        <v>1922025</v>
      </c>
      <c r="K34" s="54">
        <f t="shared" si="1"/>
        <v>745829</v>
      </c>
      <c r="L34" s="56">
        <f t="shared" si="2"/>
        <v>0.72043859971347757</v>
      </c>
      <c r="O34" s="17"/>
    </row>
    <row r="35" spans="2:15" x14ac:dyDescent="0.25">
      <c r="B35" s="51">
        <v>22</v>
      </c>
      <c r="C35" s="46" t="s">
        <v>15</v>
      </c>
      <c r="D35" s="54">
        <f>INDEX(Input_Centreline!$C$5:$J$83,MATCH($C35,Input_Centreline!$C$5:$C$83,0),MATCH(Centreline,Input_Centreline!$C$5:$J$5,0))</f>
        <v>336.9</v>
      </c>
      <c r="E35" s="54">
        <f>INDEX('Input_QV Valuation'!$C$5:$Q$83,MATCH($C35,'Input_QV Valuation'!$C$5:$C$83,0),MATCH(Capital_Value,'Input_QV Valuation'!$C$5:$Q$5,0))</f>
        <v>2671584597.5</v>
      </c>
      <c r="F35" s="46">
        <f t="shared" si="0"/>
        <v>1.2610493424586378E-7</v>
      </c>
      <c r="G35" s="54">
        <f>INDEX('Input_QV Valuation'!$C$5:$Q$83,MATCH($C35,'Input_QV Valuation'!$C$5:$C$83,0),MATCH(Rateable_Units,'Input_QV Valuation'!$C$5:$Q$5,0))</f>
        <v>5588</v>
      </c>
      <c r="H35" s="55">
        <f>INDEX(Input_Deprivation!$B$5:$D$83,MATCH(Parameter!C35,Input_Deprivation!$B$5:$B$83,0),MATCH(Deprivation_Index,Input_Deprivation!$B$5:$D$5,0))</f>
        <v>1167.104786545925</v>
      </c>
      <c r="I35" s="54">
        <f>INDEX(Input_Costs!$C$5:$AT$83,MATCH($C35,Input_Costs!$C$5:$C$83,0),MATCH(Total_Cost,Input_Costs!$C$5:$AT$5,0))</f>
        <v>12859546</v>
      </c>
      <c r="J35" s="54">
        <f>INDEX(Input_Costs!$C$5:$AT$83,MATCH($C35,Input_Costs!$C$5:$C$83,0),MATCH(NLTF_Cost,Input_Costs!$C$5:$AT$5,0))</f>
        <v>7815948</v>
      </c>
      <c r="K35" s="54">
        <f t="shared" si="1"/>
        <v>5043598</v>
      </c>
      <c r="L35" s="56">
        <f t="shared" si="2"/>
        <v>0.60779346331511241</v>
      </c>
      <c r="O35" s="17"/>
    </row>
    <row r="36" spans="2:15" x14ac:dyDescent="0.25">
      <c r="B36" s="51">
        <v>23</v>
      </c>
      <c r="C36" s="46" t="s">
        <v>16</v>
      </c>
      <c r="D36" s="54">
        <f>INDEX(Input_Centreline!$C$5:$J$83,MATCH($C36,Input_Centreline!$C$5:$C$83,0),MATCH(Centreline,Input_Centreline!$C$5:$J$5,0))</f>
        <v>1003</v>
      </c>
      <c r="E36" s="54">
        <f>INDEX('Input_QV Valuation'!$C$5:$Q$83,MATCH($C36,'Input_QV Valuation'!$C$5:$C$83,0),MATCH(Capital_Value,'Input_QV Valuation'!$C$5:$Q$5,0))</f>
        <v>19873452995.099998</v>
      </c>
      <c r="F36" s="46">
        <f t="shared" si="0"/>
        <v>5.0469337172926102E-8</v>
      </c>
      <c r="G36" s="54">
        <f>INDEX('Input_QV Valuation'!$C$5:$Q$83,MATCH($C36,'Input_QV Valuation'!$C$5:$C$83,0),MATCH(Rateable_Units,'Input_QV Valuation'!$C$5:$Q$5,0))</f>
        <v>29291</v>
      </c>
      <c r="H36" s="55">
        <f>INDEX(Input_Deprivation!$B$5:$D$83,MATCH(Parameter!C36,Input_Deprivation!$B$5:$B$83,0),MATCH(Deprivation_Index,Input_Deprivation!$B$5:$D$5,0))</f>
        <v>1056.5879923230975</v>
      </c>
      <c r="I36" s="54">
        <f>INDEX(Input_Costs!$C$5:$AT$83,MATCH($C36,Input_Costs!$C$5:$C$83,0),MATCH(Total_Cost,Input_Costs!$C$5:$AT$5,0))</f>
        <v>47365022</v>
      </c>
      <c r="J36" s="54">
        <f>INDEX(Input_Costs!$C$5:$AT$83,MATCH($C36,Input_Costs!$C$5:$C$83,0),MATCH(NLTF_Cost,Input_Costs!$C$5:$AT$5,0))</f>
        <v>25074218</v>
      </c>
      <c r="K36" s="54">
        <f t="shared" si="1"/>
        <v>22290804</v>
      </c>
      <c r="L36" s="56">
        <f t="shared" si="2"/>
        <v>0.52938258954044193</v>
      </c>
      <c r="O36" s="17"/>
    </row>
    <row r="37" spans="2:15" x14ac:dyDescent="0.25">
      <c r="B37" s="51">
        <v>24</v>
      </c>
      <c r="C37" s="46" t="s">
        <v>17</v>
      </c>
      <c r="D37" s="54">
        <f>INDEX(Input_Centreline!$C$5:$J$83,MATCH($C37,Input_Centreline!$C$5:$C$83,0),MATCH(Centreline,Input_Centreline!$C$5:$J$5,0))</f>
        <v>593.5</v>
      </c>
      <c r="E37" s="54">
        <f>INDEX('Input_QV Valuation'!$C$5:$Q$83,MATCH($C37,'Input_QV Valuation'!$C$5:$C$83,0),MATCH(Capital_Value,'Input_QV Valuation'!$C$5:$Q$5,0))</f>
        <v>55741729345</v>
      </c>
      <c r="F37" s="46">
        <f t="shared" si="0"/>
        <v>1.0647319467372008E-8</v>
      </c>
      <c r="G37" s="54">
        <f>INDEX('Input_QV Valuation'!$C$5:$Q$83,MATCH($C37,'Input_QV Valuation'!$C$5:$C$83,0),MATCH(Rateable_Units,'Input_QV Valuation'!$C$5:$Q$5,0))</f>
        <v>58710</v>
      </c>
      <c r="H37" s="55">
        <f>INDEX(Input_Deprivation!$B$5:$D$83,MATCH(Parameter!C37,Input_Deprivation!$B$5:$B$83,0),MATCH(Deprivation_Index,Input_Deprivation!$B$5:$D$5,0))</f>
        <v>984.06684081130913</v>
      </c>
      <c r="I37" s="54">
        <f>INDEX(Input_Costs!$C$5:$AT$83,MATCH($C37,Input_Costs!$C$5:$C$83,0),MATCH(Total_Cost,Input_Costs!$C$5:$AT$5,0))</f>
        <v>129039148</v>
      </c>
      <c r="J37" s="54">
        <f>INDEX(Input_Costs!$C$5:$AT$83,MATCH($C37,Input_Costs!$C$5:$C$83,0),MATCH(NLTF_Cost,Input_Costs!$C$5:$AT$5,0))</f>
        <v>65498019</v>
      </c>
      <c r="K37" s="54">
        <f t="shared" si="1"/>
        <v>63541129</v>
      </c>
      <c r="L37" s="56">
        <f t="shared" si="2"/>
        <v>0.5075825438649052</v>
      </c>
      <c r="O37" s="17"/>
    </row>
    <row r="38" spans="2:15" x14ac:dyDescent="0.25">
      <c r="B38" s="51">
        <v>25</v>
      </c>
      <c r="C38" s="46" t="s">
        <v>18</v>
      </c>
      <c r="D38" s="54">
        <f>INDEX(Input_Centreline!$C$5:$J$83,MATCH($C38,Input_Centreline!$C$5:$C$83,0),MATCH(Centreline,Input_Centreline!$C$5:$J$5,0))</f>
        <v>1061.2</v>
      </c>
      <c r="E38" s="54">
        <f>INDEX('Input_QV Valuation'!$C$5:$Q$83,MATCH($C38,'Input_QV Valuation'!$C$5:$C$83,0),MATCH(Capital_Value,'Input_QV Valuation'!$C$5:$Q$5,0))</f>
        <v>26887523511</v>
      </c>
      <c r="F38" s="46">
        <f t="shared" si="0"/>
        <v>3.9468119835054751E-8</v>
      </c>
      <c r="G38" s="54">
        <f>INDEX('Input_QV Valuation'!$C$5:$Q$83,MATCH($C38,'Input_QV Valuation'!$C$5:$C$83,0),MATCH(Rateable_Units,'Input_QV Valuation'!$C$5:$Q$5,0))</f>
        <v>24610</v>
      </c>
      <c r="H38" s="55">
        <f>INDEX(Input_Deprivation!$B$5:$D$83,MATCH(Parameter!C38,Input_Deprivation!$B$5:$B$83,0),MATCH(Deprivation_Index,Input_Deprivation!$B$5:$D$5,0))</f>
        <v>982.2684053564119</v>
      </c>
      <c r="I38" s="54">
        <f>INDEX(Input_Costs!$C$5:$AT$83,MATCH($C38,Input_Costs!$C$5:$C$83,0),MATCH(Total_Cost,Input_Costs!$C$5:$AT$5,0))</f>
        <v>78673797</v>
      </c>
      <c r="J38" s="54">
        <f>INDEX(Input_Costs!$C$5:$AT$83,MATCH($C38,Input_Costs!$C$5:$C$83,0),MATCH(NLTF_Cost,Input_Costs!$C$5:$AT$5,0))</f>
        <v>39686307</v>
      </c>
      <c r="K38" s="54">
        <f t="shared" si="1"/>
        <v>38987490</v>
      </c>
      <c r="L38" s="56">
        <f t="shared" si="2"/>
        <v>0.5044412309221582</v>
      </c>
      <c r="O38" s="17"/>
    </row>
    <row r="39" spans="2:15" x14ac:dyDescent="0.25">
      <c r="B39" s="51">
        <v>26</v>
      </c>
      <c r="C39" s="46" t="s">
        <v>216</v>
      </c>
      <c r="D39" s="54">
        <f>INDEX(Input_Centreline!$C$5:$J$83,MATCH($C39,Input_Centreline!$C$5:$C$83,0),MATCH(Centreline,Input_Centreline!$C$5:$J$5,0))</f>
        <v>908.69999999999993</v>
      </c>
      <c r="E39" s="54">
        <f>INDEX('Input_QV Valuation'!$C$5:$Q$83,MATCH($C39,'Input_QV Valuation'!$C$5:$C$83,0),MATCH(Capital_Value,'Input_QV Valuation'!$C$5:$Q$5,0))</f>
        <v>10408731824.5</v>
      </c>
      <c r="F39" s="46">
        <f t="shared" si="0"/>
        <v>8.7301701621431754E-8</v>
      </c>
      <c r="G39" s="54">
        <f>INDEX('Input_QV Valuation'!$C$5:$Q$83,MATCH($C39,'Input_QV Valuation'!$C$5:$C$83,0),MATCH(Rateable_Units,'Input_QV Valuation'!$C$5:$Q$5,0))</f>
        <v>15824</v>
      </c>
      <c r="H39" s="55">
        <f>INDEX(Input_Deprivation!$B$5:$D$83,MATCH(Parameter!C39,Input_Deprivation!$B$5:$B$83,0),MATCH(Deprivation_Index,Input_Deprivation!$B$5:$D$5,0))</f>
        <v>1077.8492943548388</v>
      </c>
      <c r="I39" s="54">
        <f>INDEX(Input_Costs!$C$5:$AT$83,MATCH($C39,Input_Costs!$C$5:$C$83,0),MATCH(Total_Cost,Input_Costs!$C$5:$AT$5,0))</f>
        <v>44820333</v>
      </c>
      <c r="J39" s="54">
        <f>INDEX(Input_Costs!$C$5:$AT$83,MATCH($C39,Input_Costs!$C$5:$C$83,0),MATCH(NLTF_Cost,Input_Costs!$C$5:$AT$5,0))</f>
        <v>26064770</v>
      </c>
      <c r="K39" s="54">
        <f t="shared" si="1"/>
        <v>18755563</v>
      </c>
      <c r="L39" s="56">
        <f t="shared" si="2"/>
        <v>0.58153896357708901</v>
      </c>
      <c r="O39" s="17"/>
    </row>
    <row r="40" spans="2:15" x14ac:dyDescent="0.25">
      <c r="B40" s="51">
        <v>27</v>
      </c>
      <c r="C40" s="46" t="s">
        <v>19</v>
      </c>
      <c r="D40" s="54">
        <f>INDEX(Input_Centreline!$C$5:$J$83,MATCH($C40,Input_Centreline!$C$5:$C$83,0),MATCH(Centreline,Input_Centreline!$C$5:$J$5,0))</f>
        <v>1867</v>
      </c>
      <c r="E40" s="54">
        <f>INDEX('Input_QV Valuation'!$C$5:$Q$83,MATCH($C40,'Input_QV Valuation'!$C$5:$C$83,0),MATCH(Capital_Value,'Input_QV Valuation'!$C$5:$Q$5,0))</f>
        <v>15405950675</v>
      </c>
      <c r="F40" s="46">
        <f t="shared" si="0"/>
        <v>1.2118693869568682E-7</v>
      </c>
      <c r="G40" s="54">
        <f>INDEX('Input_QV Valuation'!$C$5:$Q$83,MATCH($C40,'Input_QV Valuation'!$C$5:$C$83,0),MATCH(Rateable_Units,'Input_QV Valuation'!$C$5:$Q$5,0))</f>
        <v>23312</v>
      </c>
      <c r="H40" s="55">
        <f>INDEX(Input_Deprivation!$B$5:$D$83,MATCH(Parameter!C40,Input_Deprivation!$B$5:$B$83,0),MATCH(Deprivation_Index,Input_Deprivation!$B$5:$D$5,0))</f>
        <v>1091.7417155841697</v>
      </c>
      <c r="I40" s="54">
        <f>INDEX(Input_Costs!$C$5:$AT$83,MATCH($C40,Input_Costs!$C$5:$C$83,0),MATCH(Total_Cost,Input_Costs!$C$5:$AT$5,0))</f>
        <v>91854282</v>
      </c>
      <c r="J40" s="54">
        <f>INDEX(Input_Costs!$C$5:$AT$83,MATCH($C40,Input_Costs!$C$5:$C$83,0),MATCH(NLTF_Cost,Input_Costs!$C$5:$AT$5,0))</f>
        <v>58953917</v>
      </c>
      <c r="K40" s="54">
        <f t="shared" si="1"/>
        <v>32900365</v>
      </c>
      <c r="L40" s="56">
        <f t="shared" si="2"/>
        <v>0.64182001879890582</v>
      </c>
      <c r="O40" s="17"/>
    </row>
    <row r="41" spans="2:15" x14ac:dyDescent="0.25">
      <c r="B41" s="51">
        <v>28</v>
      </c>
      <c r="C41" s="46" t="s">
        <v>20</v>
      </c>
      <c r="D41" s="54">
        <f>INDEX(Input_Centreline!$C$5:$J$83,MATCH($C41,Input_Centreline!$C$5:$C$83,0),MATCH(Centreline,Input_Centreline!$C$5:$J$5,0))</f>
        <v>1265.5</v>
      </c>
      <c r="E41" s="54">
        <f>INDEX('Input_QV Valuation'!$C$5:$Q$83,MATCH($C41,'Input_QV Valuation'!$C$5:$C$83,0),MATCH(Capital_Value,'Input_QV Valuation'!$C$5:$Q$5,0))</f>
        <v>6518783005</v>
      </c>
      <c r="F41" s="46">
        <f t="shared" si="0"/>
        <v>1.9413132773852779E-7</v>
      </c>
      <c r="G41" s="54">
        <f>INDEX('Input_QV Valuation'!$C$5:$Q$83,MATCH($C41,'Input_QV Valuation'!$C$5:$C$83,0),MATCH(Rateable_Units,'Input_QV Valuation'!$C$5:$Q$5,0))</f>
        <v>7471</v>
      </c>
      <c r="H41" s="55">
        <f>INDEX(Input_Deprivation!$B$5:$D$83,MATCH(Parameter!C41,Input_Deprivation!$B$5:$B$83,0),MATCH(Deprivation_Index,Input_Deprivation!$B$5:$D$5,0))</f>
        <v>1005.2979851537646</v>
      </c>
      <c r="I41" s="54">
        <f>INDEX(Input_Costs!$C$5:$AT$83,MATCH($C41,Input_Costs!$C$5:$C$83,0),MATCH(Total_Cost,Input_Costs!$C$5:$AT$5,0))</f>
        <v>43000883</v>
      </c>
      <c r="J41" s="54">
        <f>INDEX(Input_Costs!$C$5:$AT$83,MATCH($C41,Input_Costs!$C$5:$C$83,0),MATCH(NLTF_Cost,Input_Costs!$C$5:$AT$5,0))</f>
        <v>25800529</v>
      </c>
      <c r="K41" s="54">
        <f t="shared" si="1"/>
        <v>17200354</v>
      </c>
      <c r="L41" s="56">
        <f t="shared" si="2"/>
        <v>0.59999998139573085</v>
      </c>
      <c r="O41" s="17"/>
    </row>
    <row r="42" spans="2:15" x14ac:dyDescent="0.25">
      <c r="B42" s="51">
        <v>29</v>
      </c>
      <c r="C42" s="46" t="s">
        <v>21</v>
      </c>
      <c r="D42" s="54">
        <f>INDEX(Input_Centreline!$C$5:$J$83,MATCH($C42,Input_Centreline!$C$5:$C$83,0),MATCH(Centreline,Input_Centreline!$C$5:$J$5,0))</f>
        <v>1646.5</v>
      </c>
      <c r="E42" s="54">
        <f>INDEX('Input_QV Valuation'!$C$5:$Q$83,MATCH($C42,'Input_QV Valuation'!$C$5:$C$83,0),MATCH(Capital_Value,'Input_QV Valuation'!$C$5:$Q$5,0))</f>
        <v>26795392807.850006</v>
      </c>
      <c r="F42" s="46">
        <f t="shared" si="0"/>
        <v>6.1447130549907053E-8</v>
      </c>
      <c r="G42" s="54">
        <f>INDEX('Input_QV Valuation'!$C$5:$Q$83,MATCH($C42,'Input_QV Valuation'!$C$5:$C$83,0),MATCH(Rateable_Units,'Input_QV Valuation'!$C$5:$Q$5,0))</f>
        <v>31332</v>
      </c>
      <c r="H42" s="55">
        <f>INDEX(Input_Deprivation!$B$5:$D$83,MATCH(Parameter!C42,Input_Deprivation!$B$5:$B$83,0),MATCH(Deprivation_Index,Input_Deprivation!$B$5:$D$5,0))</f>
        <v>1029.2808720267637</v>
      </c>
      <c r="I42" s="54">
        <f>INDEX(Input_Costs!$C$5:$AT$83,MATCH($C42,Input_Costs!$C$5:$C$83,0),MATCH(Total_Cost,Input_Costs!$C$5:$AT$5,0))</f>
        <v>111472293</v>
      </c>
      <c r="J42" s="54">
        <f>INDEX(Input_Costs!$C$5:$AT$83,MATCH($C42,Input_Costs!$C$5:$C$83,0),MATCH(NLTF_Cost,Input_Costs!$C$5:$AT$5,0))</f>
        <v>62851255</v>
      </c>
      <c r="K42" s="54">
        <f t="shared" si="1"/>
        <v>48621038</v>
      </c>
      <c r="L42" s="56">
        <f t="shared" si="2"/>
        <v>0.56382849323822559</v>
      </c>
      <c r="O42" s="17"/>
    </row>
    <row r="43" spans="2:15" x14ac:dyDescent="0.25">
      <c r="B43" s="51">
        <v>30</v>
      </c>
      <c r="C43" s="46" t="s">
        <v>22</v>
      </c>
      <c r="D43" s="54">
        <f>INDEX(Input_Centreline!$C$5:$J$83,MATCH($C43,Input_Centreline!$C$5:$C$83,0),MATCH(Centreline,Input_Centreline!$C$5:$J$5,0))</f>
        <v>368.3</v>
      </c>
      <c r="E43" s="54">
        <f>INDEX('Input_QV Valuation'!$C$5:$Q$83,MATCH($C43,'Input_QV Valuation'!$C$5:$C$83,0),MATCH(Capital_Value,'Input_QV Valuation'!$C$5:$Q$5,0))</f>
        <v>17721580600</v>
      </c>
      <c r="F43" s="46">
        <f t="shared" si="0"/>
        <v>2.0782570602082752E-8</v>
      </c>
      <c r="G43" s="54">
        <f>INDEX('Input_QV Valuation'!$C$5:$Q$83,MATCH($C43,'Input_QV Valuation'!$C$5:$C$83,0),MATCH(Rateable_Units,'Input_QV Valuation'!$C$5:$Q$5,0))</f>
        <v>25615</v>
      </c>
      <c r="H43" s="55">
        <f>INDEX(Input_Deprivation!$B$5:$D$83,MATCH(Parameter!C43,Input_Deprivation!$B$5:$B$83,0),MATCH(Deprivation_Index,Input_Deprivation!$B$5:$D$5,0))</f>
        <v>1015.2862444572971</v>
      </c>
      <c r="I43" s="54">
        <f>INDEX(Input_Costs!$C$5:$AT$83,MATCH($C43,Input_Costs!$C$5:$C$83,0),MATCH(Total_Cost,Input_Costs!$C$5:$AT$5,0))</f>
        <v>36674622</v>
      </c>
      <c r="J43" s="54">
        <f>INDEX(Input_Costs!$C$5:$AT$83,MATCH($C43,Input_Costs!$C$5:$C$83,0),MATCH(NLTF_Cost,Input_Costs!$C$5:$AT$5,0))</f>
        <v>19190294</v>
      </c>
      <c r="K43" s="54">
        <f t="shared" si="1"/>
        <v>17484328</v>
      </c>
      <c r="L43" s="56">
        <f t="shared" si="2"/>
        <v>0.52325812655955939</v>
      </c>
      <c r="O43" s="17"/>
    </row>
    <row r="44" spans="2:15" x14ac:dyDescent="0.25">
      <c r="B44" s="51">
        <v>31</v>
      </c>
      <c r="C44" s="46" t="s">
        <v>23</v>
      </c>
      <c r="D44" s="54">
        <f>INDEX(Input_Centreline!$C$5:$J$83,MATCH($C44,Input_Centreline!$C$5:$C$83,0),MATCH(Centreline,Input_Centreline!$C$5:$J$5,0))</f>
        <v>897.60000000000014</v>
      </c>
      <c r="E44" s="54">
        <f>INDEX('Input_QV Valuation'!$C$5:$Q$83,MATCH($C44,'Input_QV Valuation'!$C$5:$C$83,0),MATCH(Capital_Value,'Input_QV Valuation'!$C$5:$Q$5,0))</f>
        <v>2645896790</v>
      </c>
      <c r="F44" s="46">
        <f t="shared" si="0"/>
        <v>3.392422574427025E-7</v>
      </c>
      <c r="G44" s="54">
        <f>INDEX('Input_QV Valuation'!$C$5:$Q$83,MATCH($C44,'Input_QV Valuation'!$C$5:$C$83,0),MATCH(Rateable_Units,'Input_QV Valuation'!$C$5:$Q$5,0))</f>
        <v>6654</v>
      </c>
      <c r="H44" s="55">
        <f>INDEX(Input_Deprivation!$B$5:$D$83,MATCH(Parameter!C44,Input_Deprivation!$B$5:$B$83,0),MATCH(Deprivation_Index,Input_Deprivation!$B$5:$D$5,0))</f>
        <v>1163.6465517241379</v>
      </c>
      <c r="I44" s="54">
        <f>INDEX(Input_Costs!$C$5:$AT$83,MATCH($C44,Input_Costs!$C$5:$C$83,0),MATCH(Total_Cost,Input_Costs!$C$5:$AT$5,0))</f>
        <v>28770771</v>
      </c>
      <c r="J44" s="54">
        <f>INDEX(Input_Costs!$C$5:$AT$83,MATCH($C44,Input_Costs!$C$5:$C$83,0),MATCH(NLTF_Cost,Input_Costs!$C$5:$AT$5,0))</f>
        <v>20412006</v>
      </c>
      <c r="K44" s="54">
        <f t="shared" si="1"/>
        <v>8358765</v>
      </c>
      <c r="L44" s="56">
        <f t="shared" si="2"/>
        <v>0.70947024673061421</v>
      </c>
      <c r="O44" s="17"/>
    </row>
    <row r="45" spans="2:15" x14ac:dyDescent="0.25">
      <c r="B45" s="51">
        <v>32</v>
      </c>
      <c r="C45" s="46" t="s">
        <v>24</v>
      </c>
      <c r="D45" s="54">
        <f>INDEX(Input_Centreline!$C$5:$J$83,MATCH($C45,Input_Centreline!$C$5:$C$83,0),MATCH(Centreline,Input_Centreline!$C$5:$J$5,0))</f>
        <v>1291.8</v>
      </c>
      <c r="E45" s="54">
        <f>INDEX('Input_QV Valuation'!$C$5:$Q$83,MATCH($C45,'Input_QV Valuation'!$C$5:$C$83,0),MATCH(Capital_Value,'Input_QV Valuation'!$C$5:$Q$5,0))</f>
        <v>23246501407.799999</v>
      </c>
      <c r="F45" s="46">
        <f t="shared" si="0"/>
        <v>5.5569652281807738E-8</v>
      </c>
      <c r="G45" s="54">
        <f>INDEX('Input_QV Valuation'!$C$5:$Q$83,MATCH($C45,'Input_QV Valuation'!$C$5:$C$83,0),MATCH(Rateable_Units,'Input_QV Valuation'!$C$5:$Q$5,0))</f>
        <v>35855</v>
      </c>
      <c r="H45" s="55">
        <f>INDEX(Input_Deprivation!$B$5:$D$83,MATCH(Parameter!C45,Input_Deprivation!$B$5:$B$83,0),MATCH(Deprivation_Index,Input_Deprivation!$B$5:$D$5,0))</f>
        <v>997.78893351182512</v>
      </c>
      <c r="I45" s="54">
        <f>INDEX(Input_Costs!$C$5:$AT$83,MATCH($C45,Input_Costs!$C$5:$C$83,0),MATCH(Total_Cost,Input_Costs!$C$5:$AT$5,0))</f>
        <v>58523349</v>
      </c>
      <c r="J45" s="54">
        <f>INDEX(Input_Costs!$C$5:$AT$83,MATCH($C45,Input_Costs!$C$5:$C$83,0),MATCH(NLTF_Cost,Input_Costs!$C$5:$AT$5,0))</f>
        <v>31516904</v>
      </c>
      <c r="K45" s="54">
        <f t="shared" si="1"/>
        <v>27006445</v>
      </c>
      <c r="L45" s="56">
        <f t="shared" si="2"/>
        <v>0.53853555099862793</v>
      </c>
      <c r="O45" s="17"/>
    </row>
    <row r="46" spans="2:15" x14ac:dyDescent="0.25">
      <c r="B46" s="51">
        <v>33</v>
      </c>
      <c r="C46" s="46" t="s">
        <v>25</v>
      </c>
      <c r="D46" s="54">
        <f>INDEX(Input_Centreline!$C$5:$J$83,MATCH($C46,Input_Centreline!$C$5:$C$83,0),MATCH(Centreline,Input_Centreline!$C$5:$J$5,0))</f>
        <v>1632.8</v>
      </c>
      <c r="E46" s="54">
        <f>INDEX('Input_QV Valuation'!$C$5:$Q$83,MATCH($C46,'Input_QV Valuation'!$C$5:$C$83,0),MATCH(Capital_Value,'Input_QV Valuation'!$C$5:$Q$5,0))</f>
        <v>11029340607.5</v>
      </c>
      <c r="F46" s="46">
        <f t="shared" si="0"/>
        <v>1.4804148843582624E-7</v>
      </c>
      <c r="G46" s="54">
        <f>INDEX('Input_QV Valuation'!$C$5:$Q$83,MATCH($C46,'Input_QV Valuation'!$C$5:$C$83,0),MATCH(Rateable_Units,'Input_QV Valuation'!$C$5:$Q$5,0))</f>
        <v>14174</v>
      </c>
      <c r="H46" s="55">
        <f>INDEX(Input_Deprivation!$B$5:$D$83,MATCH(Parameter!C46,Input_Deprivation!$B$5:$B$83,0),MATCH(Deprivation_Index,Input_Deprivation!$B$5:$D$5,0))</f>
        <v>1052.071459694989</v>
      </c>
      <c r="I46" s="54">
        <f>INDEX(Input_Costs!$C$5:$AT$83,MATCH($C46,Input_Costs!$C$5:$C$83,0),MATCH(Total_Cost,Input_Costs!$C$5:$AT$5,0))</f>
        <v>57998890</v>
      </c>
      <c r="J46" s="54">
        <f>INDEX(Input_Costs!$C$5:$AT$83,MATCH($C46,Input_Costs!$C$5:$C$83,0),MATCH(NLTF_Cost,Input_Costs!$C$5:$AT$5,0))</f>
        <v>33139948</v>
      </c>
      <c r="K46" s="54">
        <f t="shared" si="1"/>
        <v>24858942</v>
      </c>
      <c r="L46" s="56">
        <f t="shared" si="2"/>
        <v>0.57138934900305849</v>
      </c>
      <c r="O46" s="17"/>
    </row>
    <row r="47" spans="2:15" x14ac:dyDescent="0.25">
      <c r="B47" s="51">
        <v>34</v>
      </c>
      <c r="C47" s="46" t="s">
        <v>26</v>
      </c>
      <c r="D47" s="54">
        <f>INDEX(Input_Centreline!$C$5:$J$83,MATCH($C47,Input_Centreline!$C$5:$C$83,0),MATCH(Centreline,Input_Centreline!$C$5:$J$5,0))</f>
        <v>612.00000000000011</v>
      </c>
      <c r="E47" s="54">
        <f>INDEX('Input_QV Valuation'!$C$5:$Q$83,MATCH($C47,'Input_QV Valuation'!$C$5:$C$83,0),MATCH(Capital_Value,'Input_QV Valuation'!$C$5:$Q$5,0))</f>
        <v>3550593682.5</v>
      </c>
      <c r="F47" s="46">
        <f t="shared" si="0"/>
        <v>1.7236554073094792E-7</v>
      </c>
      <c r="G47" s="54">
        <f>INDEX('Input_QV Valuation'!$C$5:$Q$83,MATCH($C47,'Input_QV Valuation'!$C$5:$C$83,0),MATCH(Rateable_Units,'Input_QV Valuation'!$C$5:$Q$5,0))</f>
        <v>4745</v>
      </c>
      <c r="H47" s="55">
        <f>INDEX(Input_Deprivation!$B$5:$D$83,MATCH(Parameter!C47,Input_Deprivation!$B$5:$B$83,0),MATCH(Deprivation_Index,Input_Deprivation!$B$5:$D$5,0))</f>
        <v>1024.061075949367</v>
      </c>
      <c r="I47" s="54">
        <f>INDEX(Input_Costs!$C$5:$AT$83,MATCH($C47,Input_Costs!$C$5:$C$83,0),MATCH(Total_Cost,Input_Costs!$C$5:$AT$5,0))</f>
        <v>22162936</v>
      </c>
      <c r="J47" s="54">
        <f>INDEX(Input_Costs!$C$5:$AT$83,MATCH($C47,Input_Costs!$C$5:$C$83,0),MATCH(NLTF_Cost,Input_Costs!$C$5:$AT$5,0))</f>
        <v>12517535</v>
      </c>
      <c r="K47" s="54">
        <f t="shared" si="1"/>
        <v>9645401</v>
      </c>
      <c r="L47" s="56">
        <f t="shared" si="2"/>
        <v>0.56479588263937597</v>
      </c>
      <c r="O47" s="17"/>
    </row>
    <row r="48" spans="2:15" x14ac:dyDescent="0.25">
      <c r="B48" s="51">
        <v>35</v>
      </c>
      <c r="C48" s="46" t="s">
        <v>27</v>
      </c>
      <c r="D48" s="54">
        <f>INDEX(Input_Centreline!$C$5:$J$83,MATCH($C48,Input_Centreline!$C$5:$C$83,0),MATCH(Centreline,Input_Centreline!$C$5:$J$5,0))</f>
        <v>580.6</v>
      </c>
      <c r="E48" s="54">
        <f>INDEX('Input_QV Valuation'!$C$5:$Q$83,MATCH($C48,'Input_QV Valuation'!$C$5:$C$83,0),MATCH(Capital_Value,'Input_QV Valuation'!$C$5:$Q$5,0))</f>
        <v>9066079789</v>
      </c>
      <c r="F48" s="46">
        <f t="shared" si="0"/>
        <v>6.40409100198357E-8</v>
      </c>
      <c r="G48" s="54">
        <f>INDEX('Input_QV Valuation'!$C$5:$Q$83,MATCH($C48,'Input_QV Valuation'!$C$5:$C$83,0),MATCH(Rateable_Units,'Input_QV Valuation'!$C$5:$Q$5,0))</f>
        <v>17716</v>
      </c>
      <c r="H48" s="55">
        <f>INDEX(Input_Deprivation!$B$5:$D$83,MATCH(Parameter!C48,Input_Deprivation!$B$5:$B$83,0),MATCH(Deprivation_Index,Input_Deprivation!$B$5:$D$5,0))</f>
        <v>1066.5490797546013</v>
      </c>
      <c r="I48" s="54">
        <f>INDEX(Input_Costs!$C$5:$AT$83,MATCH($C48,Input_Costs!$C$5:$C$83,0),MATCH(Total_Cost,Input_Costs!$C$5:$AT$5,0))</f>
        <v>28267942</v>
      </c>
      <c r="J48" s="54">
        <f>INDEX(Input_Costs!$C$5:$AT$83,MATCH($C48,Input_Costs!$C$5:$C$83,0),MATCH(NLTF_Cost,Input_Costs!$C$5:$AT$5,0))</f>
        <v>15424561</v>
      </c>
      <c r="K48" s="54">
        <f t="shared" si="1"/>
        <v>12843381</v>
      </c>
      <c r="L48" s="56">
        <f t="shared" si="2"/>
        <v>0.54565560520818956</v>
      </c>
      <c r="O48" s="17"/>
    </row>
    <row r="49" spans="2:15" x14ac:dyDescent="0.25">
      <c r="B49" s="51">
        <v>36</v>
      </c>
      <c r="C49" s="46" t="s">
        <v>28</v>
      </c>
      <c r="D49" s="54">
        <f>INDEX(Input_Centreline!$C$5:$J$83,MATCH($C49,Input_Centreline!$C$5:$C$83,0),MATCH(Centreline,Input_Centreline!$C$5:$J$5,0))</f>
        <v>1371.9</v>
      </c>
      <c r="E49" s="54">
        <f>INDEX('Input_QV Valuation'!$C$5:$Q$83,MATCH($C49,'Input_QV Valuation'!$C$5:$C$83,0),MATCH(Capital_Value,'Input_QV Valuation'!$C$5:$Q$5,0))</f>
        <v>10802468950.339998</v>
      </c>
      <c r="F49" s="46">
        <f t="shared" si="0"/>
        <v>1.269987450375241E-7</v>
      </c>
      <c r="G49" s="54">
        <f>INDEX('Input_QV Valuation'!$C$5:$Q$83,MATCH($C49,'Input_QV Valuation'!$C$5:$C$83,0),MATCH(Rateable_Units,'Input_QV Valuation'!$C$5:$Q$5,0))</f>
        <v>13916</v>
      </c>
      <c r="H49" s="55">
        <f>INDEX(Input_Deprivation!$B$5:$D$83,MATCH(Parameter!C49,Input_Deprivation!$B$5:$B$83,0),MATCH(Deprivation_Index,Input_Deprivation!$B$5:$D$5,0))</f>
        <v>985.63383084577117</v>
      </c>
      <c r="I49" s="54">
        <f>INDEX(Input_Costs!$C$5:$AT$83,MATCH($C49,Input_Costs!$C$5:$C$83,0),MATCH(Total_Cost,Input_Costs!$C$5:$AT$5,0))</f>
        <v>45429845</v>
      </c>
      <c r="J49" s="54">
        <f>INDEX(Input_Costs!$C$5:$AT$83,MATCH($C49,Input_Costs!$C$5:$C$83,0),MATCH(NLTF_Cost,Input_Costs!$C$5:$AT$5,0))</f>
        <v>24363160</v>
      </c>
      <c r="K49" s="54">
        <f t="shared" si="1"/>
        <v>21066685</v>
      </c>
      <c r="L49" s="56">
        <f t="shared" si="2"/>
        <v>0.53628094042583685</v>
      </c>
      <c r="O49" s="17"/>
    </row>
    <row r="50" spans="2:15" x14ac:dyDescent="0.25">
      <c r="B50" s="51">
        <v>37</v>
      </c>
      <c r="C50" s="46" t="s">
        <v>29</v>
      </c>
      <c r="D50" s="54">
        <f>INDEX(Input_Centreline!$C$5:$J$83,MATCH($C50,Input_Centreline!$C$5:$C$83,0),MATCH(Centreline,Input_Centreline!$C$5:$J$5,0))</f>
        <v>554.4</v>
      </c>
      <c r="E50" s="54">
        <f>INDEX('Input_QV Valuation'!$C$5:$Q$83,MATCH($C50,'Input_QV Valuation'!$C$5:$C$83,0),MATCH(Capital_Value,'Input_QV Valuation'!$C$5:$Q$5,0))</f>
        <v>20193086365</v>
      </c>
      <c r="F50" s="46">
        <f t="shared" si="0"/>
        <v>2.7454941259545292E-8</v>
      </c>
      <c r="G50" s="54">
        <f>INDEX('Input_QV Valuation'!$C$5:$Q$83,MATCH($C50,'Input_QV Valuation'!$C$5:$C$83,0),MATCH(Rateable_Units,'Input_QV Valuation'!$C$5:$Q$5,0))</f>
        <v>32847</v>
      </c>
      <c r="H50" s="55">
        <f>INDEX(Input_Deprivation!$B$5:$D$83,MATCH(Parameter!C50,Input_Deprivation!$B$5:$B$83,0),MATCH(Deprivation_Index,Input_Deprivation!$B$5:$D$5,0))</f>
        <v>1007.694255319149</v>
      </c>
      <c r="I50" s="54">
        <f>INDEX(Input_Costs!$C$5:$AT$83,MATCH($C50,Input_Costs!$C$5:$C$83,0),MATCH(Total_Cost,Input_Costs!$C$5:$AT$5,0))</f>
        <v>60399071</v>
      </c>
      <c r="J50" s="54">
        <f>INDEX(Input_Costs!$C$5:$AT$83,MATCH($C50,Input_Costs!$C$5:$C$83,0),MATCH(NLTF_Cost,Input_Costs!$C$5:$AT$5,0))</f>
        <v>32855496</v>
      </c>
      <c r="K50" s="54">
        <f t="shared" si="1"/>
        <v>27543575</v>
      </c>
      <c r="L50" s="56">
        <f t="shared" si="2"/>
        <v>0.54397353230813761</v>
      </c>
      <c r="O50" s="17"/>
    </row>
    <row r="51" spans="2:15" x14ac:dyDescent="0.25">
      <c r="B51" s="51">
        <v>38</v>
      </c>
      <c r="C51" s="46" t="s">
        <v>30</v>
      </c>
      <c r="D51" s="54">
        <f>INDEX(Input_Centreline!$C$5:$J$83,MATCH($C51,Input_Centreline!$C$5:$C$83,0),MATCH(Centreline,Input_Centreline!$C$5:$J$5,0))</f>
        <v>1243</v>
      </c>
      <c r="E51" s="54">
        <f>INDEX('Input_QV Valuation'!$C$5:$Q$83,MATCH($C51,'Input_QV Valuation'!$C$5:$C$83,0),MATCH(Capital_Value,'Input_QV Valuation'!$C$5:$Q$5,0))</f>
        <v>5656380825</v>
      </c>
      <c r="F51" s="46">
        <f t="shared" si="0"/>
        <v>2.1975182337550618E-7</v>
      </c>
      <c r="G51" s="54">
        <f>INDEX('Input_QV Valuation'!$C$5:$Q$83,MATCH($C51,'Input_QV Valuation'!$C$5:$C$83,0),MATCH(Rateable_Units,'Input_QV Valuation'!$C$5:$Q$5,0))</f>
        <v>7973</v>
      </c>
      <c r="H51" s="55">
        <f>INDEX(Input_Deprivation!$B$5:$D$83,MATCH(Parameter!C51,Input_Deprivation!$B$5:$B$83,0),MATCH(Deprivation_Index,Input_Deprivation!$B$5:$D$5,0))</f>
        <v>1027.022958674386</v>
      </c>
      <c r="I51" s="54">
        <f>INDEX(Input_Costs!$C$5:$AT$83,MATCH($C51,Input_Costs!$C$5:$C$83,0),MATCH(Total_Cost,Input_Costs!$C$5:$AT$5,0))</f>
        <v>43663841</v>
      </c>
      <c r="J51" s="54">
        <f>INDEX(Input_Costs!$C$5:$AT$83,MATCH($C51,Input_Costs!$C$5:$C$83,0),MATCH(NLTF_Cost,Input_Costs!$C$5:$AT$5,0))</f>
        <v>27639177</v>
      </c>
      <c r="K51" s="54">
        <f t="shared" si="1"/>
        <v>16024664</v>
      </c>
      <c r="L51" s="56">
        <f t="shared" si="2"/>
        <v>0.63299921323916508</v>
      </c>
      <c r="O51" s="17"/>
    </row>
    <row r="52" spans="2:15" x14ac:dyDescent="0.25">
      <c r="B52" s="51">
        <v>39</v>
      </c>
      <c r="C52" s="46" t="s">
        <v>31</v>
      </c>
      <c r="D52" s="54">
        <f>INDEX(Input_Centreline!$C$5:$J$83,MATCH($C52,Input_Centreline!$C$5:$C$83,0),MATCH(Centreline,Input_Centreline!$C$5:$J$5,0))</f>
        <v>1340</v>
      </c>
      <c r="E52" s="54">
        <f>INDEX('Input_QV Valuation'!$C$5:$Q$83,MATCH($C52,'Input_QV Valuation'!$C$5:$C$83,0),MATCH(Capital_Value,'Input_QV Valuation'!$C$5:$Q$5,0))</f>
        <v>5364667765</v>
      </c>
      <c r="F52" s="46">
        <f t="shared" ref="F52:F83" si="3">D52/E52</f>
        <v>2.4978247651091957E-7</v>
      </c>
      <c r="G52" s="54">
        <f>INDEX('Input_QV Valuation'!$C$5:$Q$83,MATCH($C52,'Input_QV Valuation'!$C$5:$C$83,0),MATCH(Rateable_Units,'Input_QV Valuation'!$C$5:$Q$5,0))</f>
        <v>8941</v>
      </c>
      <c r="H52" s="55">
        <f>INDEX(Input_Deprivation!$B$5:$D$83,MATCH(Parameter!C52,Input_Deprivation!$B$5:$B$83,0),MATCH(Deprivation_Index,Input_Deprivation!$B$5:$D$5,0))</f>
        <v>1088.0904216427004</v>
      </c>
      <c r="I52" s="54">
        <f>INDEX(Input_Costs!$C$5:$AT$83,MATCH($C52,Input_Costs!$C$5:$C$83,0),MATCH(Total_Cost,Input_Costs!$C$5:$AT$5,0))</f>
        <v>47244988</v>
      </c>
      <c r="J52" s="54">
        <f>INDEX(Input_Costs!$C$5:$AT$83,MATCH($C52,Input_Costs!$C$5:$C$83,0),MATCH(NLTF_Cost,Input_Costs!$C$5:$AT$5,0))</f>
        <v>31683758</v>
      </c>
      <c r="K52" s="54">
        <f t="shared" ref="K52:K83" si="4">I52-J52</f>
        <v>15561230</v>
      </c>
      <c r="L52" s="56">
        <f t="shared" ref="L52:L83" si="5">J52/I52</f>
        <v>0.67062686099105373</v>
      </c>
      <c r="O52" s="17"/>
    </row>
    <row r="53" spans="2:15" x14ac:dyDescent="0.25">
      <c r="B53" s="51">
        <v>40</v>
      </c>
      <c r="C53" s="46" t="s">
        <v>32</v>
      </c>
      <c r="D53" s="54">
        <f>INDEX(Input_Centreline!$C$5:$J$83,MATCH($C53,Input_Centreline!$C$5:$C$83,0),MATCH(Centreline,Input_Centreline!$C$5:$J$5,0))</f>
        <v>1905.9</v>
      </c>
      <c r="E53" s="54">
        <f>INDEX('Input_QV Valuation'!$C$5:$Q$83,MATCH($C53,'Input_QV Valuation'!$C$5:$C$83,0),MATCH(Capital_Value,'Input_QV Valuation'!$C$5:$Q$5,0))</f>
        <v>6892174231</v>
      </c>
      <c r="F53" s="46">
        <f t="shared" si="3"/>
        <v>2.7653102433591104E-7</v>
      </c>
      <c r="G53" s="54">
        <f>INDEX('Input_QV Valuation'!$C$5:$Q$83,MATCH($C53,'Input_QV Valuation'!$C$5:$C$83,0),MATCH(Rateable_Units,'Input_QV Valuation'!$C$5:$Q$5,0))</f>
        <v>9778</v>
      </c>
      <c r="H53" s="55">
        <f>INDEX(Input_Deprivation!$B$5:$D$83,MATCH(Parameter!C53,Input_Deprivation!$B$5:$B$83,0),MATCH(Deprivation_Index,Input_Deprivation!$B$5:$D$5,0))</f>
        <v>1045.5158969210174</v>
      </c>
      <c r="I53" s="54">
        <f>INDEX(Input_Costs!$C$5:$AT$83,MATCH($C53,Input_Costs!$C$5:$C$83,0),MATCH(Total_Cost,Input_Costs!$C$5:$AT$5,0))</f>
        <v>47334475</v>
      </c>
      <c r="J53" s="54">
        <f>INDEX(Input_Costs!$C$5:$AT$83,MATCH($C53,Input_Costs!$C$5:$C$83,0),MATCH(NLTF_Cost,Input_Costs!$C$5:$AT$5,0))</f>
        <v>30328990</v>
      </c>
      <c r="K53" s="54">
        <f t="shared" si="4"/>
        <v>17005485</v>
      </c>
      <c r="L53" s="56">
        <f t="shared" si="5"/>
        <v>0.64073785544257122</v>
      </c>
      <c r="O53" s="17"/>
    </row>
    <row r="54" spans="2:15" x14ac:dyDescent="0.25">
      <c r="B54" s="51">
        <v>41</v>
      </c>
      <c r="C54" s="46" t="s">
        <v>33</v>
      </c>
      <c r="D54" s="54">
        <f>INDEX(Input_Centreline!$C$5:$J$83,MATCH($C54,Input_Centreline!$C$5:$C$83,0),MATCH(Centreline,Input_Centreline!$C$5:$J$5,0))</f>
        <v>847.8</v>
      </c>
      <c r="E54" s="54">
        <f>INDEX('Input_QV Valuation'!$C$5:$Q$83,MATCH($C54,'Input_QV Valuation'!$C$5:$C$83,0),MATCH(Capital_Value,'Input_QV Valuation'!$C$5:$Q$5,0))</f>
        <v>9292525343</v>
      </c>
      <c r="F54" s="46">
        <f t="shared" si="3"/>
        <v>9.1234618008186798E-8</v>
      </c>
      <c r="G54" s="54">
        <f>INDEX('Input_QV Valuation'!$C$5:$Q$83,MATCH($C54,'Input_QV Valuation'!$C$5:$C$83,0),MATCH(Rateable_Units,'Input_QV Valuation'!$C$5:$Q$5,0))</f>
        <v>21044</v>
      </c>
      <c r="H54" s="55">
        <f>INDEX(Input_Deprivation!$B$5:$D$83,MATCH(Parameter!C54,Input_Deprivation!$B$5:$B$83,0),MATCH(Deprivation_Index,Input_Deprivation!$B$5:$D$5,0))</f>
        <v>1062.8719883505428</v>
      </c>
      <c r="I54" s="54">
        <f>INDEX(Input_Costs!$C$5:$AT$83,MATCH($C54,Input_Costs!$C$5:$C$83,0),MATCH(Total_Cost,Input_Costs!$C$5:$AT$5,0))</f>
        <v>51608935</v>
      </c>
      <c r="J54" s="54">
        <f>INDEX(Input_Costs!$C$5:$AT$83,MATCH($C54,Input_Costs!$C$5:$C$83,0),MATCH(NLTF_Cost,Input_Costs!$C$5:$AT$5,0))</f>
        <v>32769480</v>
      </c>
      <c r="K54" s="54">
        <f t="shared" si="4"/>
        <v>18839455</v>
      </c>
      <c r="L54" s="56">
        <f t="shared" si="5"/>
        <v>0.63495749331002471</v>
      </c>
      <c r="O54" s="17"/>
    </row>
    <row r="55" spans="2:15" x14ac:dyDescent="0.25">
      <c r="B55" s="51">
        <v>42</v>
      </c>
      <c r="C55" s="46" t="s">
        <v>34</v>
      </c>
      <c r="D55" s="54">
        <f>INDEX(Input_Centreline!$C$5:$J$83,MATCH($C55,Input_Centreline!$C$5:$C$83,0),MATCH(Centreline,Input_Centreline!$C$5:$J$5,0))</f>
        <v>468.40000000000003</v>
      </c>
      <c r="E55" s="54">
        <f>INDEX('Input_QV Valuation'!$C$5:$Q$83,MATCH($C55,'Input_QV Valuation'!$C$5:$C$83,0),MATCH(Capital_Value,'Input_QV Valuation'!$C$5:$Q$5,0))</f>
        <v>3208594760</v>
      </c>
      <c r="F55" s="46">
        <f t="shared" si="3"/>
        <v>1.4598290997645337E-7</v>
      </c>
      <c r="G55" s="54">
        <f>INDEX('Input_QV Valuation'!$C$5:$Q$83,MATCH($C55,'Input_QV Valuation'!$C$5:$C$83,0),MATCH(Rateable_Units,'Input_QV Valuation'!$C$5:$Q$5,0))</f>
        <v>4843</v>
      </c>
      <c r="H55" s="55">
        <f>INDEX(Input_Deprivation!$B$5:$D$83,MATCH(Parameter!C55,Input_Deprivation!$B$5:$B$83,0),MATCH(Deprivation_Index,Input_Deprivation!$B$5:$D$5,0))</f>
        <v>968.58433931484501</v>
      </c>
      <c r="I55" s="54">
        <f>INDEX(Input_Costs!$C$5:$AT$83,MATCH($C55,Input_Costs!$C$5:$C$83,0),MATCH(Total_Cost,Input_Costs!$C$5:$AT$5,0))</f>
        <v>11296276</v>
      </c>
      <c r="J55" s="54">
        <f>INDEX(Input_Costs!$C$5:$AT$83,MATCH($C55,Input_Costs!$C$5:$C$83,0),MATCH(NLTF_Cost,Input_Costs!$C$5:$AT$5,0))</f>
        <v>6085258</v>
      </c>
      <c r="K55" s="54">
        <f t="shared" si="4"/>
        <v>5211018</v>
      </c>
      <c r="L55" s="56">
        <f t="shared" si="5"/>
        <v>0.53869593837827612</v>
      </c>
      <c r="O55" s="17"/>
    </row>
    <row r="56" spans="2:15" x14ac:dyDescent="0.25">
      <c r="B56" s="51">
        <v>43</v>
      </c>
      <c r="C56" s="46" t="s">
        <v>35</v>
      </c>
      <c r="D56" s="54">
        <f>INDEX(Input_Centreline!$C$5:$J$83,MATCH($C56,Input_Centreline!$C$5:$C$83,0),MATCH(Centreline,Input_Centreline!$C$5:$J$5,0))</f>
        <v>414.9</v>
      </c>
      <c r="E56" s="54">
        <f>INDEX('Input_QV Valuation'!$C$5:$Q$83,MATCH($C56,'Input_QV Valuation'!$C$5:$C$83,0),MATCH(Capital_Value,'Input_QV Valuation'!$C$5:$Q$5,0))</f>
        <v>17243709800</v>
      </c>
      <c r="F56" s="46">
        <f t="shared" si="3"/>
        <v>2.4060947720194176E-8</v>
      </c>
      <c r="G56" s="54">
        <f>INDEX('Input_QV Valuation'!$C$5:$Q$83,MATCH($C56,'Input_QV Valuation'!$C$5:$C$83,0),MATCH(Rateable_Units,'Input_QV Valuation'!$C$5:$Q$5,0))</f>
        <v>25098</v>
      </c>
      <c r="H56" s="55">
        <f>INDEX(Input_Deprivation!$B$5:$D$83,MATCH(Parameter!C56,Input_Deprivation!$B$5:$B$83,0),MATCH(Deprivation_Index,Input_Deprivation!$B$5:$D$5,0))</f>
        <v>974.26715850659514</v>
      </c>
      <c r="I56" s="54">
        <f>INDEX(Input_Costs!$C$5:$AT$83,MATCH($C56,Input_Costs!$C$5:$C$83,0),MATCH(Total_Cost,Input_Costs!$C$5:$AT$5,0))</f>
        <v>30909400</v>
      </c>
      <c r="J56" s="54">
        <f>INDEX(Input_Costs!$C$5:$AT$83,MATCH($C56,Input_Costs!$C$5:$C$83,0),MATCH(NLTF_Cost,Input_Costs!$C$5:$AT$5,0))</f>
        <v>16068829</v>
      </c>
      <c r="K56" s="54">
        <f t="shared" si="4"/>
        <v>14840571</v>
      </c>
      <c r="L56" s="56">
        <f t="shared" si="5"/>
        <v>0.51986868072495751</v>
      </c>
      <c r="O56" s="17"/>
    </row>
    <row r="57" spans="2:15" x14ac:dyDescent="0.25">
      <c r="B57" s="51">
        <v>44</v>
      </c>
      <c r="C57" s="46" t="s">
        <v>36</v>
      </c>
      <c r="D57" s="54">
        <f>INDEX(Input_Centreline!$C$5:$J$83,MATCH($C57,Input_Centreline!$C$5:$C$83,0),MATCH(Centreline,Input_Centreline!$C$5:$J$5,0))</f>
        <v>485.2</v>
      </c>
      <c r="E57" s="54">
        <f>INDEX('Input_QV Valuation'!$C$5:$Q$83,MATCH($C57,'Input_QV Valuation'!$C$5:$C$83,0),MATCH(Capital_Value,'Input_QV Valuation'!$C$5:$Q$5,0))</f>
        <v>20746501045</v>
      </c>
      <c r="F57" s="46">
        <f t="shared" si="3"/>
        <v>2.3387076160340558E-8</v>
      </c>
      <c r="G57" s="54">
        <f>INDEX('Input_QV Valuation'!$C$5:$Q$83,MATCH($C57,'Input_QV Valuation'!$C$5:$C$83,0),MATCH(Rateable_Units,'Input_QV Valuation'!$C$5:$Q$5,0))</f>
        <v>39670</v>
      </c>
      <c r="H57" s="55">
        <f>INDEX(Input_Deprivation!$B$5:$D$83,MATCH(Parameter!C57,Input_Deprivation!$B$5:$B$83,0),MATCH(Deprivation_Index,Input_Deprivation!$B$5:$D$5,0))</f>
        <v>1005.4127845230919</v>
      </c>
      <c r="I57" s="54">
        <f>INDEX(Input_Costs!$C$5:$AT$83,MATCH($C57,Input_Costs!$C$5:$C$83,0),MATCH(Total_Cost,Input_Costs!$C$5:$AT$5,0))</f>
        <v>71692584</v>
      </c>
      <c r="J57" s="54">
        <f>INDEX(Input_Costs!$C$5:$AT$83,MATCH($C57,Input_Costs!$C$5:$C$83,0),MATCH(NLTF_Cost,Input_Costs!$C$5:$AT$5,0))</f>
        <v>36617658</v>
      </c>
      <c r="K57" s="54">
        <f t="shared" si="4"/>
        <v>35074926</v>
      </c>
      <c r="L57" s="56">
        <f t="shared" si="5"/>
        <v>0.51075935552832075</v>
      </c>
      <c r="O57" s="17"/>
    </row>
    <row r="58" spans="2:15" x14ac:dyDescent="0.25">
      <c r="B58" s="51">
        <v>45</v>
      </c>
      <c r="C58" s="46" t="s">
        <v>37</v>
      </c>
      <c r="D58" s="54">
        <f>INDEX(Input_Centreline!$C$5:$J$83,MATCH($C58,Input_Centreline!$C$5:$C$83,0),MATCH(Centreline,Input_Centreline!$C$5:$J$5,0))</f>
        <v>807.30000000000007</v>
      </c>
      <c r="E58" s="54">
        <f>INDEX('Input_QV Valuation'!$C$5:$Q$83,MATCH($C58,'Input_QV Valuation'!$C$5:$C$83,0),MATCH(Capital_Value,'Input_QV Valuation'!$C$5:$Q$5,0))</f>
        <v>7030107413</v>
      </c>
      <c r="F58" s="46">
        <f t="shared" si="3"/>
        <v>1.1483466077732319E-7</v>
      </c>
      <c r="G58" s="54">
        <f>INDEX('Input_QV Valuation'!$C$5:$Q$83,MATCH($C58,'Input_QV Valuation'!$C$5:$C$83,0),MATCH(Rateable_Units,'Input_QV Valuation'!$C$5:$Q$5,0))</f>
        <v>12617</v>
      </c>
      <c r="H58" s="55">
        <f>INDEX(Input_Deprivation!$B$5:$D$83,MATCH(Parameter!C58,Input_Deprivation!$B$5:$B$83,0),MATCH(Deprivation_Index,Input_Deprivation!$B$5:$D$5,0))</f>
        <v>1022.879915483038</v>
      </c>
      <c r="I58" s="54">
        <f>INDEX(Input_Costs!$C$5:$AT$83,MATCH($C58,Input_Costs!$C$5:$C$83,0),MATCH(Total_Cost,Input_Costs!$C$5:$AT$5,0))</f>
        <v>30473472</v>
      </c>
      <c r="J58" s="54">
        <f>INDEX(Input_Costs!$C$5:$AT$83,MATCH($C58,Input_Costs!$C$5:$C$83,0),MATCH(NLTF_Cost,Input_Costs!$C$5:$AT$5,0))</f>
        <v>17600974</v>
      </c>
      <c r="K58" s="54">
        <f t="shared" si="4"/>
        <v>12872498</v>
      </c>
      <c r="L58" s="56">
        <f t="shared" si="5"/>
        <v>0.57758347982140001</v>
      </c>
      <c r="O58" s="17"/>
    </row>
    <row r="59" spans="2:15" x14ac:dyDescent="0.25">
      <c r="B59" s="51">
        <v>46</v>
      </c>
      <c r="C59" s="46" t="s">
        <v>38</v>
      </c>
      <c r="D59" s="54">
        <f>INDEX(Input_Centreline!$C$5:$J$83,MATCH($C59,Input_Centreline!$C$5:$C$83,0),MATCH(Centreline,Input_Centreline!$C$5:$J$5,0))</f>
        <v>255.60000000000002</v>
      </c>
      <c r="E59" s="54">
        <f>INDEX('Input_QV Valuation'!$C$5:$Q$83,MATCH($C59,'Input_QV Valuation'!$C$5:$C$83,0),MATCH(Capital_Value,'Input_QV Valuation'!$C$5:$Q$5,0))</f>
        <v>13735896914.5</v>
      </c>
      <c r="F59" s="46">
        <f t="shared" si="3"/>
        <v>1.8608176924375536E-8</v>
      </c>
      <c r="G59" s="54">
        <f>INDEX('Input_QV Valuation'!$C$5:$Q$83,MATCH($C59,'Input_QV Valuation'!$C$5:$C$83,0),MATCH(Rateable_Units,'Input_QV Valuation'!$C$5:$Q$5,0))</f>
        <v>19005</v>
      </c>
      <c r="H59" s="55">
        <f>INDEX(Input_Deprivation!$B$5:$D$83,MATCH(Parameter!C59,Input_Deprivation!$B$5:$B$83,0),MATCH(Deprivation_Index,Input_Deprivation!$B$5:$D$5,0))</f>
        <v>1033.0837090870511</v>
      </c>
      <c r="I59" s="54">
        <f>INDEX(Input_Costs!$C$5:$AT$83,MATCH($C59,Input_Costs!$C$5:$C$83,0),MATCH(Total_Cost,Input_Costs!$C$5:$AT$5,0))</f>
        <v>58869366</v>
      </c>
      <c r="J59" s="54">
        <f>INDEX(Input_Costs!$C$5:$AT$83,MATCH($C59,Input_Costs!$C$5:$C$83,0),MATCH(NLTF_Cost,Input_Costs!$C$5:$AT$5,0))</f>
        <v>32127633</v>
      </c>
      <c r="K59" s="54">
        <f t="shared" si="4"/>
        <v>26741733</v>
      </c>
      <c r="L59" s="56">
        <f t="shared" si="5"/>
        <v>0.54574450487542192</v>
      </c>
      <c r="O59" s="17"/>
    </row>
    <row r="60" spans="2:15" x14ac:dyDescent="0.25">
      <c r="B60" s="51">
        <v>47</v>
      </c>
      <c r="C60" s="46" t="s">
        <v>39</v>
      </c>
      <c r="D60" s="54">
        <f>INDEX(Input_Centreline!$C$5:$J$83,MATCH($C60,Input_Centreline!$C$5:$C$83,0),MATCH(Centreline,Input_Centreline!$C$5:$J$5,0))</f>
        <v>669.1</v>
      </c>
      <c r="E60" s="54">
        <f>INDEX('Input_QV Valuation'!$C$5:$Q$83,MATCH($C60,'Input_QV Valuation'!$C$5:$C$83,0),MATCH(Capital_Value,'Input_QV Valuation'!$C$5:$Q$5,0))</f>
        <v>5287163139</v>
      </c>
      <c r="F60" s="46">
        <f t="shared" si="3"/>
        <v>1.265517977049885E-7</v>
      </c>
      <c r="G60" s="54">
        <f>INDEX('Input_QV Valuation'!$C$5:$Q$83,MATCH($C60,'Input_QV Valuation'!$C$5:$C$83,0),MATCH(Rateable_Units,'Input_QV Valuation'!$C$5:$Q$5,0))</f>
        <v>6755</v>
      </c>
      <c r="H60" s="55">
        <f>INDEX(Input_Deprivation!$B$5:$D$83,MATCH(Parameter!C60,Input_Deprivation!$B$5:$B$83,0),MATCH(Deprivation_Index,Input_Deprivation!$B$5:$D$5,0))</f>
        <v>964.29670641680866</v>
      </c>
      <c r="I60" s="54">
        <f>INDEX(Input_Costs!$C$5:$AT$83,MATCH($C60,Input_Costs!$C$5:$C$83,0),MATCH(Total_Cost,Input_Costs!$C$5:$AT$5,0))</f>
        <v>12955322</v>
      </c>
      <c r="J60" s="54">
        <f>INDEX(Input_Costs!$C$5:$AT$83,MATCH($C60,Input_Costs!$C$5:$C$83,0),MATCH(NLTF_Cost,Input_Costs!$C$5:$AT$5,0))</f>
        <v>6845542</v>
      </c>
      <c r="K60" s="54">
        <f t="shared" si="4"/>
        <v>6109780</v>
      </c>
      <c r="L60" s="56">
        <f t="shared" si="5"/>
        <v>0.52839612940535174</v>
      </c>
      <c r="O60" s="17"/>
    </row>
    <row r="61" spans="2:15" x14ac:dyDescent="0.25">
      <c r="B61" s="51">
        <v>48</v>
      </c>
      <c r="C61" s="46" t="s">
        <v>40</v>
      </c>
      <c r="D61" s="54">
        <f>INDEX(Input_Centreline!$C$5:$J$83,MATCH($C61,Input_Centreline!$C$5:$C$83,0),MATCH(Centreline,Input_Centreline!$C$5:$J$5,0))</f>
        <v>247.7</v>
      </c>
      <c r="E61" s="54">
        <f>INDEX('Input_QV Valuation'!$C$5:$Q$83,MATCH($C61,'Input_QV Valuation'!$C$5:$C$83,0),MATCH(Capital_Value,'Input_QV Valuation'!$C$5:$Q$5,0))</f>
        <v>11369090604.4</v>
      </c>
      <c r="F61" s="46">
        <f t="shared" si="3"/>
        <v>2.1787142755651589E-8</v>
      </c>
      <c r="G61" s="54">
        <f>INDEX('Input_QV Valuation'!$C$5:$Q$83,MATCH($C61,'Input_QV Valuation'!$C$5:$C$83,0),MATCH(Rateable_Units,'Input_QV Valuation'!$C$5:$Q$5,0))</f>
        <v>17131</v>
      </c>
      <c r="H61" s="55">
        <f>INDEX(Input_Deprivation!$B$5:$D$83,MATCH(Parameter!C61,Input_Deprivation!$B$5:$B$83,0),MATCH(Deprivation_Index,Input_Deprivation!$B$5:$D$5,0))</f>
        <v>976.68117029257314</v>
      </c>
      <c r="I61" s="54">
        <f>INDEX(Input_Costs!$C$5:$AT$83,MATCH($C61,Input_Costs!$C$5:$C$83,0),MATCH(Total_Cost,Input_Costs!$C$5:$AT$5,0))</f>
        <v>23018613</v>
      </c>
      <c r="J61" s="54">
        <f>INDEX(Input_Costs!$C$5:$AT$83,MATCH($C61,Input_Costs!$C$5:$C$83,0),MATCH(NLTF_Cost,Input_Costs!$C$5:$AT$5,0))</f>
        <v>12458461</v>
      </c>
      <c r="K61" s="54">
        <f t="shared" si="4"/>
        <v>10560152</v>
      </c>
      <c r="L61" s="56">
        <f t="shared" si="5"/>
        <v>0.54123421771763569</v>
      </c>
      <c r="O61" s="17"/>
    </row>
    <row r="62" spans="2:15" x14ac:dyDescent="0.25">
      <c r="B62" s="51">
        <v>49</v>
      </c>
      <c r="C62" s="46" t="s">
        <v>41</v>
      </c>
      <c r="D62" s="54">
        <f>INDEX(Input_Centreline!$C$5:$J$83,MATCH($C62,Input_Centreline!$C$5:$C$83,0),MATCH(Centreline,Input_Centreline!$C$5:$J$5,0))</f>
        <v>696.5</v>
      </c>
      <c r="E62" s="54">
        <f>INDEX('Input_QV Valuation'!$C$5:$Q$83,MATCH($C62,'Input_QV Valuation'!$C$5:$C$83,0),MATCH(Capital_Value,'Input_QV Valuation'!$C$5:$Q$5,0))</f>
        <v>78552259448.600006</v>
      </c>
      <c r="F62" s="46">
        <f t="shared" si="3"/>
        <v>8.866708671260421E-9</v>
      </c>
      <c r="G62" s="54">
        <f>INDEX('Input_QV Valuation'!$C$5:$Q$83,MATCH($C62,'Input_QV Valuation'!$C$5:$C$83,0),MATCH(Rateable_Units,'Input_QV Valuation'!$C$5:$Q$5,0))</f>
        <v>78731</v>
      </c>
      <c r="H62" s="55">
        <f>INDEX(Input_Deprivation!$B$5:$D$83,MATCH(Parameter!C62,Input_Deprivation!$B$5:$B$83,0),MATCH(Deprivation_Index,Input_Deprivation!$B$5:$D$5,0))</f>
        <v>953.78374818717259</v>
      </c>
      <c r="I62" s="54">
        <f>INDEX(Input_Costs!$C$5:$AT$83,MATCH($C62,Input_Costs!$C$5:$C$83,0),MATCH(Total_Cost,Input_Costs!$C$5:$AT$5,0))</f>
        <v>173072491</v>
      </c>
      <c r="J62" s="54">
        <f>INDEX(Input_Costs!$C$5:$AT$83,MATCH($C62,Input_Costs!$C$5:$C$83,0),MATCH(NLTF_Cost,Input_Costs!$C$5:$AT$5,0))</f>
        <v>92531251</v>
      </c>
      <c r="K62" s="54">
        <f t="shared" si="4"/>
        <v>80541240</v>
      </c>
      <c r="L62" s="56">
        <f t="shared" si="5"/>
        <v>0.53463869656790231</v>
      </c>
      <c r="O62" s="17"/>
    </row>
    <row r="63" spans="2:15" x14ac:dyDescent="0.25">
      <c r="B63" s="51">
        <v>50</v>
      </c>
      <c r="C63" s="46" t="s">
        <v>42</v>
      </c>
      <c r="D63" s="54">
        <f>INDEX(Input_Centreline!$C$5:$J$83,MATCH($C63,Input_Centreline!$C$5:$C$83,0),MATCH(Centreline,Input_Centreline!$C$5:$J$5,0))</f>
        <v>184.5</v>
      </c>
      <c r="E63" s="54">
        <f>INDEX('Input_QV Valuation'!$C$5:$Q$83,MATCH($C63,'Input_QV Valuation'!$C$5:$C$83,0),MATCH(Capital_Value,'Input_QV Valuation'!$C$5:$Q$5,0))</f>
        <v>1692496552.5</v>
      </c>
      <c r="F63" s="46">
        <f t="shared" si="3"/>
        <v>1.0901056178074549E-7</v>
      </c>
      <c r="G63" s="54">
        <f>INDEX('Input_QV Valuation'!$C$5:$Q$83,MATCH($C63,'Input_QV Valuation'!$C$5:$C$83,0),MATCH(Rateable_Units,'Input_QV Valuation'!$C$5:$Q$5,0))</f>
        <v>2981</v>
      </c>
      <c r="H63" s="55">
        <f>INDEX(Input_Deprivation!$B$5:$D$83,MATCH(Parameter!C63,Input_Deprivation!$B$5:$B$83,0),MATCH(Deprivation_Index,Input_Deprivation!$B$5:$D$5,0))</f>
        <v>981.94474290099765</v>
      </c>
      <c r="I63" s="54">
        <f>INDEX(Input_Costs!$C$5:$AT$83,MATCH($C63,Input_Costs!$C$5:$C$83,0),MATCH(Total_Cost,Input_Costs!$C$5:$AT$5,0))</f>
        <v>4222634</v>
      </c>
      <c r="J63" s="54">
        <f>INDEX(Input_Costs!$C$5:$AT$83,MATCH($C63,Input_Costs!$C$5:$C$83,0),MATCH(NLTF_Cost,Input_Costs!$C$5:$AT$5,0))</f>
        <v>2098311</v>
      </c>
      <c r="K63" s="54">
        <f t="shared" si="4"/>
        <v>2124323</v>
      </c>
      <c r="L63" s="56">
        <f t="shared" si="5"/>
        <v>0.49691993196663503</v>
      </c>
      <c r="O63" s="17"/>
    </row>
    <row r="64" spans="2:15" x14ac:dyDescent="0.25">
      <c r="B64" s="51">
        <v>51</v>
      </c>
      <c r="C64" s="46" t="s">
        <v>43</v>
      </c>
      <c r="D64" s="54">
        <f>INDEX(Input_Centreline!$C$5:$J$83,MATCH($C64,Input_Centreline!$C$5:$C$83,0),MATCH(Centreline,Input_Centreline!$C$5:$J$5,0))</f>
        <v>1549.1000000000001</v>
      </c>
      <c r="E64" s="54">
        <f>INDEX('Input_QV Valuation'!$C$5:$Q$83,MATCH($C64,'Input_QV Valuation'!$C$5:$C$83,0),MATCH(Capital_Value,'Input_QV Valuation'!$C$5:$Q$5,0))</f>
        <v>21059258484</v>
      </c>
      <c r="F64" s="46">
        <f t="shared" si="3"/>
        <v>7.3559095215861745E-8</v>
      </c>
      <c r="G64" s="54">
        <f>INDEX('Input_QV Valuation'!$C$5:$Q$83,MATCH($C64,'Input_QV Valuation'!$C$5:$C$83,0),MATCH(Rateable_Units,'Input_QV Valuation'!$C$5:$Q$5,0))</f>
        <v>26478</v>
      </c>
      <c r="H64" s="55">
        <f>INDEX(Input_Deprivation!$B$5:$D$83,MATCH(Parameter!C64,Input_Deprivation!$B$5:$B$83,0),MATCH(Deprivation_Index,Input_Deprivation!$B$5:$D$5,0))</f>
        <v>972.93587631478897</v>
      </c>
      <c r="I64" s="54">
        <f>INDEX(Input_Costs!$C$5:$AT$83,MATCH($C64,Input_Costs!$C$5:$C$83,0),MATCH(Total_Cost,Input_Costs!$C$5:$AT$5,0))</f>
        <v>56972673</v>
      </c>
      <c r="J64" s="54">
        <f>INDEX(Input_Costs!$C$5:$AT$83,MATCH($C64,Input_Costs!$C$5:$C$83,0),MATCH(NLTF_Cost,Input_Costs!$C$5:$AT$5,0))</f>
        <v>30009717</v>
      </c>
      <c r="K64" s="54">
        <f t="shared" si="4"/>
        <v>26962956</v>
      </c>
      <c r="L64" s="56">
        <f t="shared" si="5"/>
        <v>0.52673879282441249</v>
      </c>
      <c r="O64" s="17"/>
    </row>
    <row r="65" spans="2:15" x14ac:dyDescent="0.25">
      <c r="B65" s="51">
        <v>52</v>
      </c>
      <c r="C65" s="46" t="s">
        <v>44</v>
      </c>
      <c r="D65" s="54">
        <f>INDEX(Input_Centreline!$C$5:$J$83,MATCH($C65,Input_Centreline!$C$5:$C$83,0),MATCH(Centreline,Input_Centreline!$C$5:$J$5,0))</f>
        <v>274.39999999999998</v>
      </c>
      <c r="E65" s="54">
        <f>INDEX('Input_QV Valuation'!$C$5:$Q$83,MATCH($C65,'Input_QV Valuation'!$C$5:$C$83,0),MATCH(Capital_Value,'Input_QV Valuation'!$C$5:$Q$5,0))</f>
        <v>16167187614.5</v>
      </c>
      <c r="F65" s="46">
        <f t="shared" si="3"/>
        <v>1.6972648956822681E-8</v>
      </c>
      <c r="G65" s="54">
        <f>INDEX('Input_QV Valuation'!$C$5:$Q$83,MATCH($C65,'Input_QV Valuation'!$C$5:$C$83,0),MATCH(Rateable_Units,'Input_QV Valuation'!$C$5:$Q$5,0))</f>
        <v>21960</v>
      </c>
      <c r="H65" s="55">
        <f>INDEX(Input_Deprivation!$B$5:$D$83,MATCH(Parameter!C65,Input_Deprivation!$B$5:$B$83,0),MATCH(Deprivation_Index,Input_Deprivation!$B$5:$D$5,0))</f>
        <v>987.51412062967984</v>
      </c>
      <c r="I65" s="54">
        <f>INDEX(Input_Costs!$C$5:$AT$83,MATCH($C65,Input_Costs!$C$5:$C$83,0),MATCH(Total_Cost,Input_Costs!$C$5:$AT$5,0))</f>
        <v>36082691</v>
      </c>
      <c r="J65" s="54">
        <f>INDEX(Input_Costs!$C$5:$AT$83,MATCH($C65,Input_Costs!$C$5:$C$83,0),MATCH(NLTF_Cost,Input_Costs!$C$5:$AT$5,0))</f>
        <v>18656819</v>
      </c>
      <c r="K65" s="54">
        <f t="shared" si="4"/>
        <v>17425872</v>
      </c>
      <c r="L65" s="56">
        <f t="shared" si="5"/>
        <v>0.5170573059531508</v>
      </c>
      <c r="O65" s="17"/>
    </row>
    <row r="66" spans="2:15" x14ac:dyDescent="0.25">
      <c r="B66" s="51">
        <v>53</v>
      </c>
      <c r="C66" s="46" t="s">
        <v>45</v>
      </c>
      <c r="D66" s="54">
        <f>INDEX(Input_Centreline!$C$5:$J$83,MATCH($C66,Input_Centreline!$C$5:$C$83,0),MATCH(Centreline,Input_Centreline!$C$5:$J$5,0))</f>
        <v>1750.3999999999999</v>
      </c>
      <c r="E66" s="54">
        <f>INDEX('Input_QV Valuation'!$C$5:$Q$83,MATCH($C66,'Input_QV Valuation'!$C$5:$C$83,0),MATCH(Capital_Value,'Input_QV Valuation'!$C$5:$Q$5,0))</f>
        <v>19827835318</v>
      </c>
      <c r="F66" s="46">
        <f t="shared" si="3"/>
        <v>8.8279934341141162E-8</v>
      </c>
      <c r="G66" s="54">
        <f>INDEX('Input_QV Valuation'!$C$5:$Q$83,MATCH($C66,'Input_QV Valuation'!$C$5:$C$83,0),MATCH(Rateable_Units,'Input_QV Valuation'!$C$5:$Q$5,0))</f>
        <v>24102</v>
      </c>
      <c r="H66" s="55">
        <f>INDEX(Input_Deprivation!$B$5:$D$83,MATCH(Parameter!C66,Input_Deprivation!$B$5:$B$83,0),MATCH(Deprivation_Index,Input_Deprivation!$B$5:$D$5,0))</f>
        <v>968.71469509399356</v>
      </c>
      <c r="I66" s="54">
        <f>INDEX(Input_Costs!$C$5:$AT$83,MATCH($C66,Input_Costs!$C$5:$C$83,0),MATCH(Total_Cost,Input_Costs!$C$5:$AT$5,0))</f>
        <v>50488309</v>
      </c>
      <c r="J66" s="54">
        <f>INDEX(Input_Costs!$C$5:$AT$83,MATCH($C66,Input_Costs!$C$5:$C$83,0),MATCH(NLTF_Cost,Input_Costs!$C$5:$AT$5,0))</f>
        <v>26494448</v>
      </c>
      <c r="K66" s="54">
        <f t="shared" si="4"/>
        <v>23993861</v>
      </c>
      <c r="L66" s="56">
        <f t="shared" si="5"/>
        <v>0.52476402012196521</v>
      </c>
      <c r="O66" s="17"/>
    </row>
    <row r="67" spans="2:15" x14ac:dyDescent="0.25">
      <c r="B67" s="51">
        <v>54</v>
      </c>
      <c r="C67" s="46" t="s">
        <v>46</v>
      </c>
      <c r="D67" s="54">
        <f>INDEX(Input_Centreline!$C$5:$J$83,MATCH($C67,Input_Centreline!$C$5:$C$83,0),MATCH(Centreline,Input_Centreline!$C$5:$J$5,0))</f>
        <v>2612.6999999999998</v>
      </c>
      <c r="E67" s="54">
        <f>INDEX('Input_QV Valuation'!$C$5:$Q$83,MATCH($C67,'Input_QV Valuation'!$C$5:$C$83,0),MATCH(Capital_Value,'Input_QV Valuation'!$C$5:$Q$5,0))</f>
        <v>18714448500</v>
      </c>
      <c r="F67" s="46">
        <f t="shared" si="3"/>
        <v>1.3960870928149445E-7</v>
      </c>
      <c r="G67" s="54">
        <f>INDEX('Input_QV Valuation'!$C$5:$Q$83,MATCH($C67,'Input_QV Valuation'!$C$5:$C$83,0),MATCH(Rateable_Units,'Input_QV Valuation'!$C$5:$Q$5,0))</f>
        <v>15370</v>
      </c>
      <c r="H67" s="55">
        <f>INDEX(Input_Deprivation!$B$5:$D$83,MATCH(Parameter!C67,Input_Deprivation!$B$5:$B$83,0),MATCH(Deprivation_Index,Input_Deprivation!$B$5:$D$5,0))</f>
        <v>971.70221743424008</v>
      </c>
      <c r="I67" s="54">
        <f>INDEX(Input_Costs!$C$5:$AT$83,MATCH($C67,Input_Costs!$C$5:$C$83,0),MATCH(Total_Cost,Input_Costs!$C$5:$AT$5,0))</f>
        <v>47528982</v>
      </c>
      <c r="J67" s="54">
        <f>INDEX(Input_Costs!$C$5:$AT$83,MATCH($C67,Input_Costs!$C$5:$C$83,0),MATCH(NLTF_Cost,Input_Costs!$C$5:$AT$5,0))</f>
        <v>24559140</v>
      </c>
      <c r="K67" s="54">
        <f t="shared" si="4"/>
        <v>22969842</v>
      </c>
      <c r="L67" s="56">
        <f t="shared" si="5"/>
        <v>0.5167192514243204</v>
      </c>
      <c r="O67" s="17"/>
    </row>
    <row r="68" spans="2:15" x14ac:dyDescent="0.25">
      <c r="B68" s="51">
        <v>56</v>
      </c>
      <c r="C68" s="46" t="s">
        <v>47</v>
      </c>
      <c r="D68" s="54">
        <f>INDEX(Input_Centreline!$C$5:$J$83,MATCH($C68,Input_Centreline!$C$5:$C$83,0),MATCH(Centreline,Input_Centreline!$C$5:$J$5,0))</f>
        <v>2408.5</v>
      </c>
      <c r="E68" s="54">
        <f>INDEX('Input_QV Valuation'!$C$5:$Q$83,MATCH($C68,'Input_QV Valuation'!$C$5:$C$83,0),MATCH(Capital_Value,'Input_QV Valuation'!$C$5:$Q$5,0))</f>
        <v>111901037773.40001</v>
      </c>
      <c r="F68" s="46">
        <f t="shared" si="3"/>
        <v>2.1523482247566113E-8</v>
      </c>
      <c r="G68" s="54">
        <f>INDEX('Input_QV Valuation'!$C$5:$Q$83,MATCH($C68,'Input_QV Valuation'!$C$5:$C$83,0),MATCH(Rateable_Units,'Input_QV Valuation'!$C$5:$Q$5,0))</f>
        <v>173406</v>
      </c>
      <c r="H68" s="55">
        <f>INDEX(Input_Deprivation!$B$5:$D$83,MATCH(Parameter!C68,Input_Deprivation!$B$5:$B$83,0),MATCH(Deprivation_Index,Input_Deprivation!$B$5:$D$5,0))</f>
        <v>984.30938754938461</v>
      </c>
      <c r="I68" s="54">
        <f>INDEX(Input_Costs!$C$5:$AT$83,MATCH($C68,Input_Costs!$C$5:$C$83,0),MATCH(Total_Cost,Input_Costs!$C$5:$AT$5,0))</f>
        <v>316944892</v>
      </c>
      <c r="J68" s="54">
        <f>INDEX(Input_Costs!$C$5:$AT$83,MATCH($C68,Input_Costs!$C$5:$C$83,0),MATCH(NLTF_Cost,Input_Costs!$C$5:$AT$5,0))</f>
        <v>160091512</v>
      </c>
      <c r="K68" s="54">
        <f t="shared" si="4"/>
        <v>156853380</v>
      </c>
      <c r="L68" s="56">
        <f t="shared" si="5"/>
        <v>0.50510835176987168</v>
      </c>
      <c r="O68" s="17"/>
    </row>
    <row r="69" spans="2:15" x14ac:dyDescent="0.25">
      <c r="B69" s="51">
        <v>57</v>
      </c>
      <c r="C69" s="46" t="s">
        <v>48</v>
      </c>
      <c r="D69" s="54">
        <f>INDEX(Input_Centreline!$C$5:$J$83,MATCH($C69,Input_Centreline!$C$5:$C$83,0),MATCH(Centreline,Input_Centreline!$C$5:$J$5,0))</f>
        <v>1459.9</v>
      </c>
      <c r="E69" s="54">
        <f>INDEX('Input_QV Valuation'!$C$5:$Q$83,MATCH($C69,'Input_QV Valuation'!$C$5:$C$83,0),MATCH(Capital_Value,'Input_QV Valuation'!$C$5:$Q$5,0))</f>
        <v>7411766240.749999</v>
      </c>
      <c r="F69" s="46">
        <f t="shared" si="3"/>
        <v>1.9697059413091694E-7</v>
      </c>
      <c r="G69" s="54">
        <f>INDEX('Input_QV Valuation'!$C$5:$Q$83,MATCH($C69,'Input_QV Valuation'!$C$5:$C$83,0),MATCH(Rateable_Units,'Input_QV Valuation'!$C$5:$Q$5,0))</f>
        <v>8026</v>
      </c>
      <c r="H69" s="55">
        <f>INDEX(Input_Deprivation!$B$5:$D$83,MATCH(Parameter!C69,Input_Deprivation!$B$5:$B$83,0),MATCH(Deprivation_Index,Input_Deprivation!$B$5:$D$5,0))</f>
        <v>963.52435530085961</v>
      </c>
      <c r="I69" s="54">
        <f>INDEX(Input_Costs!$C$5:$AT$83,MATCH($C69,Input_Costs!$C$5:$C$83,0),MATCH(Total_Cost,Input_Costs!$C$5:$AT$5,0))</f>
        <v>30745974</v>
      </c>
      <c r="J69" s="54">
        <f>INDEX(Input_Costs!$C$5:$AT$83,MATCH($C69,Input_Costs!$C$5:$C$83,0),MATCH(NLTF_Cost,Input_Costs!$C$5:$AT$5,0))</f>
        <v>15837195</v>
      </c>
      <c r="K69" s="54">
        <f t="shared" si="4"/>
        <v>14908779</v>
      </c>
      <c r="L69" s="56">
        <f t="shared" si="5"/>
        <v>0.51509817187772289</v>
      </c>
      <c r="O69" s="17"/>
    </row>
    <row r="70" spans="2:15" x14ac:dyDescent="0.25">
      <c r="B70" s="51">
        <v>58</v>
      </c>
      <c r="C70" s="46" t="s">
        <v>49</v>
      </c>
      <c r="D70" s="54">
        <f>INDEX(Input_Centreline!$C$5:$J$83,MATCH($C70,Input_Centreline!$C$5:$C$83,0),MATCH(Centreline,Input_Centreline!$C$5:$J$5,0))</f>
        <v>739.9</v>
      </c>
      <c r="E70" s="54">
        <f>INDEX('Input_QV Valuation'!$C$5:$Q$83,MATCH($C70,'Input_QV Valuation'!$C$5:$C$83,0),MATCH(Capital_Value,'Input_QV Valuation'!$C$5:$Q$5,0))</f>
        <v>4653343640</v>
      </c>
      <c r="F70" s="46">
        <f t="shared" si="3"/>
        <v>1.5900394581647531E-7</v>
      </c>
      <c r="G70" s="54">
        <f>INDEX('Input_QV Valuation'!$C$5:$Q$83,MATCH($C70,'Input_QV Valuation'!$C$5:$C$83,0),MATCH(Rateable_Units,'Input_QV Valuation'!$C$5:$Q$5,0))</f>
        <v>4698</v>
      </c>
      <c r="H70" s="55">
        <f>INDEX(Input_Deprivation!$B$5:$D$83,MATCH(Parameter!C70,Input_Deprivation!$B$5:$B$83,0),MATCH(Deprivation_Index,Input_Deprivation!$B$5:$D$5,0))</f>
        <v>942.80593325092707</v>
      </c>
      <c r="I70" s="54">
        <f>INDEX(Input_Costs!$C$5:$AT$83,MATCH($C70,Input_Costs!$C$5:$C$83,0),MATCH(Total_Cost,Input_Costs!$C$5:$AT$5,0))</f>
        <v>13101359</v>
      </c>
      <c r="J70" s="54">
        <f>INDEX(Input_Costs!$C$5:$AT$83,MATCH($C70,Input_Costs!$C$5:$C$83,0),MATCH(NLTF_Cost,Input_Costs!$C$5:$AT$5,0))</f>
        <v>6878092</v>
      </c>
      <c r="K70" s="54">
        <f t="shared" si="4"/>
        <v>6223267</v>
      </c>
      <c r="L70" s="56">
        <f t="shared" si="5"/>
        <v>0.5249907280611118</v>
      </c>
      <c r="O70" s="17"/>
    </row>
    <row r="71" spans="2:15" x14ac:dyDescent="0.25">
      <c r="B71" s="51">
        <v>59</v>
      </c>
      <c r="C71" s="46" t="s">
        <v>50</v>
      </c>
      <c r="D71" s="54">
        <f>INDEX(Input_Centreline!$C$5:$J$83,MATCH($C71,Input_Centreline!$C$5:$C$83,0),MATCH(Centreline,Input_Centreline!$C$5:$J$5,0))</f>
        <v>2600.4</v>
      </c>
      <c r="E71" s="54">
        <f>INDEX('Input_QV Valuation'!$C$5:$Q$83,MATCH($C71,'Input_QV Valuation'!$C$5:$C$83,0),MATCH(Capital_Value,'Input_QV Valuation'!$C$5:$Q$5,0))</f>
        <v>23505848942</v>
      </c>
      <c r="F71" s="46">
        <f t="shared" si="3"/>
        <v>1.10627784872455E-7</v>
      </c>
      <c r="G71" s="54">
        <f>INDEX('Input_QV Valuation'!$C$5:$Q$83,MATCH($C71,'Input_QV Valuation'!$C$5:$C$83,0),MATCH(Rateable_Units,'Input_QV Valuation'!$C$5:$Q$5,0))</f>
        <v>26797</v>
      </c>
      <c r="H71" s="55">
        <f>INDEX(Input_Deprivation!$B$5:$D$83,MATCH(Parameter!C71,Input_Deprivation!$B$5:$B$83,0),MATCH(Deprivation_Index,Input_Deprivation!$B$5:$D$5,0))</f>
        <v>908.83963571569984</v>
      </c>
      <c r="I71" s="54">
        <f>INDEX(Input_Costs!$C$5:$AT$83,MATCH($C71,Input_Costs!$C$5:$C$83,0),MATCH(Total_Cost,Input_Costs!$C$5:$AT$5,0))</f>
        <v>52683009</v>
      </c>
      <c r="J71" s="54">
        <f>INDEX(Input_Costs!$C$5:$AT$83,MATCH($C71,Input_Costs!$C$5:$C$83,0),MATCH(NLTF_Cost,Input_Costs!$C$5:$AT$5,0))</f>
        <v>27378999</v>
      </c>
      <c r="K71" s="54">
        <f t="shared" si="4"/>
        <v>25304010</v>
      </c>
      <c r="L71" s="56">
        <f t="shared" si="5"/>
        <v>0.51969315192304222</v>
      </c>
      <c r="O71" s="17"/>
    </row>
    <row r="72" spans="2:15" x14ac:dyDescent="0.25">
      <c r="B72" s="51">
        <v>60</v>
      </c>
      <c r="C72" s="46" t="s">
        <v>51</v>
      </c>
      <c r="D72" s="54">
        <f>INDEX(Input_Centreline!$C$5:$J$83,MATCH($C72,Input_Centreline!$C$5:$C$83,0),MATCH(Centreline,Input_Centreline!$C$5:$J$5,0))</f>
        <v>1722.4</v>
      </c>
      <c r="E72" s="54">
        <f>INDEX('Input_QV Valuation'!$C$5:$Q$83,MATCH($C72,'Input_QV Valuation'!$C$5:$C$83,0),MATCH(Capital_Value,'Input_QV Valuation'!$C$5:$Q$5,0))</f>
        <v>14155360790</v>
      </c>
      <c r="F72" s="46">
        <f t="shared" si="3"/>
        <v>1.2167828327037647E-7</v>
      </c>
      <c r="G72" s="54">
        <f>INDEX('Input_QV Valuation'!$C$5:$Q$83,MATCH($C72,'Input_QV Valuation'!$C$5:$C$83,0),MATCH(Rateable_Units,'Input_QV Valuation'!$C$5:$Q$5,0))</f>
        <v>22037</v>
      </c>
      <c r="H72" s="55">
        <f>INDEX(Input_Deprivation!$B$5:$D$83,MATCH(Parameter!C72,Input_Deprivation!$B$5:$B$83,0),MATCH(Deprivation_Index,Input_Deprivation!$B$5:$D$5,0))</f>
        <v>982.63224050796941</v>
      </c>
      <c r="I72" s="54">
        <f>INDEX(Input_Costs!$C$5:$AT$83,MATCH($C72,Input_Costs!$C$5:$C$83,0),MATCH(Total_Cost,Input_Costs!$C$5:$AT$5,0))</f>
        <v>58073111</v>
      </c>
      <c r="J72" s="54">
        <f>INDEX(Input_Costs!$C$5:$AT$83,MATCH($C72,Input_Costs!$C$5:$C$83,0),MATCH(NLTF_Cost,Input_Costs!$C$5:$AT$5,0))</f>
        <v>31485241</v>
      </c>
      <c r="K72" s="54">
        <f t="shared" si="4"/>
        <v>26587870</v>
      </c>
      <c r="L72" s="56">
        <f t="shared" si="5"/>
        <v>0.5421655643693688</v>
      </c>
      <c r="O72" s="17"/>
    </row>
    <row r="73" spans="2:15" x14ac:dyDescent="0.25">
      <c r="B73" s="51">
        <v>61</v>
      </c>
      <c r="C73" s="46" t="s">
        <v>52</v>
      </c>
      <c r="D73" s="54">
        <f>INDEX(Input_Centreline!$C$5:$J$83,MATCH($C73,Input_Centreline!$C$5:$C$83,0),MATCH(Centreline,Input_Centreline!$C$5:$J$5,0))</f>
        <v>1579.8</v>
      </c>
      <c r="E73" s="54">
        <f>INDEX('Input_QV Valuation'!$C$5:$Q$83,MATCH($C73,'Input_QV Valuation'!$C$5:$C$83,0),MATCH(Capital_Value,'Input_QV Valuation'!$C$5:$Q$5,0))</f>
        <v>16285324788</v>
      </c>
      <c r="F73" s="46">
        <f t="shared" si="3"/>
        <v>9.7007583242312185E-8</v>
      </c>
      <c r="G73" s="54">
        <f>INDEX('Input_QV Valuation'!$C$5:$Q$83,MATCH($C73,'Input_QV Valuation'!$C$5:$C$83,0),MATCH(Rateable_Units,'Input_QV Valuation'!$C$5:$Q$5,0))</f>
        <v>26014</v>
      </c>
      <c r="H73" s="55">
        <f>INDEX(Input_Deprivation!$B$5:$D$83,MATCH(Parameter!C73,Input_Deprivation!$B$5:$B$83,0),MATCH(Deprivation_Index,Input_Deprivation!$B$5:$D$5,0))</f>
        <v>946.01356462104786</v>
      </c>
      <c r="I73" s="54">
        <f>INDEX(Input_Costs!$C$5:$AT$83,MATCH($C73,Input_Costs!$C$5:$C$83,0),MATCH(Total_Cost,Input_Costs!$C$5:$AT$5,0))</f>
        <v>48970322</v>
      </c>
      <c r="J73" s="54">
        <f>INDEX(Input_Costs!$C$5:$AT$83,MATCH($C73,Input_Costs!$C$5:$C$83,0),MATCH(NLTF_Cost,Input_Costs!$C$5:$AT$5,0))</f>
        <v>25245439</v>
      </c>
      <c r="K73" s="54">
        <f t="shared" si="4"/>
        <v>23724883</v>
      </c>
      <c r="L73" s="56">
        <f t="shared" si="5"/>
        <v>0.51552528080170679</v>
      </c>
      <c r="O73" s="17"/>
    </row>
    <row r="74" spans="2:15" x14ac:dyDescent="0.25">
      <c r="B74" s="51">
        <v>62</v>
      </c>
      <c r="C74" s="46" t="s">
        <v>53</v>
      </c>
      <c r="D74" s="54">
        <f>INDEX(Input_Centreline!$C$5:$J$83,MATCH($C74,Input_Centreline!$C$5:$C$83,0),MATCH(Centreline,Input_Centreline!$C$5:$J$5,0))</f>
        <v>1338.7</v>
      </c>
      <c r="E74" s="54">
        <f>INDEX('Input_QV Valuation'!$C$5:$Q$83,MATCH($C74,'Input_QV Valuation'!$C$5:$C$83,0),MATCH(Capital_Value,'Input_QV Valuation'!$C$5:$Q$5,0))</f>
        <v>4847228650</v>
      </c>
      <c r="F74" s="46">
        <f t="shared" si="3"/>
        <v>2.7617843032843109E-7</v>
      </c>
      <c r="G74" s="54">
        <f>INDEX('Input_QV Valuation'!$C$5:$Q$83,MATCH($C74,'Input_QV Valuation'!$C$5:$C$83,0),MATCH(Rateable_Units,'Input_QV Valuation'!$C$5:$Q$5,0))</f>
        <v>4286</v>
      </c>
      <c r="H74" s="55">
        <f>INDEX(Input_Deprivation!$B$5:$D$83,MATCH(Parameter!C74,Input_Deprivation!$B$5:$B$83,0),MATCH(Deprivation_Index,Input_Deprivation!$B$5:$D$5,0))</f>
        <v>1010.8838635492526</v>
      </c>
      <c r="I74" s="54">
        <f>INDEX(Input_Costs!$C$5:$AT$83,MATCH($C74,Input_Costs!$C$5:$C$83,0),MATCH(Total_Cost,Input_Costs!$C$5:$AT$5,0))</f>
        <v>17671832</v>
      </c>
      <c r="J74" s="54">
        <f>INDEX(Input_Costs!$C$5:$AT$83,MATCH($C74,Input_Costs!$C$5:$C$83,0),MATCH(NLTF_Cost,Input_Costs!$C$5:$AT$5,0))</f>
        <v>9986639</v>
      </c>
      <c r="K74" s="54">
        <f t="shared" si="4"/>
        <v>7685193</v>
      </c>
      <c r="L74" s="56">
        <f t="shared" si="5"/>
        <v>0.56511622564089559</v>
      </c>
      <c r="O74" s="17"/>
    </row>
    <row r="75" spans="2:15" x14ac:dyDescent="0.25">
      <c r="B75" s="51">
        <v>63</v>
      </c>
      <c r="C75" s="46" t="s">
        <v>54</v>
      </c>
      <c r="D75" s="54">
        <f>INDEX(Input_Centreline!$C$5:$J$83,MATCH($C75,Input_Centreline!$C$5:$C$83,0),MATCH(Centreline,Input_Centreline!$C$5:$J$5,0))</f>
        <v>604.80000000000007</v>
      </c>
      <c r="E75" s="54">
        <f>INDEX('Input_QV Valuation'!$C$5:$Q$83,MATCH($C75,'Input_QV Valuation'!$C$5:$C$83,0),MATCH(Capital_Value,'Input_QV Valuation'!$C$5:$Q$5,0))</f>
        <v>2258871380</v>
      </c>
      <c r="F75" s="46">
        <f t="shared" si="3"/>
        <v>2.6774432814319872E-7</v>
      </c>
      <c r="G75" s="54">
        <f>INDEX('Input_QV Valuation'!$C$5:$Q$83,MATCH($C75,'Input_QV Valuation'!$C$5:$C$83,0),MATCH(Rateable_Units,'Input_QV Valuation'!$C$5:$Q$5,0))</f>
        <v>7333</v>
      </c>
      <c r="H75" s="55">
        <f>INDEX(Input_Deprivation!$B$5:$D$83,MATCH(Parameter!C75,Input_Deprivation!$B$5:$B$83,0),MATCH(Deprivation_Index,Input_Deprivation!$B$5:$D$5,0))</f>
        <v>1068.0704666457877</v>
      </c>
      <c r="I75" s="54">
        <f>INDEX(Input_Costs!$C$5:$AT$83,MATCH($C75,Input_Costs!$C$5:$C$83,0),MATCH(Total_Cost,Input_Costs!$C$5:$AT$5,0))</f>
        <v>15147567</v>
      </c>
      <c r="J75" s="54">
        <f>INDEX(Input_Costs!$C$5:$AT$83,MATCH($C75,Input_Costs!$C$5:$C$83,0),MATCH(NLTF_Cost,Input_Costs!$C$5:$AT$5,0))</f>
        <v>9557662</v>
      </c>
      <c r="K75" s="54">
        <f t="shared" si="4"/>
        <v>5589905</v>
      </c>
      <c r="L75" s="56">
        <f t="shared" si="5"/>
        <v>0.63097010892904448</v>
      </c>
      <c r="O75" s="17"/>
    </row>
    <row r="76" spans="2:15" x14ac:dyDescent="0.25">
      <c r="B76" s="51">
        <v>64</v>
      </c>
      <c r="C76" s="46" t="s">
        <v>55</v>
      </c>
      <c r="D76" s="54">
        <f>INDEX(Input_Centreline!$C$5:$J$83,MATCH($C76,Input_Centreline!$C$5:$C$83,0),MATCH(Centreline,Input_Centreline!$C$5:$J$5,0))</f>
        <v>611.70000000000005</v>
      </c>
      <c r="E76" s="54">
        <f>INDEX('Input_QV Valuation'!$C$5:$Q$83,MATCH($C76,'Input_QV Valuation'!$C$5:$C$83,0),MATCH(Capital_Value,'Input_QV Valuation'!$C$5:$Q$5,0))</f>
        <v>2645999406</v>
      </c>
      <c r="F76" s="46">
        <f t="shared" si="3"/>
        <v>2.3117919021936471E-7</v>
      </c>
      <c r="G76" s="54">
        <f>INDEX('Input_QV Valuation'!$C$5:$Q$83,MATCH($C76,'Input_QV Valuation'!$C$5:$C$83,0),MATCH(Rateable_Units,'Input_QV Valuation'!$C$5:$Q$5,0))</f>
        <v>8532</v>
      </c>
      <c r="H76" s="55">
        <f>INDEX(Input_Deprivation!$B$5:$D$83,MATCH(Parameter!C76,Input_Deprivation!$B$5:$B$83,0),MATCH(Deprivation_Index,Input_Deprivation!$B$5:$D$5,0))</f>
        <v>1021.4832471328986</v>
      </c>
      <c r="I76" s="54">
        <f>INDEX(Input_Costs!$C$5:$AT$83,MATCH($C76,Input_Costs!$C$5:$C$83,0),MATCH(Total_Cost,Input_Costs!$C$5:$AT$5,0))</f>
        <v>21176891</v>
      </c>
      <c r="J76" s="54">
        <f>INDEX(Input_Costs!$C$5:$AT$83,MATCH($C76,Input_Costs!$C$5:$C$83,0),MATCH(NLTF_Cost,Input_Costs!$C$5:$AT$5,0))</f>
        <v>13053506</v>
      </c>
      <c r="K76" s="54">
        <f t="shared" si="4"/>
        <v>8123385</v>
      </c>
      <c r="L76" s="56">
        <f t="shared" si="5"/>
        <v>0.61640332379290241</v>
      </c>
      <c r="O76" s="17"/>
    </row>
    <row r="77" spans="2:15" x14ac:dyDescent="0.25">
      <c r="B77" s="51">
        <v>65</v>
      </c>
      <c r="C77" s="46" t="s">
        <v>56</v>
      </c>
      <c r="D77" s="54">
        <f>INDEX(Input_Centreline!$C$5:$J$83,MATCH($C77,Input_Centreline!$C$5:$C$83,0),MATCH(Centreline,Input_Centreline!$C$5:$J$5,0))</f>
        <v>691</v>
      </c>
      <c r="E77" s="54">
        <f>INDEX('Input_QV Valuation'!$C$5:$Q$83,MATCH($C77,'Input_QV Valuation'!$C$5:$C$83,0),MATCH(Capital_Value,'Input_QV Valuation'!$C$5:$Q$5,0))</f>
        <v>2440060510</v>
      </c>
      <c r="F77" s="46">
        <f t="shared" si="3"/>
        <v>2.8318969843907684E-7</v>
      </c>
      <c r="G77" s="54">
        <f>INDEX('Input_QV Valuation'!$C$5:$Q$83,MATCH($C77,'Input_QV Valuation'!$C$5:$C$83,0),MATCH(Rateable_Units,'Input_QV Valuation'!$C$5:$Q$5,0))</f>
        <v>6552</v>
      </c>
      <c r="H77" s="55">
        <f>INDEX(Input_Deprivation!$B$5:$D$83,MATCH(Parameter!C77,Input_Deprivation!$B$5:$B$83,0),MATCH(Deprivation_Index,Input_Deprivation!$B$5:$D$5,0))</f>
        <v>996.17904233171407</v>
      </c>
      <c r="I77" s="54">
        <f>INDEX(Input_Costs!$C$5:$AT$83,MATCH($C77,Input_Costs!$C$5:$C$83,0),MATCH(Total_Cost,Input_Costs!$C$5:$AT$5,0))</f>
        <v>16364072</v>
      </c>
      <c r="J77" s="54">
        <f>INDEX(Input_Costs!$C$5:$AT$83,MATCH($C77,Input_Costs!$C$5:$C$83,0),MATCH(NLTF_Cost,Input_Costs!$C$5:$AT$5,0))</f>
        <v>9565882</v>
      </c>
      <c r="K77" s="54">
        <f t="shared" si="4"/>
        <v>6798190</v>
      </c>
      <c r="L77" s="56">
        <f t="shared" si="5"/>
        <v>0.58456611532875191</v>
      </c>
      <c r="O77" s="17"/>
    </row>
    <row r="78" spans="2:15" x14ac:dyDescent="0.25">
      <c r="B78" s="51">
        <v>66</v>
      </c>
      <c r="C78" s="46" t="s">
        <v>57</v>
      </c>
      <c r="D78" s="54">
        <f>INDEX(Input_Centreline!$C$5:$J$83,MATCH($C78,Input_Centreline!$C$5:$C$83,0),MATCH(Centreline,Input_Centreline!$C$5:$J$5,0))</f>
        <v>1928.1999999999998</v>
      </c>
      <c r="E78" s="54">
        <f>INDEX('Input_QV Valuation'!$C$5:$Q$83,MATCH($C78,'Input_QV Valuation'!$C$5:$C$83,0),MATCH(Capital_Value,'Input_QV Valuation'!$C$5:$Q$5,0))</f>
        <v>12158733965</v>
      </c>
      <c r="F78" s="46">
        <f t="shared" si="3"/>
        <v>1.5858559004173422E-7</v>
      </c>
      <c r="G78" s="54">
        <f>INDEX('Input_QV Valuation'!$C$5:$Q$83,MATCH($C78,'Input_QV Valuation'!$C$5:$C$83,0),MATCH(Rateable_Units,'Input_QV Valuation'!$C$5:$Q$5,0))</f>
        <v>13825</v>
      </c>
      <c r="H78" s="55">
        <f>INDEX(Input_Deprivation!$B$5:$D$83,MATCH(Parameter!C78,Input_Deprivation!$B$5:$B$83,0),MATCH(Deprivation_Index,Input_Deprivation!$B$5:$D$5,0))</f>
        <v>936.80957683741644</v>
      </c>
      <c r="I78" s="54">
        <f>INDEX(Input_Costs!$C$5:$AT$83,MATCH($C78,Input_Costs!$C$5:$C$83,0),MATCH(Total_Cost,Input_Costs!$C$5:$AT$5,0))</f>
        <v>31036988</v>
      </c>
      <c r="J78" s="54">
        <f>INDEX(Input_Costs!$C$5:$AT$83,MATCH($C78,Input_Costs!$C$5:$C$83,0),MATCH(NLTF_Cost,Input_Costs!$C$5:$AT$5,0))</f>
        <v>16199025</v>
      </c>
      <c r="K78" s="54">
        <f t="shared" si="4"/>
        <v>14837963</v>
      </c>
      <c r="L78" s="56">
        <f t="shared" si="5"/>
        <v>0.5219264511105266</v>
      </c>
      <c r="O78" s="17"/>
    </row>
    <row r="79" spans="2:15" x14ac:dyDescent="0.25">
      <c r="B79" s="51">
        <v>67</v>
      </c>
      <c r="C79" s="46" t="s">
        <v>58</v>
      </c>
      <c r="D79" s="54">
        <f>INDEX(Input_Centreline!$C$5:$J$83,MATCH($C79,Input_Centreline!$C$5:$C$83,0),MATCH(Centreline,Input_Centreline!$C$5:$J$5,0))</f>
        <v>2898.7000000000003</v>
      </c>
      <c r="E79" s="54">
        <f>INDEX('Input_QV Valuation'!$C$5:$Q$83,MATCH($C79,'Input_QV Valuation'!$C$5:$C$83,0),MATCH(Capital_Value,'Input_QV Valuation'!$C$5:$Q$5,0))</f>
        <v>8428861506.5</v>
      </c>
      <c r="F79" s="46">
        <f t="shared" si="3"/>
        <v>3.4390172359157152E-7</v>
      </c>
      <c r="G79" s="54">
        <f>INDEX('Input_QV Valuation'!$C$5:$Q$83,MATCH($C79,'Input_QV Valuation'!$C$5:$C$83,0),MATCH(Rateable_Units,'Input_QV Valuation'!$C$5:$Q$5,0))</f>
        <v>11188</v>
      </c>
      <c r="H79" s="55">
        <f>INDEX(Input_Deprivation!$B$5:$D$83,MATCH(Parameter!C79,Input_Deprivation!$B$5:$B$83,0),MATCH(Deprivation_Index,Input_Deprivation!$B$5:$D$5,0))</f>
        <v>994.69711375212228</v>
      </c>
      <c r="I79" s="54">
        <f>INDEX(Input_Costs!$C$5:$AT$83,MATCH($C79,Input_Costs!$C$5:$C$83,0),MATCH(Total_Cost,Input_Costs!$C$5:$AT$5,0))</f>
        <v>54939590</v>
      </c>
      <c r="J79" s="54">
        <f>INDEX(Input_Costs!$C$5:$AT$83,MATCH($C79,Input_Costs!$C$5:$C$83,0),MATCH(NLTF_Cost,Input_Costs!$C$5:$AT$5,0))</f>
        <v>33865995</v>
      </c>
      <c r="K79" s="54">
        <f t="shared" si="4"/>
        <v>21073595</v>
      </c>
      <c r="L79" s="56">
        <f t="shared" si="5"/>
        <v>0.61642241960669897</v>
      </c>
      <c r="O79" s="17"/>
    </row>
    <row r="80" spans="2:15" x14ac:dyDescent="0.25">
      <c r="B80" s="51">
        <v>68</v>
      </c>
      <c r="C80" s="46" t="s">
        <v>59</v>
      </c>
      <c r="D80" s="54">
        <f>INDEX(Input_Centreline!$C$5:$J$83,MATCH($C80,Input_Centreline!$C$5:$C$83,0),MATCH(Centreline,Input_Centreline!$C$5:$J$5,0))</f>
        <v>1766.9</v>
      </c>
      <c r="E80" s="54">
        <f>INDEX('Input_QV Valuation'!$C$5:$Q$83,MATCH($C80,'Input_QV Valuation'!$C$5:$C$83,0),MATCH(Capital_Value,'Input_QV Valuation'!$C$5:$Q$5,0))</f>
        <v>30777331275.200005</v>
      </c>
      <c r="F80" s="46">
        <f t="shared" si="3"/>
        <v>5.74091361008856E-8</v>
      </c>
      <c r="G80" s="54">
        <f>INDEX('Input_QV Valuation'!$C$5:$Q$83,MATCH($C80,'Input_QV Valuation'!$C$5:$C$83,0),MATCH(Rateable_Units,'Input_QV Valuation'!$C$5:$Q$5,0))</f>
        <v>54477</v>
      </c>
      <c r="H80" s="55">
        <f>INDEX(Input_Deprivation!$B$5:$D$83,MATCH(Parameter!C80,Input_Deprivation!$B$5:$B$83,0),MATCH(Deprivation_Index,Input_Deprivation!$B$5:$D$5,0))</f>
        <v>991.08318281205436</v>
      </c>
      <c r="I80" s="54">
        <f>INDEX(Input_Costs!$C$5:$AT$83,MATCH($C80,Input_Costs!$C$5:$C$83,0),MATCH(Total_Cost,Input_Costs!$C$5:$AT$5,0))</f>
        <v>139147860</v>
      </c>
      <c r="J80" s="54">
        <f>INDEX(Input_Costs!$C$5:$AT$83,MATCH($C80,Input_Costs!$C$5:$C$83,0),MATCH(NLTF_Cost,Input_Costs!$C$5:$AT$5,0))</f>
        <v>79870269</v>
      </c>
      <c r="K80" s="54">
        <f t="shared" si="4"/>
        <v>59277591</v>
      </c>
      <c r="L80" s="56">
        <f t="shared" si="5"/>
        <v>0.57399566906742228</v>
      </c>
      <c r="O80" s="17"/>
    </row>
    <row r="81" spans="2:15" x14ac:dyDescent="0.25">
      <c r="B81" s="51">
        <v>69</v>
      </c>
      <c r="C81" s="46" t="s">
        <v>60</v>
      </c>
      <c r="D81" s="54">
        <f>INDEX(Input_Centreline!$C$5:$J$83,MATCH($C81,Input_Centreline!$C$5:$C$83,0),MATCH(Centreline,Input_Centreline!$C$5:$J$5,0))</f>
        <v>871</v>
      </c>
      <c r="E81" s="54">
        <f>INDEX('Input_QV Valuation'!$C$5:$Q$83,MATCH($C81,'Input_QV Valuation'!$C$5:$C$83,0),MATCH(Capital_Value,'Input_QV Valuation'!$C$5:$Q$5,0))</f>
        <v>38717295307</v>
      </c>
      <c r="F81" s="46">
        <f t="shared" si="3"/>
        <v>2.2496406143394144E-8</v>
      </c>
      <c r="G81" s="54">
        <f>INDEX('Input_QV Valuation'!$C$5:$Q$83,MATCH($C81,'Input_QV Valuation'!$C$5:$C$83,0),MATCH(Rateable_Units,'Input_QV Valuation'!$C$5:$Q$5,0))</f>
        <v>26191</v>
      </c>
      <c r="H81" s="55">
        <f>INDEX(Input_Deprivation!$B$5:$D$83,MATCH(Parameter!C81,Input_Deprivation!$B$5:$B$83,0),MATCH(Deprivation_Index,Input_Deprivation!$B$5:$D$5,0))</f>
        <v>914.22624885075084</v>
      </c>
      <c r="I81" s="54">
        <f>INDEX(Input_Costs!$C$5:$AT$83,MATCH($C81,Input_Costs!$C$5:$C$83,0),MATCH(Total_Cost,Input_Costs!$C$5:$AT$5,0))</f>
        <v>66750521</v>
      </c>
      <c r="J81" s="54">
        <f>INDEX(Input_Costs!$C$5:$AT$83,MATCH($C81,Input_Costs!$C$5:$C$83,0),MATCH(NLTF_Cost,Input_Costs!$C$5:$AT$5,0))</f>
        <v>36119281</v>
      </c>
      <c r="K81" s="54">
        <f t="shared" si="4"/>
        <v>30631240</v>
      </c>
      <c r="L81" s="56">
        <f t="shared" si="5"/>
        <v>0.5411086004856801</v>
      </c>
      <c r="O81" s="17"/>
    </row>
    <row r="82" spans="2:15" x14ac:dyDescent="0.25">
      <c r="B82" s="51">
        <v>70</v>
      </c>
      <c r="C82" s="46" t="s">
        <v>61</v>
      </c>
      <c r="D82" s="54">
        <f>INDEX(Input_Centreline!$C$5:$J$83,MATCH($C82,Input_Centreline!$C$5:$C$83,0),MATCH(Centreline,Input_Centreline!$C$5:$J$5,0))</f>
        <v>1799.1</v>
      </c>
      <c r="E82" s="54">
        <f>INDEX('Input_QV Valuation'!$C$5:$Q$83,MATCH($C82,'Input_QV Valuation'!$C$5:$C$83,0),MATCH(Capital_Value,'Input_QV Valuation'!$C$5:$Q$5,0))</f>
        <v>9048851127.5</v>
      </c>
      <c r="F82" s="46">
        <f t="shared" si="3"/>
        <v>1.9882081986435023E-7</v>
      </c>
      <c r="G82" s="54">
        <f>INDEX('Input_QV Valuation'!$C$5:$Q$83,MATCH($C82,'Input_QV Valuation'!$C$5:$C$83,0),MATCH(Rateable_Units,'Input_QV Valuation'!$C$5:$Q$5,0))</f>
        <v>13770</v>
      </c>
      <c r="H82" s="55">
        <f>INDEX(Input_Deprivation!$B$5:$D$83,MATCH(Parameter!C82,Input_Deprivation!$B$5:$B$83,0),MATCH(Deprivation_Index,Input_Deprivation!$B$5:$D$5,0))</f>
        <v>993.57949959644873</v>
      </c>
      <c r="I82" s="54">
        <f>INDEX(Input_Costs!$C$5:$AT$83,MATCH($C82,Input_Costs!$C$5:$C$83,0),MATCH(Total_Cost,Input_Costs!$C$5:$AT$5,0))</f>
        <v>43360994</v>
      </c>
      <c r="J82" s="54">
        <f>INDEX(Input_Costs!$C$5:$AT$83,MATCH($C82,Input_Costs!$C$5:$C$83,0),MATCH(NLTF_Cost,Input_Costs!$C$5:$AT$5,0))</f>
        <v>24810373</v>
      </c>
      <c r="K82" s="54">
        <f t="shared" si="4"/>
        <v>18550621</v>
      </c>
      <c r="L82" s="56">
        <f t="shared" si="5"/>
        <v>0.57218183236297582</v>
      </c>
      <c r="O82" s="17"/>
    </row>
    <row r="83" spans="2:15" x14ac:dyDescent="0.25">
      <c r="B83" s="51">
        <v>71</v>
      </c>
      <c r="C83" s="46" t="s">
        <v>62</v>
      </c>
      <c r="D83" s="54">
        <f>INDEX(Input_Centreline!$C$5:$J$83,MATCH($C83,Input_Centreline!$C$5:$C$83,0),MATCH(Centreline,Input_Centreline!$C$5:$J$5,0))</f>
        <v>904</v>
      </c>
      <c r="E83" s="54">
        <f>INDEX('Input_QV Valuation'!$C$5:$Q$83,MATCH($C83,'Input_QV Valuation'!$C$5:$C$83,0),MATCH(Capital_Value,'Input_QV Valuation'!$C$5:$Q$5,0))</f>
        <v>3790881427.5</v>
      </c>
      <c r="F83" s="46">
        <f t="shared" si="3"/>
        <v>2.3846696798326597E-7</v>
      </c>
      <c r="G83" s="54">
        <f>INDEX('Input_QV Valuation'!$C$5:$Q$83,MATCH($C83,'Input_QV Valuation'!$C$5:$C$83,0),MATCH(Rateable_Units,'Input_QV Valuation'!$C$5:$Q$5,0))</f>
        <v>6606</v>
      </c>
      <c r="H83" s="55">
        <f>INDEX(Input_Deprivation!$B$5:$D$83,MATCH(Parameter!C83,Input_Deprivation!$B$5:$B$83,0),MATCH(Deprivation_Index,Input_Deprivation!$B$5:$D$5,0))</f>
        <v>993.19283813210745</v>
      </c>
      <c r="I83" s="54">
        <f>INDEX(Input_Costs!$C$5:$AT$83,MATCH($C83,Input_Costs!$C$5:$C$83,0),MATCH(Total_Cost,Input_Costs!$C$5:$AT$5,0))</f>
        <v>15787244</v>
      </c>
      <c r="J83" s="54">
        <f>INDEX(Input_Costs!$C$5:$AT$83,MATCH($C83,Input_Costs!$C$5:$C$83,0),MATCH(NLTF_Cost,Input_Costs!$C$5:$AT$5,0))</f>
        <v>8849455</v>
      </c>
      <c r="K83" s="54">
        <f t="shared" si="4"/>
        <v>6937789</v>
      </c>
      <c r="L83" s="56">
        <f t="shared" si="5"/>
        <v>0.56054463971038893</v>
      </c>
      <c r="O83" s="17"/>
    </row>
    <row r="84" spans="2:15" x14ac:dyDescent="0.25">
      <c r="B84" s="51">
        <v>72</v>
      </c>
      <c r="C84" s="46" t="s">
        <v>63</v>
      </c>
      <c r="D84" s="54">
        <f>INDEX(Input_Centreline!$C$5:$J$83,MATCH($C84,Input_Centreline!$C$5:$C$83,0),MATCH(Centreline,Input_Centreline!$C$5:$J$5,0))</f>
        <v>583.4</v>
      </c>
      <c r="E84" s="54">
        <f>INDEX('Input_QV Valuation'!$C$5:$Q$83,MATCH($C84,'Input_QV Valuation'!$C$5:$C$83,0),MATCH(Capital_Value,'Input_QV Valuation'!$C$5:$Q$5,0))</f>
        <v>10663056665</v>
      </c>
      <c r="F84" s="46">
        <f t="shared" ref="F84:F97" si="6">D84/E84</f>
        <v>5.471226669130713E-8</v>
      </c>
      <c r="G84" s="54">
        <f>INDEX('Input_QV Valuation'!$C$5:$Q$83,MATCH($C84,'Input_QV Valuation'!$C$5:$C$83,0),MATCH(Rateable_Units,'Input_QV Valuation'!$C$5:$Q$5,0))</f>
        <v>25311</v>
      </c>
      <c r="H84" s="55">
        <f>INDEX(Input_Deprivation!$B$5:$D$83,MATCH(Parameter!C84,Input_Deprivation!$B$5:$B$83,0),MATCH(Deprivation_Index,Input_Deprivation!$B$5:$D$5,0))</f>
        <v>1012.6376466681426</v>
      </c>
      <c r="I84" s="54">
        <f>INDEX(Input_Costs!$C$5:$AT$83,MATCH($C84,Input_Costs!$C$5:$C$83,0),MATCH(Total_Cost,Input_Costs!$C$5:$AT$5,0))</f>
        <v>47678163</v>
      </c>
      <c r="J84" s="54">
        <f>INDEX(Input_Costs!$C$5:$AT$83,MATCH($C84,Input_Costs!$C$5:$C$83,0),MATCH(NLTF_Cost,Input_Costs!$C$5:$AT$5,0))</f>
        <v>28694941</v>
      </c>
      <c r="K84" s="54">
        <f t="shared" ref="K84:K97" si="7">I84-J84</f>
        <v>18983222</v>
      </c>
      <c r="L84" s="56">
        <f t="shared" ref="L84:L98" si="8">J84/I84</f>
        <v>0.60184661476995249</v>
      </c>
      <c r="O84" s="17"/>
    </row>
    <row r="85" spans="2:15" x14ac:dyDescent="0.25">
      <c r="B85" s="51">
        <v>73</v>
      </c>
      <c r="C85" s="46" t="s">
        <v>64</v>
      </c>
      <c r="D85" s="54">
        <f>INDEX(Input_Centreline!$C$5:$J$83,MATCH($C85,Input_Centreline!$C$5:$C$83,0),MATCH(Centreline,Input_Centreline!$C$5:$J$5,0))</f>
        <v>4971.1000000000004</v>
      </c>
      <c r="E85" s="54">
        <f>INDEX('Input_QV Valuation'!$C$5:$Q$83,MATCH($C85,'Input_QV Valuation'!$C$5:$C$83,0),MATCH(Capital_Value,'Input_QV Valuation'!$C$5:$Q$5,0))</f>
        <v>22854361748.5</v>
      </c>
      <c r="F85" s="46">
        <f t="shared" si="6"/>
        <v>2.1751209045801809E-7</v>
      </c>
      <c r="G85" s="54">
        <f>INDEX('Input_QV Valuation'!$C$5:$Q$83,MATCH($C85,'Input_QV Valuation'!$C$5:$C$83,0),MATCH(Rateable_Units,'Input_QV Valuation'!$C$5:$Q$5,0))</f>
        <v>18897</v>
      </c>
      <c r="H85" s="55">
        <f>INDEX(Input_Deprivation!$B$5:$D$83,MATCH(Parameter!C85,Input_Deprivation!$B$5:$B$83,0),MATCH(Deprivation_Index,Input_Deprivation!$B$5:$D$5,0))</f>
        <v>962.65266433294437</v>
      </c>
      <c r="I85" s="54">
        <f>INDEX(Input_Costs!$C$5:$AT$83,MATCH($C85,Input_Costs!$C$5:$C$83,0),MATCH(Total_Cost,Input_Costs!$C$5:$AT$5,0))</f>
        <v>105981232</v>
      </c>
      <c r="J85" s="54">
        <f>INDEX(Input_Costs!$C$5:$AT$83,MATCH($C85,Input_Costs!$C$5:$C$83,0),MATCH(NLTF_Cost,Input_Costs!$C$5:$AT$5,0))</f>
        <v>55891785</v>
      </c>
      <c r="K85" s="54">
        <f t="shared" si="7"/>
        <v>50089447</v>
      </c>
      <c r="L85" s="56">
        <f t="shared" si="8"/>
        <v>0.52737436568014229</v>
      </c>
      <c r="O85" s="17"/>
    </row>
    <row r="86" spans="2:15" x14ac:dyDescent="0.25">
      <c r="B86" s="51">
        <v>74</v>
      </c>
      <c r="C86" s="46" t="s">
        <v>65</v>
      </c>
      <c r="D86" s="54">
        <f>INDEX(Input_Centreline!$C$5:$J$83,MATCH($C86,Input_Centreline!$C$5:$C$83,0),MATCH(Centreline,Input_Centreline!$C$5:$J$5,0))</f>
        <v>178.4</v>
      </c>
      <c r="E86" s="54">
        <f>INDEX('Input_QV Valuation'!$C$5:$Q$83,MATCH($C86,'Input_QV Valuation'!$C$5:$C$83,0),MATCH(Capital_Value,'Input_QV Valuation'!$C$5:$Q$5,0))</f>
        <v>161610350</v>
      </c>
      <c r="F86" s="46">
        <f t="shared" si="6"/>
        <v>1.1038896951835077E-6</v>
      </c>
      <c r="G86" s="54">
        <f>INDEX('Input_QV Valuation'!$C$5:$Q$83,MATCH($C86,'Input_QV Valuation'!$C$5:$C$83,0),MATCH(Rateable_Units,'Input_QV Valuation'!$C$5:$Q$5,0))</f>
        <v>562</v>
      </c>
      <c r="H86" s="55">
        <f>INDEX(Input_Deprivation!$B$5:$D$83,MATCH(Parameter!C86,Input_Deprivation!$B$5:$B$83,0),MATCH(Deprivation_Index,Input_Deprivation!$B$5:$D$5,0))</f>
        <v>1056.7454545454545</v>
      </c>
      <c r="I86" s="54">
        <f>INDEX(Input_Costs!$C$5:$AT$83,MATCH($C86,Input_Costs!$C$5:$C$83,0),MATCH(Total_Cost,Input_Costs!$C$5:$AT$5,0))</f>
        <v>15073879</v>
      </c>
      <c r="J86" s="54">
        <f>INDEX(Input_Costs!$C$5:$AT$83,MATCH($C86,Input_Costs!$C$5:$C$83,0),MATCH(NLTF_Cost,Input_Costs!$C$5:$AT$5,0))</f>
        <v>13382159</v>
      </c>
      <c r="K86" s="54">
        <f t="shared" si="7"/>
        <v>1691720</v>
      </c>
      <c r="L86" s="56">
        <f t="shared" si="8"/>
        <v>0.88777142233926654</v>
      </c>
      <c r="O86" s="17"/>
    </row>
    <row r="87" spans="2:15" x14ac:dyDescent="0.25">
      <c r="B87" s="51">
        <v>81</v>
      </c>
      <c r="C87" s="46" t="s">
        <v>66</v>
      </c>
      <c r="D87" s="54">
        <f>INDEX(Input_Centreline!$C$5:$J$83,MATCH($C87,Input_Centreline!$C$5:$C$83,0),MATCH(Centreline,Input_Centreline!$C$5:$J$5,0))</f>
        <v>5828.0999999999995</v>
      </c>
      <c r="E87" s="54">
        <f>INDEX('Input_QV Valuation'!$C$5:$Q$83,MATCH($C87,'Input_QV Valuation'!$C$5:$C$83,0),MATCH(Capital_Value,'Input_QV Valuation'!$C$5:$Q$5,0))</f>
        <v>60980480176.330002</v>
      </c>
      <c r="F87" s="46">
        <f t="shared" si="6"/>
        <v>9.5573206100502588E-8</v>
      </c>
      <c r="G87" s="54">
        <f>INDEX('Input_QV Valuation'!$C$5:$Q$83,MATCH($C87,'Input_QV Valuation'!$C$5:$C$83,0),MATCH(Rateable_Units,'Input_QV Valuation'!$C$5:$Q$5,0))</f>
        <v>96426</v>
      </c>
      <c r="H87" s="55">
        <f>INDEX(Input_Deprivation!$B$5:$D$83,MATCH(Parameter!C87,Input_Deprivation!$B$5:$B$83,0),MATCH(Deprivation_Index,Input_Deprivation!$B$5:$D$5,0))</f>
        <v>1068.4937188033903</v>
      </c>
      <c r="I87" s="54">
        <f>INDEX(Input_Costs!$C$5:$AT$83,MATCH($C87,Input_Costs!$C$5:$C$83,0),MATCH(Total_Cost,Input_Costs!$C$5:$AT$5,0))</f>
        <v>9280061</v>
      </c>
      <c r="J87" s="54">
        <f>INDEX(Input_Costs!$C$5:$AT$83,MATCH($C87,Input_Costs!$C$5:$C$83,0),MATCH(NLTF_Cost,Input_Costs!$C$5:$AT$5,0))</f>
        <v>5008300</v>
      </c>
      <c r="K87" s="54">
        <f t="shared" si="7"/>
        <v>4271761</v>
      </c>
      <c r="L87" s="56">
        <f t="shared" si="8"/>
        <v>0.53968395250850187</v>
      </c>
      <c r="O87" s="17"/>
    </row>
    <row r="88" spans="2:15" x14ac:dyDescent="0.25">
      <c r="B88" s="51">
        <v>83</v>
      </c>
      <c r="C88" s="46" t="s">
        <v>67</v>
      </c>
      <c r="D88" s="54">
        <f>INDEX(Input_Centreline!$C$5:$J$83,MATCH($C88,Input_Centreline!$C$5:$C$83,0),MATCH(Centreline,Input_Centreline!$C$5:$J$5,0))</f>
        <v>9727.1</v>
      </c>
      <c r="E88" s="54">
        <f>INDEX('Input_QV Valuation'!$C$5:$Q$83,MATCH($C88,'Input_QV Valuation'!$C$5:$C$83,0),MATCH(Capital_Value,'Input_QV Valuation'!$C$5:$Q$5,0))</f>
        <v>179794054862.22757</v>
      </c>
      <c r="F88" s="46">
        <f t="shared" si="6"/>
        <v>5.410134393739367E-8</v>
      </c>
      <c r="G88" s="54">
        <f>INDEX('Input_QV Valuation'!$C$5:$Q$83,MATCH($C88,'Input_QV Valuation'!$C$5:$C$83,0),MATCH(Rateable_Units,'Input_QV Valuation'!$C$5:$Q$5,0))</f>
        <v>212402</v>
      </c>
      <c r="H88" s="55">
        <f>INDEX(Input_Deprivation!$B$5:$D$83,MATCH(Parameter!C88,Input_Deprivation!$B$5:$B$83,0),MATCH(Deprivation_Index,Input_Deprivation!$B$5:$D$5,0))</f>
        <v>1018.6032649936983</v>
      </c>
      <c r="I88" s="54">
        <f>INDEX(Input_Costs!$C$5:$AT$83,MATCH($C88,Input_Costs!$C$5:$C$83,0),MATCH(Total_Cost,Input_Costs!$C$5:$AT$5,0))</f>
        <v>78599184</v>
      </c>
      <c r="J88" s="54">
        <f>INDEX(Input_Costs!$C$5:$AT$83,MATCH($C88,Input_Costs!$C$5:$C$83,0),MATCH(NLTF_Cost,Input_Costs!$C$5:$AT$5,0))</f>
        <v>40801701</v>
      </c>
      <c r="K88" s="54">
        <f t="shared" si="7"/>
        <v>37797483</v>
      </c>
      <c r="L88" s="56">
        <f t="shared" si="8"/>
        <v>0.51911099993099163</v>
      </c>
      <c r="O88" s="17"/>
    </row>
    <row r="89" spans="2:15" x14ac:dyDescent="0.25">
      <c r="B89" s="51">
        <v>84</v>
      </c>
      <c r="C89" s="46" t="s">
        <v>68</v>
      </c>
      <c r="D89" s="54">
        <f>INDEX(Input_Centreline!$C$5:$J$83,MATCH($C89,Input_Centreline!$C$5:$C$83,0),MATCH(Centreline,Input_Centreline!$C$5:$J$5,0))</f>
        <v>3944.3</v>
      </c>
      <c r="E89" s="54">
        <f>INDEX('Input_QV Valuation'!$C$5:$Q$83,MATCH($C89,'Input_QV Valuation'!$C$5:$C$83,0),MATCH(Capital_Value,'Input_QV Valuation'!$C$5:$Q$5,0))</f>
        <v>116677898018.10001</v>
      </c>
      <c r="F89" s="46">
        <f t="shared" si="6"/>
        <v>3.3805031346966232E-8</v>
      </c>
      <c r="G89" s="54">
        <f>INDEX('Input_QV Valuation'!$C$5:$Q$83,MATCH($C89,'Input_QV Valuation'!$C$5:$C$83,0),MATCH(Rateable_Units,'Input_QV Valuation'!$C$5:$Q$5,0))</f>
        <v>136926</v>
      </c>
      <c r="H89" s="55">
        <f>INDEX(Input_Deprivation!$B$5:$D$83,MATCH(Parameter!C89,Input_Deprivation!$B$5:$B$83,0),MATCH(Deprivation_Index,Input_Deprivation!$B$5:$D$5,0))</f>
        <v>1021.0700185575139</v>
      </c>
      <c r="I89" s="54">
        <f>INDEX(Input_Costs!$C$5:$AT$83,MATCH($C89,Input_Costs!$C$5:$C$83,0),MATCH(Total_Cost,Input_Costs!$C$5:$AT$5,0))</f>
        <v>58827245</v>
      </c>
      <c r="J89" s="54">
        <f>INDEX(Input_Costs!$C$5:$AT$83,MATCH($C89,Input_Costs!$C$5:$C$83,0),MATCH(NLTF_Cost,Input_Costs!$C$5:$AT$5,0))</f>
        <v>30485708</v>
      </c>
      <c r="K89" s="54">
        <f t="shared" si="7"/>
        <v>28341537</v>
      </c>
      <c r="L89" s="56">
        <f t="shared" si="8"/>
        <v>0.51822430236194128</v>
      </c>
      <c r="O89" s="17"/>
    </row>
    <row r="90" spans="2:15" x14ac:dyDescent="0.25">
      <c r="B90" s="51">
        <v>86</v>
      </c>
      <c r="C90" s="46" t="s">
        <v>69</v>
      </c>
      <c r="D90" s="54">
        <f>INDEX(Input_Centreline!$C$5:$J$83,MATCH($C90,Input_Centreline!$C$5:$C$83,0),MATCH(Centreline,Input_Centreline!$C$5:$J$5,0))</f>
        <v>4177.9000000000005</v>
      </c>
      <c r="E90" s="54">
        <f>INDEX('Input_QV Valuation'!$C$5:$Q$83,MATCH($C90,'Input_QV Valuation'!$C$5:$C$83,0),MATCH(Capital_Value,'Input_QV Valuation'!$C$5:$Q$5,0))</f>
        <v>53681653202.850006</v>
      </c>
      <c r="F90" s="46">
        <f t="shared" si="6"/>
        <v>7.7827334866397E-8</v>
      </c>
      <c r="G90" s="54">
        <f>INDEX('Input_QV Valuation'!$C$5:$Q$83,MATCH($C90,'Input_QV Valuation'!$C$5:$C$83,0),MATCH(Rateable_Units,'Input_QV Valuation'!$C$5:$Q$5,0))</f>
        <v>71072</v>
      </c>
      <c r="H90" s="55">
        <f>INDEX(Input_Deprivation!$B$5:$D$83,MATCH(Parameter!C90,Input_Deprivation!$B$5:$B$83,0),MATCH(Deprivation_Index,Input_Deprivation!$B$5:$D$5,0))</f>
        <v>1028.7512624440917</v>
      </c>
      <c r="I90" s="54">
        <f>INDEX(Input_Costs!$C$5:$AT$83,MATCH($C90,Input_Costs!$C$5:$C$83,0),MATCH(Total_Cost,Input_Costs!$C$5:$AT$5,0))</f>
        <v>16251083</v>
      </c>
      <c r="J90" s="54">
        <f>INDEX(Input_Costs!$C$5:$AT$83,MATCH($C90,Input_Costs!$C$5:$C$83,0),MATCH(NLTF_Cost,Input_Costs!$C$5:$AT$5,0))</f>
        <v>9165473</v>
      </c>
      <c r="K90" s="54">
        <f t="shared" si="7"/>
        <v>7085610</v>
      </c>
      <c r="L90" s="56">
        <f t="shared" si="8"/>
        <v>0.56399151982670936</v>
      </c>
      <c r="O90" s="17"/>
    </row>
    <row r="91" spans="2:15" x14ac:dyDescent="0.25">
      <c r="B91" s="51">
        <v>87</v>
      </c>
      <c r="C91" s="46" t="s">
        <v>70</v>
      </c>
      <c r="D91" s="54">
        <f>INDEX(Input_Centreline!$C$5:$J$83,MATCH($C91,Input_Centreline!$C$5:$C$83,0),MATCH(Centreline,Input_Centreline!$C$5:$J$5,0))</f>
        <v>3536.6</v>
      </c>
      <c r="E91" s="54">
        <f>INDEX('Input_QV Valuation'!$C$5:$Q$83,MATCH($C91,'Input_QV Valuation'!$C$5:$C$83,0),MATCH(Capital_Value,'Input_QV Valuation'!$C$5:$Q$5,0))</f>
        <v>37826435697.800003</v>
      </c>
      <c r="F91" s="46">
        <f t="shared" si="6"/>
        <v>9.3495459848618237E-8</v>
      </c>
      <c r="G91" s="54">
        <f>INDEX('Input_QV Valuation'!$C$5:$Q$83,MATCH($C91,'Input_QV Valuation'!$C$5:$C$83,0),MATCH(Rateable_Units,'Input_QV Valuation'!$C$5:$Q$5,0))</f>
        <v>54774</v>
      </c>
      <c r="H91" s="55">
        <f>INDEX(Input_Deprivation!$B$5:$D$83,MATCH(Parameter!C91,Input_Deprivation!$B$5:$B$83,0),MATCH(Deprivation_Index,Input_Deprivation!$B$5:$D$5,0))</f>
        <v>1012.6067750815661</v>
      </c>
      <c r="I91" s="54">
        <f>INDEX(Input_Costs!$C$5:$AT$83,MATCH($C91,Input_Costs!$C$5:$C$83,0),MATCH(Total_Cost,Input_Costs!$C$5:$AT$5,0))</f>
        <v>12508347</v>
      </c>
      <c r="J91" s="54">
        <f>INDEX(Input_Costs!$C$5:$AT$83,MATCH($C91,Input_Costs!$C$5:$C$83,0),MATCH(NLTF_Cost,Input_Costs!$C$5:$AT$5,0))</f>
        <v>6620569</v>
      </c>
      <c r="K91" s="54">
        <f t="shared" si="7"/>
        <v>5887778</v>
      </c>
      <c r="L91" s="56">
        <f t="shared" si="8"/>
        <v>0.52929207992071214</v>
      </c>
      <c r="O91" s="17"/>
    </row>
    <row r="92" spans="2:15" x14ac:dyDescent="0.25">
      <c r="B92" s="51">
        <v>88</v>
      </c>
      <c r="C92" s="46" t="s">
        <v>71</v>
      </c>
      <c r="D92" s="54">
        <f>INDEX(Input_Centreline!$C$5:$J$83,MATCH($C92,Input_Centreline!$C$5:$C$83,0),MATCH(Centreline,Input_Centreline!$C$5:$J$5,0))</f>
        <v>7843.5999999999995</v>
      </c>
      <c r="E92" s="54">
        <f>INDEX('Input_QV Valuation'!$C$5:$Q$83,MATCH($C92,'Input_QV Valuation'!$C$5:$C$83,0),MATCH(Capital_Value,'Input_QV Valuation'!$C$5:$Q$5,0))</f>
        <v>67267383268.339996</v>
      </c>
      <c r="F92" s="46">
        <f t="shared" si="6"/>
        <v>1.1660331677702796E-7</v>
      </c>
      <c r="G92" s="54">
        <f>INDEX('Input_QV Valuation'!$C$5:$Q$83,MATCH($C92,'Input_QV Valuation'!$C$5:$C$83,0),MATCH(Rateable_Units,'Input_QV Valuation'!$C$5:$Q$5,0))</f>
        <v>112215</v>
      </c>
      <c r="H92" s="55">
        <f>INDEX(Input_Deprivation!$B$5:$D$83,MATCH(Parameter!C92,Input_Deprivation!$B$5:$B$83,0),MATCH(Deprivation_Index,Input_Deprivation!$B$5:$D$5,0))</f>
        <v>1031.7979881805609</v>
      </c>
      <c r="I92" s="54">
        <f>INDEX(Input_Costs!$C$5:$AT$83,MATCH($C92,Input_Costs!$C$5:$C$83,0),MATCH(Total_Cost,Input_Costs!$C$5:$AT$5,0))</f>
        <v>27512460</v>
      </c>
      <c r="J92" s="54">
        <f>INDEX(Input_Costs!$C$5:$AT$83,MATCH($C92,Input_Costs!$C$5:$C$83,0),MATCH(NLTF_Cost,Input_Costs!$C$5:$AT$5,0))</f>
        <v>15029128</v>
      </c>
      <c r="K92" s="54">
        <f t="shared" si="7"/>
        <v>12483332</v>
      </c>
      <c r="L92" s="56">
        <f t="shared" si="8"/>
        <v>0.54626623718853207</v>
      </c>
      <c r="O92" s="17"/>
    </row>
    <row r="93" spans="2:15" x14ac:dyDescent="0.25">
      <c r="B93" s="51">
        <v>89</v>
      </c>
      <c r="C93" s="46" t="s">
        <v>72</v>
      </c>
      <c r="D93" s="54">
        <f>INDEX(Input_Centreline!$C$5:$J$83,MATCH($C93,Input_Centreline!$C$5:$C$83,0),MATCH(Centreline,Input_Centreline!$C$5:$J$5,0))</f>
        <v>4044.7</v>
      </c>
      <c r="E93" s="54">
        <f>INDEX('Input_QV Valuation'!$C$5:$Q$83,MATCH($C93,'Input_QV Valuation'!$C$5:$C$83,0),MATCH(Capital_Value,'Input_QV Valuation'!$C$5:$Q$5,0))</f>
        <v>157173323124.5</v>
      </c>
      <c r="F93" s="46">
        <f t="shared" si="6"/>
        <v>2.5734010833353161E-8</v>
      </c>
      <c r="G93" s="54">
        <f>INDEX('Input_QV Valuation'!$C$5:$Q$83,MATCH($C93,'Input_QV Valuation'!$C$5:$C$83,0),MATCH(Rateable_Units,'Input_QV Valuation'!$C$5:$Q$5,0))</f>
        <v>203850</v>
      </c>
      <c r="H93" s="55">
        <f>INDEX(Input_Deprivation!$B$5:$D$83,MATCH(Parameter!C93,Input_Deprivation!$B$5:$B$83,0),MATCH(Deprivation_Index,Input_Deprivation!$B$5:$D$5,0))</f>
        <v>981.41046026343054</v>
      </c>
      <c r="I93" s="54">
        <f>INDEX(Input_Costs!$C$5:$AT$83,MATCH($C93,Input_Costs!$C$5:$C$83,0),MATCH(Total_Cost,Input_Costs!$C$5:$AT$5,0))</f>
        <v>564994040</v>
      </c>
      <c r="J93" s="54">
        <f>INDEX(Input_Costs!$C$5:$AT$83,MATCH($C93,Input_Costs!$C$5:$C$83,0),MATCH(NLTF_Cost,Input_Costs!$C$5:$AT$5,0))</f>
        <v>298186051</v>
      </c>
      <c r="K93" s="54">
        <f t="shared" si="7"/>
        <v>266807989</v>
      </c>
      <c r="L93" s="56">
        <f t="shared" si="8"/>
        <v>0.52776848938087917</v>
      </c>
      <c r="O93" s="17"/>
    </row>
    <row r="94" spans="2:15" x14ac:dyDescent="0.25">
      <c r="B94" s="51">
        <v>90</v>
      </c>
      <c r="C94" s="46" t="s">
        <v>73</v>
      </c>
      <c r="D94" s="54">
        <f>INDEX(Input_Centreline!$C$5:$J$83,MATCH($C94,Input_Centreline!$C$5:$C$83,0),MATCH(Centreline,Input_Centreline!$C$5:$J$5,0))</f>
        <v>1907.5</v>
      </c>
      <c r="E94" s="54">
        <f>INDEX('Input_QV Valuation'!$C$5:$Q$83,MATCH($C94,'Input_QV Valuation'!$C$5:$C$83,0),MATCH(Capital_Value,'Input_QV Valuation'!$C$5:$Q$5,0))</f>
        <v>7344931296</v>
      </c>
      <c r="F94" s="46">
        <f t="shared" si="6"/>
        <v>2.5970290573566175E-7</v>
      </c>
      <c r="G94" s="54">
        <f>INDEX('Input_QV Valuation'!$C$5:$Q$83,MATCH($C94,'Input_QV Valuation'!$C$5:$C$83,0),MATCH(Rateable_Units,'Input_QV Valuation'!$C$5:$Q$5,0))</f>
        <v>22417</v>
      </c>
      <c r="H94" s="55">
        <f>INDEX(Input_Deprivation!$B$5:$D$83,MATCH(Parameter!C94,Input_Deprivation!$B$5:$B$83,0),MATCH(Deprivation_Index,Input_Deprivation!$B$5:$D$5,0))</f>
        <v>1028.6896977760882</v>
      </c>
      <c r="I94" s="54">
        <f>INDEX(Input_Costs!$C$5:$AT$83,MATCH($C94,Input_Costs!$C$5:$C$83,0),MATCH(Total_Cost,Input_Costs!$C$5:$AT$5,0))</f>
        <v>562209</v>
      </c>
      <c r="J94" s="54">
        <f>INDEX(Input_Costs!$C$5:$AT$83,MATCH($C94,Input_Costs!$C$5:$C$83,0),MATCH(NLTF_Cost,Input_Costs!$C$5:$AT$5,0))</f>
        <v>318449</v>
      </c>
      <c r="K94" s="54">
        <f t="shared" si="7"/>
        <v>243760</v>
      </c>
      <c r="L94" s="56">
        <f t="shared" si="8"/>
        <v>0.56642458587464806</v>
      </c>
      <c r="O94" s="17"/>
    </row>
    <row r="95" spans="2:15" x14ac:dyDescent="0.25">
      <c r="B95" s="51">
        <v>91</v>
      </c>
      <c r="C95" s="46" t="s">
        <v>74</v>
      </c>
      <c r="D95" s="54">
        <f>INDEX(Input_Centreline!$C$5:$J$83,MATCH($C95,Input_Centreline!$C$5:$C$83,0),MATCH(Centreline,Input_Centreline!$C$5:$J$5,0))</f>
        <v>14646.8</v>
      </c>
      <c r="E95" s="54">
        <f>INDEX('Input_QV Valuation'!$C$5:$Q$83,MATCH($C95,'Input_QV Valuation'!$C$5:$C$83,0),MATCH(Capital_Value,'Input_QV Valuation'!$C$5:$Q$5,0))</f>
        <v>203166855876.65002</v>
      </c>
      <c r="F95" s="46">
        <f t="shared" si="6"/>
        <v>7.2092467724620415E-8</v>
      </c>
      <c r="G95" s="54">
        <f>INDEX('Input_QV Valuation'!$C$5:$Q$83,MATCH($C95,'Input_QV Valuation'!$C$5:$C$83,0),MATCH(Rateable_Units,'Input_QV Valuation'!$C$5:$Q$5,0))</f>
        <v>283615</v>
      </c>
      <c r="H95" s="55">
        <f>INDEX(Input_Deprivation!$B$5:$D$83,MATCH(Parameter!C95,Input_Deprivation!$B$5:$B$83,0),MATCH(Deprivation_Index,Input_Deprivation!$B$5:$D$5,0))</f>
        <v>971.57486204474765</v>
      </c>
      <c r="I95" s="54">
        <f>INDEX(Input_Costs!$C$5:$AT$83,MATCH($C95,Input_Costs!$C$5:$C$83,0),MATCH(Total_Cost,Input_Costs!$C$5:$AT$5,0))</f>
        <v>183534376</v>
      </c>
      <c r="J95" s="54">
        <f>INDEX(Input_Costs!$C$5:$AT$83,MATCH($C95,Input_Costs!$C$5:$C$83,0),MATCH(NLTF_Cost,Input_Costs!$C$5:$AT$5,0))</f>
        <v>95090981</v>
      </c>
      <c r="K95" s="54">
        <f t="shared" si="7"/>
        <v>88443395</v>
      </c>
      <c r="L95" s="56">
        <f t="shared" si="8"/>
        <v>0.5181099207267853</v>
      </c>
      <c r="O95" s="17"/>
    </row>
    <row r="96" spans="2:15" x14ac:dyDescent="0.25">
      <c r="B96" s="51">
        <v>93</v>
      </c>
      <c r="C96" s="46" t="s">
        <v>75</v>
      </c>
      <c r="D96" s="54">
        <f>INDEX(Input_Centreline!$C$5:$J$83,MATCH($C96,Input_Centreline!$C$5:$C$83,0),MATCH(Centreline,Input_Centreline!$C$5:$J$5,0))</f>
        <v>9263.9</v>
      </c>
      <c r="E96" s="54">
        <f>INDEX('Input_QV Valuation'!$C$5:$Q$83,MATCH($C96,'Input_QV Valuation'!$C$5:$C$83,0),MATCH(Capital_Value,'Input_QV Valuation'!$C$5:$Q$5,0))</f>
        <v>99131073181.200012</v>
      </c>
      <c r="F96" s="46">
        <f t="shared" si="6"/>
        <v>9.3451020983770376E-8</v>
      </c>
      <c r="G96" s="54">
        <f>INDEX('Input_QV Valuation'!$C$5:$Q$83,MATCH($C96,'Input_QV Valuation'!$C$5:$C$83,0),MATCH(Rateable_Units,'Input_QV Valuation'!$C$5:$Q$5,0))</f>
        <v>119451</v>
      </c>
      <c r="H96" s="55">
        <f>INDEX(Input_Deprivation!$B$5:$D$83,MATCH(Parameter!C96,Input_Deprivation!$B$5:$B$83,0),MATCH(Deprivation_Index,Input_Deprivation!$B$5:$D$5,0))</f>
        <v>973.19230260722406</v>
      </c>
      <c r="I96" s="54">
        <f>INDEX(Input_Costs!$C$5:$AT$83,MATCH($C96,Input_Costs!$C$5:$C$83,0),MATCH(Total_Cost,Input_Costs!$C$5:$AT$5,0))</f>
        <v>58952890</v>
      </c>
      <c r="J96" s="54">
        <f>INDEX(Input_Costs!$C$5:$AT$83,MATCH($C96,Input_Costs!$C$5:$C$83,0),MATCH(NLTF_Cost,Input_Costs!$C$5:$AT$5,0))</f>
        <v>30967901</v>
      </c>
      <c r="K96" s="54">
        <f t="shared" si="7"/>
        <v>27984989</v>
      </c>
      <c r="L96" s="56">
        <f t="shared" si="8"/>
        <v>0.52529911595512957</v>
      </c>
      <c r="O96" s="17"/>
    </row>
    <row r="97" spans="2:15" x14ac:dyDescent="0.25">
      <c r="B97" s="51">
        <v>94</v>
      </c>
      <c r="C97" s="46" t="s">
        <v>76</v>
      </c>
      <c r="D97" s="54">
        <f>INDEX(Input_Centreline!$C$5:$J$83,MATCH($C97,Input_Centreline!$C$5:$C$83,0),MATCH(Centreline,Input_Centreline!$C$5:$J$5,0))</f>
        <v>6458.5</v>
      </c>
      <c r="E97" s="54">
        <f>INDEX('Input_QV Valuation'!$C$5:$Q$83,MATCH($C97,'Input_QV Valuation'!$C$5:$C$83,0),MATCH(Capital_Value,'Input_QV Valuation'!$C$5:$Q$5,0))</f>
        <v>37308299841</v>
      </c>
      <c r="F97" s="46">
        <f t="shared" si="6"/>
        <v>1.7311161397128111E-7</v>
      </c>
      <c r="G97" s="54">
        <f>INDEX('Input_QV Valuation'!$C$5:$Q$83,MATCH($C97,'Input_QV Valuation'!$C$5:$C$83,0),MATCH(Rateable_Units,'Input_QV Valuation'!$C$5:$Q$5,0))</f>
        <v>50814</v>
      </c>
      <c r="H97" s="55">
        <f>INDEX(Input_Deprivation!$B$5:$D$83,MATCH(Parameter!C97,Input_Deprivation!$B$5:$B$83,0),MATCH(Deprivation_Index,Input_Deprivation!$B$5:$D$5,0))</f>
        <v>994.33963367708168</v>
      </c>
      <c r="I97" s="54">
        <f>INDEX(Input_Costs!$C$5:$AT$83,MATCH($C97,Input_Costs!$C$5:$C$83,0),MATCH(Total_Cost,Input_Costs!$C$5:$AT$5,0))</f>
        <v>900049</v>
      </c>
      <c r="J97" s="54">
        <f>INDEX(Input_Costs!$C$5:$AT$83,MATCH($C97,Input_Costs!$C$5:$C$83,0),MATCH(NLTF_Cost,Input_Costs!$C$5:$AT$5,0))</f>
        <v>557421</v>
      </c>
      <c r="K97" s="54">
        <f t="shared" si="7"/>
        <v>342628</v>
      </c>
      <c r="L97" s="56">
        <f t="shared" si="8"/>
        <v>0.6193229479728326</v>
      </c>
      <c r="O97" s="17"/>
    </row>
    <row r="98" spans="2:15" x14ac:dyDescent="0.25">
      <c r="B98" s="51">
        <v>99</v>
      </c>
      <c r="C98" s="46" t="s">
        <v>115</v>
      </c>
      <c r="D98" s="57"/>
      <c r="E98" s="57"/>
      <c r="F98" s="57"/>
      <c r="G98" s="57"/>
      <c r="H98" s="57"/>
      <c r="I98" s="54">
        <f>SUM(I20:I97)</f>
        <v>7948368829</v>
      </c>
      <c r="J98" s="54">
        <f>SUM(J20:J97)</f>
        <v>4277143225</v>
      </c>
      <c r="K98" s="54">
        <f>SUM(K20:K97)</f>
        <v>3671225604</v>
      </c>
      <c r="L98" s="56">
        <f t="shared" si="8"/>
        <v>0.53811584703953852</v>
      </c>
    </row>
    <row r="99" spans="2:15" x14ac:dyDescent="0.25"/>
    <row r="100" spans="2:15" x14ac:dyDescent="0.25">
      <c r="B100" s="20" t="s">
        <v>323</v>
      </c>
      <c r="C100" s="26"/>
      <c r="D100" s="26"/>
      <c r="E100" s="26"/>
      <c r="F100" s="26"/>
      <c r="G100" s="26"/>
      <c r="H100" s="26"/>
      <c r="I100" s="26"/>
      <c r="J100" s="26"/>
      <c r="K100" s="26"/>
      <c r="L100" s="26"/>
    </row>
    <row r="101" spans="2:15" x14ac:dyDescent="0.25"/>
  </sheetData>
  <conditionalFormatting sqref="J15">
    <cfRule type="expression" dxfId="12" priority="1">
      <formula>ABS($J$14)&lt;0.015%</formula>
    </cfRule>
    <cfRule type="expression" dxfId="11" priority="2">
      <formula>ABS($J$14)&gt;0.015%</formula>
    </cfRule>
  </conditionalFormatting>
  <dataValidations count="3">
    <dataValidation type="decimal" operator="lessThan" allowBlank="1" showInputMessage="1" showErrorMessage="1" error="Must be below the Overall rate._x000a__x000a_Remember to enter as percentage." promptTitle="Minimum FAR" prompt="Set below the overall rate._x000a__x000a_Remember to enter as percentage." sqref="J9" xr:uid="{00000000-0002-0000-0100-000002000000}">
      <formula1>J8</formula1>
    </dataValidation>
    <dataValidation type="decimal" allowBlank="1" showInputMessage="1" showErrorMessage="1" promptTitle="Overall national FAR" prompt="20% to 100% is allowed in the model._x000a__x000a_Remember to enter as percentage." sqref="J8" xr:uid="{00000000-0002-0000-0100-000001000000}">
      <formula1>0.2</formula1>
      <formula2>1</formula2>
    </dataValidation>
    <dataValidation type="decimal" allowBlank="1" showInputMessage="1" showErrorMessage="1" promptTitle="Maximum FAR" prompt="50 to 100% is allowed in the model._x000a__x000a_Remember to enter as percentage." sqref="J6:J7" xr:uid="{00000000-0002-0000-0100-000000000000}">
      <formula1>0.5</formula1>
      <formula2>1</formula2>
    </dataValidation>
  </dataValidations>
  <pageMargins left="0.23622047244094491" right="0.23622047244094491" top="0" bottom="0" header="0.31496062992125984" footer="0.31496062992125984"/>
  <pageSetup paperSize="9" scale="43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5AB9A19-438E-4380-A4B6-65E4694E2597}">
          <x14:formula1>
            <xm:f>Model_Info!$C$163:$C$165</xm:f>
          </x14:formula1>
          <xm:sqref>C7</xm:sqref>
        </x14:dataValidation>
        <x14:dataValidation type="list" allowBlank="1" showInputMessage="1" showErrorMessage="1" xr:uid="{5A558E9A-3D39-42F3-9A06-D267A8F6EC7C}">
          <x14:formula1>
            <xm:f>Model_Info!$C$168:$C$170</xm:f>
          </x14:formula1>
          <xm:sqref>C8</xm:sqref>
        </x14:dataValidation>
        <x14:dataValidation type="list" allowBlank="1" showInputMessage="1" showErrorMessage="1" xr:uid="{D9D0EEEE-E031-48E9-9C42-D1FC8D6CFFE1}">
          <x14:formula1>
            <xm:f>Model_Info!$C$173:$C$179</xm:f>
          </x14:formula1>
          <xm:sqref>C10</xm:sqref>
        </x14:dataValidation>
        <x14:dataValidation type="list" allowBlank="1" showInputMessage="1" showErrorMessage="1" xr:uid="{A2132EE4-0149-43B7-B870-EE1EDA7AAF7A}">
          <x14:formula1>
            <xm:f>Model_Info!$C$182:$C$183</xm:f>
          </x14:formula1>
          <xm:sqref>C9</xm:sqref>
        </x14:dataValidation>
        <x14:dataValidation type="list" allowBlank="1" showInputMessage="1" showErrorMessage="1" xr:uid="{FF0AC26C-3E44-455C-B632-4A252EC4DD0C}">
          <x14:formula1>
            <xm:f>Model_Info!$C$154:$C$160</xm:f>
          </x14:formula1>
          <xm:sqref>C6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</vt:i4>
      </vt:variant>
    </vt:vector>
  </HeadingPairs>
  <TitlesOfParts>
    <vt:vector size="21" baseType="lpstr">
      <vt:lpstr>Read_Me</vt:lpstr>
      <vt:lpstr>Model_Info</vt:lpstr>
      <vt:lpstr>Input_Centreline</vt:lpstr>
      <vt:lpstr>Input_QV Valuation</vt:lpstr>
      <vt:lpstr>Input_Deprivation</vt:lpstr>
      <vt:lpstr>Input_Costs</vt:lpstr>
      <vt:lpstr>Table_Previous FAR</vt:lpstr>
      <vt:lpstr>Table_Mapping</vt:lpstr>
      <vt:lpstr>Parameter</vt:lpstr>
      <vt:lpstr>Calculation</vt:lpstr>
      <vt:lpstr>Results</vt:lpstr>
      <vt:lpstr>Analysis2</vt:lpstr>
      <vt:lpstr>AOName</vt:lpstr>
      <vt:lpstr>Capital_Value</vt:lpstr>
      <vt:lpstr>Centreline</vt:lpstr>
      <vt:lpstr>Deprivation_Index</vt:lpstr>
      <vt:lpstr>Local_Share_Cost</vt:lpstr>
      <vt:lpstr>NLTF_Cost</vt:lpstr>
      <vt:lpstr>Results!Print_Area</vt:lpstr>
      <vt:lpstr>Rateable_Units</vt:lpstr>
      <vt:lpstr>Total_Cost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Evangelista</dc:creator>
  <cp:lastModifiedBy>Ronald Evangelista</cp:lastModifiedBy>
  <cp:lastPrinted>2017-03-15T03:03:24Z</cp:lastPrinted>
  <dcterms:created xsi:type="dcterms:W3CDTF">2013-12-23T02:29:24Z</dcterms:created>
  <dcterms:modified xsi:type="dcterms:W3CDTF">2020-11-26T00:48:33Z</dcterms:modified>
</cp:coreProperties>
</file>