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3065" windowHeight="4905" activeTab="2"/>
  </bookViews>
  <sheets>
    <sheet name="Introduction" sheetId="1" r:id="rId1"/>
    <sheet name="Safety Risk Assessment" sheetId="2" r:id="rId2"/>
    <sheet name="Infrastructure Risk Rating" sheetId="5" r:id="rId3"/>
    <sheet name="IRR Lookup Data" sheetId="4" state="hidden" r:id="rId4"/>
    <sheet name="Lookup Tables" sheetId="3" state="hidden" r:id="rId5"/>
  </sheets>
  <definedNames>
    <definedName name="IntersectionCorridor">'Lookup Tables'!$A$4:$I$4</definedName>
    <definedName name="IntersectionType">'Lookup Tables'!$B$4:$F$4</definedName>
    <definedName name="_xlnm.Print_Area" localSheetId="1">'Safety Risk Assessment'!$A$1:$E$40</definedName>
    <definedName name="RoadType">'Lookup Tables'!$A$1:$A$2</definedName>
    <definedName name="SpeedEnvironment">'Lookup Tables'!$A$6:$A$7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B19" i="5" l="1"/>
  <c r="B17" i="5"/>
  <c r="B15" i="5"/>
  <c r="B13" i="5"/>
  <c r="B11" i="5"/>
  <c r="B9" i="5"/>
  <c r="B7" i="5"/>
  <c r="B5" i="5"/>
  <c r="B26" i="4"/>
  <c r="B3" i="5" l="1"/>
  <c r="C3" i="5" l="1"/>
  <c r="B36" i="2"/>
  <c r="C36" i="2" l="1"/>
  <c r="C8" i="2"/>
  <c r="C7" i="2"/>
  <c r="A3" i="2"/>
  <c r="D45" i="3"/>
  <c r="D46" i="3" s="1"/>
  <c r="D47" i="3" l="1"/>
  <c r="D49" i="3" s="1"/>
  <c r="D18" i="2" s="1"/>
  <c r="D56" i="3" l="1"/>
  <c r="D25" i="2" s="1"/>
  <c r="D62" i="3"/>
  <c r="D31" i="2" s="1"/>
  <c r="D59" i="3"/>
  <c r="D28" i="2" s="1"/>
  <c r="D53" i="3"/>
  <c r="D22" i="2" s="1"/>
  <c r="D50" i="3"/>
  <c r="D19" i="2" s="1"/>
  <c r="D60" i="3"/>
  <c r="D29" i="2" s="1"/>
  <c r="D48" i="3"/>
  <c r="D17" i="2" s="1"/>
  <c r="D57" i="3"/>
  <c r="D26" i="2" s="1"/>
  <c r="D54" i="3"/>
  <c r="D23" i="2" s="1"/>
  <c r="D51" i="3"/>
  <c r="D20" i="2" s="1"/>
  <c r="D52" i="3"/>
  <c r="D21" i="2" s="1"/>
  <c r="D61" i="3"/>
  <c r="D30" i="2" s="1"/>
  <c r="D58" i="3"/>
  <c r="D27" i="2" s="1"/>
  <c r="D55" i="3"/>
  <c r="D24" i="2" s="1"/>
  <c r="D32" i="2" l="1"/>
  <c r="A4" i="2"/>
  <c r="B34" i="2" l="1"/>
  <c r="C34" i="2"/>
  <c r="A7" i="2"/>
  <c r="A8" i="2"/>
  <c r="A9" i="2"/>
  <c r="B9" i="2" s="1"/>
  <c r="B35" i="2" l="1"/>
  <c r="C35" i="2" s="1"/>
  <c r="B38" i="2" s="1"/>
</calcChain>
</file>

<file path=xl/comments1.xml><?xml version="1.0" encoding="utf-8"?>
<comments xmlns="http://schemas.openxmlformats.org/spreadsheetml/2006/main">
  <authors>
    <author>Paul Durdin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Paul Durdin:</t>
        </r>
        <r>
          <rPr>
            <sz val="9"/>
            <color indexed="81"/>
            <rFont val="Tahoma"/>
            <family val="2"/>
          </rPr>
          <t xml:space="preserve">
Presumes 3.5m lanes</t>
        </r>
      </text>
    </comment>
  </commentList>
</comments>
</file>

<file path=xl/sharedStrings.xml><?xml version="1.0" encoding="utf-8"?>
<sst xmlns="http://schemas.openxmlformats.org/spreadsheetml/2006/main" count="199" uniqueCount="136">
  <si>
    <t>Determining Safety Risk</t>
  </si>
  <si>
    <t>The purpose of this spreadsheet is to assist practitioners to determine the safety risk</t>
  </si>
  <si>
    <t>of intersections or corridors where 'road improvement projects' are proposed.</t>
  </si>
  <si>
    <t>Information requirements are:</t>
  </si>
  <si>
    <t>1. Crash Analysis System (CAS) data for the last 5 or 10 years.</t>
  </si>
  <si>
    <t>2. Traffic Volume information.</t>
  </si>
  <si>
    <t>Project Name</t>
  </si>
  <si>
    <t>Road Type</t>
  </si>
  <si>
    <t>Intersection</t>
  </si>
  <si>
    <t>Corridor</t>
  </si>
  <si>
    <t>Crash History</t>
  </si>
  <si>
    <t>Assessment Date</t>
  </si>
  <si>
    <t>Crash Analysis Period</t>
  </si>
  <si>
    <t>Start Year</t>
  </si>
  <si>
    <t>End Year</t>
  </si>
  <si>
    <t>Speed Environment</t>
  </si>
  <si>
    <t>Roundabout</t>
  </si>
  <si>
    <t>Traffic Signals Crossroads</t>
  </si>
  <si>
    <t>Traffic Signals T-Intersection</t>
  </si>
  <si>
    <t>Priority Controlled Crossroads</t>
  </si>
  <si>
    <t>Priority Controlled T-Intersection</t>
  </si>
  <si>
    <t>Urban</t>
  </si>
  <si>
    <t>Rural</t>
  </si>
  <si>
    <t>Crash Movement</t>
  </si>
  <si>
    <t>Number of Injury Crashes</t>
  </si>
  <si>
    <t>A</t>
  </si>
  <si>
    <t>B</t>
  </si>
  <si>
    <t>D</t>
  </si>
  <si>
    <t>E</t>
  </si>
  <si>
    <t>F</t>
  </si>
  <si>
    <t>G</t>
  </si>
  <si>
    <t>H</t>
  </si>
  <si>
    <t>J</t>
  </si>
  <si>
    <t>K</t>
  </si>
  <si>
    <t>L</t>
  </si>
  <si>
    <t>C</t>
  </si>
  <si>
    <t>M</t>
  </si>
  <si>
    <t>N</t>
  </si>
  <si>
    <t>P</t>
  </si>
  <si>
    <t>Q</t>
  </si>
  <si>
    <t>Collective Risk</t>
  </si>
  <si>
    <t>Personal Risk</t>
  </si>
  <si>
    <t>Two-Lane, Two-Way</t>
  </si>
  <si>
    <t>Multi Lane</t>
  </si>
  <si>
    <t>Estimated Dsi</t>
  </si>
  <si>
    <t>Only populate for intersections</t>
  </si>
  <si>
    <t>Only populate for corridors</t>
  </si>
  <si>
    <t>Urban Roundabout</t>
  </si>
  <si>
    <t>Rural Roundabout</t>
  </si>
  <si>
    <t>Corridor/Intersection?</t>
  </si>
  <si>
    <t>Type of Intersection?</t>
  </si>
  <si>
    <t>Type of Corridor?</t>
  </si>
  <si>
    <t>DSI Factor A</t>
  </si>
  <si>
    <t>Urban Traffic Signals Crossroads</t>
  </si>
  <si>
    <t>Urban Traffic Signals T-Intersection</t>
  </si>
  <si>
    <t>Urban Priority Controlled Crossroads</t>
  </si>
  <si>
    <t>Urban Priority Controlled T-Intersection</t>
  </si>
  <si>
    <t>Rural Traffic Signals Crossroads</t>
  </si>
  <si>
    <t>Rural Traffic Signals T-Intersection</t>
  </si>
  <si>
    <t>Rural Priority Controlled Crossroads</t>
  </si>
  <si>
    <t>Rural Priority Controlled T-Intersection</t>
  </si>
  <si>
    <t>Rural = 80km/h+, Urban = Less than 80km/h</t>
  </si>
  <si>
    <t>Rural Multi Lane</t>
  </si>
  <si>
    <t>Urban Multi Lane</t>
  </si>
  <si>
    <t>DSI Factor B</t>
  </si>
  <si>
    <t>DSI Factor C</t>
  </si>
  <si>
    <t>DSI Factor D</t>
  </si>
  <si>
    <t>DSI Factor E</t>
  </si>
  <si>
    <t>DSI Factor F</t>
  </si>
  <si>
    <t>DSI Factor G</t>
  </si>
  <si>
    <t>DSI Factor H</t>
  </si>
  <si>
    <t>DSI Factor J</t>
  </si>
  <si>
    <t>DSI Factor K</t>
  </si>
  <si>
    <t>DSI Factor L</t>
  </si>
  <si>
    <t>DSI Factor M</t>
  </si>
  <si>
    <t>DSI Factor N</t>
  </si>
  <si>
    <t>DSI Factor P</t>
  </si>
  <si>
    <t>DSI Factor Q</t>
  </si>
  <si>
    <t>Urban Two-Lane, Two-Way</t>
  </si>
  <si>
    <t>Rural Two-Lane, Two-Way</t>
  </si>
  <si>
    <t>Number of years in crash analysis period</t>
  </si>
  <si>
    <t>Strategic Fit</t>
  </si>
  <si>
    <t>Infrastructure Risk Rating</t>
  </si>
  <si>
    <t>Road Stereotype</t>
  </si>
  <si>
    <t>Risk Score</t>
  </si>
  <si>
    <t>Divided Non-Traversable</t>
  </si>
  <si>
    <t>Divided Traversable</t>
  </si>
  <si>
    <t>Multi-lane Undivided</t>
  </si>
  <si>
    <t>One Way</t>
  </si>
  <si>
    <t>Two Lane Undivided</t>
  </si>
  <si>
    <t>Unsealed</t>
  </si>
  <si>
    <t>Alignment</t>
  </si>
  <si>
    <t>Curved</t>
  </si>
  <si>
    <t>Straight</t>
  </si>
  <si>
    <t>Tortuous</t>
  </si>
  <si>
    <t>Winding</t>
  </si>
  <si>
    <t>Adjusted from 3 to represent Winding / Tortuous combination weighted 2/3 to Winding</t>
  </si>
  <si>
    <t>Carriageway</t>
  </si>
  <si>
    <t>Shoulder 0 to &lt;0.5</t>
  </si>
  <si>
    <t>Shoulder 0.5 to 1.0</t>
  </si>
  <si>
    <t>Shoulder 1.0+ to 2.0</t>
  </si>
  <si>
    <t>Shoulder 2.0+</t>
  </si>
  <si>
    <t>Roadside Hazard</t>
  </si>
  <si>
    <t>High</t>
  </si>
  <si>
    <t>Low</t>
  </si>
  <si>
    <t>Minor</t>
  </si>
  <si>
    <t>Moderate</t>
  </si>
  <si>
    <t>Moderate-High</t>
  </si>
  <si>
    <t>Severe</t>
  </si>
  <si>
    <t>Land Use</t>
  </si>
  <si>
    <t>Commercial Other / Industrial</t>
  </si>
  <si>
    <t>Commercial Strip</t>
  </si>
  <si>
    <t>Controlled Access</t>
  </si>
  <si>
    <t>No Access</t>
  </si>
  <si>
    <t>Remote Rural</t>
  </si>
  <si>
    <t>Rural Residential</t>
  </si>
  <si>
    <t>Rural Town</t>
  </si>
  <si>
    <t>Urban Residential</t>
  </si>
  <si>
    <t>Intersection Density</t>
  </si>
  <si>
    <t>&lt;1 / km</t>
  </si>
  <si>
    <t>1 - &lt;2 / km</t>
  </si>
  <si>
    <t>10+ / km</t>
  </si>
  <si>
    <t>2 - &lt;3 / km</t>
  </si>
  <si>
    <t>3 - &lt;5 / km</t>
  </si>
  <si>
    <t>5 - &lt;10 / km</t>
  </si>
  <si>
    <t>Access Density</t>
  </si>
  <si>
    <t>10 - &lt;20 / km</t>
  </si>
  <si>
    <t>2 - &lt;5 / km</t>
  </si>
  <si>
    <t>20+ / km</t>
  </si>
  <si>
    <t>Traffic Volume</t>
  </si>
  <si>
    <t>&lt; 1,000 vpd</t>
  </si>
  <si>
    <t>1,000 - &lt;6,000 vpd</t>
  </si>
  <si>
    <t>12,000+ vpd</t>
  </si>
  <si>
    <t>6,000 - &lt;12,000 vpd</t>
  </si>
  <si>
    <t>Corridor Assessment</t>
  </si>
  <si>
    <t>3. Corridor length measurement for the section under consideration.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</si>
</sst>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0"/>
      <color theme="1"/>
      <name val="Lucida Sans"/>
      <family val="2"/>
    </font>
    <font>
      <b/>
      <sz val="10"/>
      <color theme="1"/>
      <name val="Arial"/>
      <family val="2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2" borderId="0" xfId="0" applyFill="1"/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4" fillId="0" borderId="5" xfId="0" applyFont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/>
    <xf numFmtId="2" fontId="0" fillId="0" borderId="0" xfId="0" applyNumberFormat="1" applyAlignment="1"/>
    <xf numFmtId="0" fontId="0" fillId="0" borderId="0" xfId="0" applyAlignment="1"/>
    <xf numFmtId="0" fontId="4" fillId="0" borderId="4" xfId="0" applyFont="1" applyBorder="1" applyAlignment="1">
      <alignment horizontal="center" vertical="center" wrapText="1"/>
    </xf>
    <xf numFmtId="1" fontId="0" fillId="2" borderId="0" xfId="0" applyNumberFormat="1" applyFill="1"/>
    <xf numFmtId="0" fontId="1" fillId="0" borderId="0" xfId="0" applyFont="1" applyFill="1" applyBorder="1"/>
    <xf numFmtId="2" fontId="6" fillId="0" borderId="0" xfId="0" applyNumberFormat="1" applyFont="1"/>
    <xf numFmtId="0" fontId="0" fillId="0" borderId="0" xfId="0" applyFill="1" applyBorder="1"/>
    <xf numFmtId="0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/>
    <xf numFmtId="0" fontId="6" fillId="0" borderId="0" xfId="0" applyFont="1"/>
    <xf numFmtId="2" fontId="0" fillId="0" borderId="0" xfId="0" applyNumberFormat="1"/>
    <xf numFmtId="0" fontId="4" fillId="0" borderId="4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2" fontId="2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1" fillId="0" borderId="0" xfId="0" applyNumberFormat="1" applyFont="1"/>
    <xf numFmtId="2" fontId="1" fillId="0" borderId="0" xfId="0" applyNumberFormat="1" applyFont="1" applyAlignment="1"/>
    <xf numFmtId="0" fontId="1" fillId="0" borderId="0" xfId="0" applyFont="1" applyAlignment="1">
      <alignment horizontal="left" vertical="center"/>
    </xf>
    <xf numFmtId="0" fontId="7" fillId="0" borderId="0" xfId="0" applyFont="1"/>
    <xf numFmtId="16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5">
    <dxf>
      <fill>
        <patternFill>
          <bgColor rgb="FFFF0000"/>
        </patternFill>
      </fill>
    </dxf>
    <dxf>
      <fill>
        <patternFill>
          <bgColor rgb="FF73F52B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73F52B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12" sqref="F12"/>
    </sheetView>
  </sheetViews>
  <sheetFormatPr defaultRowHeight="15" x14ac:dyDescent="0.25"/>
  <sheetData>
    <row r="1" spans="1:1" x14ac:dyDescent="0.25">
      <c r="A1" s="1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>
      <selection activeCell="F31" sqref="F31"/>
    </sheetView>
  </sheetViews>
  <sheetFormatPr defaultRowHeight="15" x14ac:dyDescent="0.25"/>
  <cols>
    <col min="1" max="1" width="23.5703125" bestFit="1" customWidth="1"/>
    <col min="2" max="2" width="30" customWidth="1"/>
    <col min="3" max="3" width="2.28515625" customWidth="1"/>
    <col min="4" max="4" width="27.140625" customWidth="1"/>
    <col min="5" max="5" width="15" customWidth="1"/>
    <col min="8" max="8" width="9.140625" customWidth="1"/>
    <col min="10" max="10" width="21.140625" bestFit="1" customWidth="1"/>
    <col min="11" max="11" width="24.28515625" bestFit="1" customWidth="1"/>
  </cols>
  <sheetData>
    <row r="1" spans="1:5" x14ac:dyDescent="0.25">
      <c r="A1" s="1" t="s">
        <v>6</v>
      </c>
      <c r="B1" s="2"/>
      <c r="D1" s="1" t="s">
        <v>11</v>
      </c>
    </row>
    <row r="2" spans="1:5" x14ac:dyDescent="0.25">
      <c r="A2" s="1" t="s">
        <v>7</v>
      </c>
      <c r="B2" s="2" t="s">
        <v>9</v>
      </c>
      <c r="D2" s="2"/>
    </row>
    <row r="3" spans="1:5" x14ac:dyDescent="0.25">
      <c r="A3" s="1" t="str">
        <f>IF(B2="Intersection","Intersection Type","")</f>
        <v/>
      </c>
      <c r="B3" s="2"/>
      <c r="C3" s="35" t="s">
        <v>45</v>
      </c>
      <c r="D3" s="35"/>
    </row>
    <row r="4" spans="1:5" x14ac:dyDescent="0.25">
      <c r="A4" s="1" t="str">
        <f>IF(B2="Corridor","Corridor Type","")</f>
        <v>Corridor Type</v>
      </c>
      <c r="B4" s="2" t="s">
        <v>42</v>
      </c>
      <c r="C4" s="35" t="s">
        <v>46</v>
      </c>
      <c r="D4" s="35"/>
    </row>
    <row r="5" spans="1:5" x14ac:dyDescent="0.25">
      <c r="A5" s="1" t="s">
        <v>15</v>
      </c>
      <c r="B5" s="2" t="s">
        <v>22</v>
      </c>
      <c r="C5" s="35" t="s">
        <v>61</v>
      </c>
      <c r="D5" s="35"/>
    </row>
    <row r="7" spans="1:5" x14ac:dyDescent="0.25">
      <c r="A7" s="1" t="str">
        <f>IF(B2="Intersection","Major Road AADT","Corridor AADT")</f>
        <v>Corridor AADT</v>
      </c>
      <c r="B7">
        <v>5000</v>
      </c>
      <c r="C7" s="35" t="str">
        <f>IF(B2="Intersection","Average of the two major intersection approaches","Two-way AADT in vehicles/day")</f>
        <v>Two-way AADT in vehicles/day</v>
      </c>
      <c r="D7" s="35"/>
    </row>
    <row r="8" spans="1:5" x14ac:dyDescent="0.25">
      <c r="A8" s="1" t="str">
        <f>IF(B2="Intersection","Minor Road AADT","Corridor Length (km)")</f>
        <v>Corridor Length (km)</v>
      </c>
      <c r="B8">
        <v>8</v>
      </c>
      <c r="C8" s="35" t="str">
        <f>IF(B2="Intersection","Average of all (one or more) minor Intersection approaches","")</f>
        <v/>
      </c>
      <c r="D8" s="35"/>
    </row>
    <row r="9" spans="1:5" x14ac:dyDescent="0.25">
      <c r="A9" s="1" t="str">
        <f>IF(B2="Intersection","Product of Flow (PoF)","")</f>
        <v/>
      </c>
      <c r="B9" s="11" t="str">
        <f>IF(A9="","",(B7*B8)^0.4)</f>
        <v/>
      </c>
      <c r="C9" s="35" t="s">
        <v>45</v>
      </c>
      <c r="D9" s="35"/>
    </row>
    <row r="11" spans="1:5" x14ac:dyDescent="0.25">
      <c r="A11" s="1" t="s">
        <v>12</v>
      </c>
      <c r="B11" s="2">
        <v>5</v>
      </c>
      <c r="C11" s="35" t="s">
        <v>80</v>
      </c>
      <c r="D11" s="35"/>
    </row>
    <row r="12" spans="1:5" x14ac:dyDescent="0.25">
      <c r="A12" s="1" t="s">
        <v>13</v>
      </c>
      <c r="B12" s="2">
        <v>2012</v>
      </c>
    </row>
    <row r="13" spans="1:5" x14ac:dyDescent="0.25">
      <c r="A13" s="1" t="s">
        <v>14</v>
      </c>
      <c r="B13" s="2">
        <v>2016</v>
      </c>
    </row>
    <row r="15" spans="1:5" x14ac:dyDescent="0.25">
      <c r="A15" s="36" t="s">
        <v>10</v>
      </c>
      <c r="B15" s="36"/>
      <c r="C15" s="36"/>
      <c r="D15" s="36"/>
    </row>
    <row r="16" spans="1:5" x14ac:dyDescent="0.25">
      <c r="A16" s="1" t="s">
        <v>23</v>
      </c>
      <c r="B16" s="1" t="s">
        <v>24</v>
      </c>
      <c r="C16" s="36" t="s">
        <v>44</v>
      </c>
      <c r="D16" s="36"/>
      <c r="E16" s="7"/>
    </row>
    <row r="17" spans="1:5" x14ac:dyDescent="0.25">
      <c r="A17" s="1" t="s">
        <v>25</v>
      </c>
      <c r="B17" s="2">
        <v>0</v>
      </c>
      <c r="D17" s="8">
        <f>'Lookup Tables'!D48*B17</f>
        <v>0</v>
      </c>
      <c r="E17" s="8"/>
    </row>
    <row r="18" spans="1:5" x14ac:dyDescent="0.25">
      <c r="A18" s="1" t="s">
        <v>26</v>
      </c>
      <c r="B18" s="2">
        <v>2</v>
      </c>
      <c r="D18" s="8">
        <f>'Lookup Tables'!D49*B18</f>
        <v>1.64</v>
      </c>
      <c r="E18" s="8"/>
    </row>
    <row r="19" spans="1:5" x14ac:dyDescent="0.25">
      <c r="A19" s="1" t="s">
        <v>35</v>
      </c>
      <c r="B19" s="2">
        <v>3</v>
      </c>
      <c r="D19" s="8">
        <f>'Lookup Tables'!D50*B19</f>
        <v>0.86999999999999988</v>
      </c>
      <c r="E19" s="8"/>
    </row>
    <row r="20" spans="1:5" x14ac:dyDescent="0.25">
      <c r="A20" s="1" t="s">
        <v>27</v>
      </c>
      <c r="B20" s="2">
        <v>2</v>
      </c>
      <c r="D20" s="8">
        <f>'Lookup Tables'!D51*B20</f>
        <v>0.66</v>
      </c>
      <c r="E20" s="8"/>
    </row>
    <row r="21" spans="1:5" x14ac:dyDescent="0.25">
      <c r="A21" s="1" t="s">
        <v>28</v>
      </c>
      <c r="B21" s="2">
        <v>0</v>
      </c>
      <c r="D21" s="8">
        <f>'Lookup Tables'!D52*B21</f>
        <v>0</v>
      </c>
      <c r="E21" s="8"/>
    </row>
    <row r="22" spans="1:5" x14ac:dyDescent="0.25">
      <c r="A22" s="1" t="s">
        <v>29</v>
      </c>
      <c r="B22" s="2">
        <v>2</v>
      </c>
      <c r="D22" s="8">
        <f>'Lookup Tables'!D53*B22</f>
        <v>0.3</v>
      </c>
      <c r="E22" s="8"/>
    </row>
    <row r="23" spans="1:5" x14ac:dyDescent="0.25">
      <c r="A23" s="1" t="s">
        <v>30</v>
      </c>
      <c r="B23" s="2">
        <v>1</v>
      </c>
      <c r="D23" s="8">
        <f>'Lookup Tables'!D54*B23</f>
        <v>0.3</v>
      </c>
      <c r="E23" s="8"/>
    </row>
    <row r="24" spans="1:5" x14ac:dyDescent="0.25">
      <c r="A24" s="1" t="s">
        <v>31</v>
      </c>
      <c r="B24" s="2">
        <v>0</v>
      </c>
      <c r="D24" s="8">
        <f>'Lookup Tables'!D55*B24</f>
        <v>0</v>
      </c>
      <c r="E24" s="8"/>
    </row>
    <row r="25" spans="1:5" x14ac:dyDescent="0.25">
      <c r="A25" s="1" t="s">
        <v>32</v>
      </c>
      <c r="B25" s="2">
        <v>0</v>
      </c>
      <c r="D25" s="8">
        <f>'Lookup Tables'!D56*B25</f>
        <v>0</v>
      </c>
      <c r="E25" s="8"/>
    </row>
    <row r="26" spans="1:5" x14ac:dyDescent="0.25">
      <c r="A26" s="1" t="s">
        <v>33</v>
      </c>
      <c r="B26" s="2">
        <v>0</v>
      </c>
      <c r="D26" s="8">
        <f>'Lookup Tables'!D57*B26</f>
        <v>0</v>
      </c>
      <c r="E26" s="8"/>
    </row>
    <row r="27" spans="1:5" x14ac:dyDescent="0.25">
      <c r="A27" s="1" t="s">
        <v>34</v>
      </c>
      <c r="B27" s="2">
        <v>0</v>
      </c>
      <c r="D27" s="8">
        <f>'Lookup Tables'!D58*B27</f>
        <v>0</v>
      </c>
      <c r="E27" s="8"/>
    </row>
    <row r="28" spans="1:5" x14ac:dyDescent="0.25">
      <c r="A28" s="1" t="s">
        <v>36</v>
      </c>
      <c r="B28" s="2">
        <v>0</v>
      </c>
      <c r="D28" s="8">
        <f>'Lookup Tables'!D59*B28</f>
        <v>0</v>
      </c>
      <c r="E28" s="8"/>
    </row>
    <row r="29" spans="1:5" x14ac:dyDescent="0.25">
      <c r="A29" s="1" t="s">
        <v>37</v>
      </c>
      <c r="B29" s="2">
        <v>1</v>
      </c>
      <c r="D29" s="8">
        <f>'Lookup Tables'!D60*B29</f>
        <v>0.62</v>
      </c>
      <c r="E29" s="8"/>
    </row>
    <row r="30" spans="1:5" x14ac:dyDescent="0.25">
      <c r="A30" s="1" t="s">
        <v>38</v>
      </c>
      <c r="B30" s="2">
        <v>0</v>
      </c>
      <c r="D30" s="8">
        <f>'Lookup Tables'!D61*B30</f>
        <v>0</v>
      </c>
      <c r="E30" s="8"/>
    </row>
    <row r="31" spans="1:5" x14ac:dyDescent="0.25">
      <c r="A31" s="1" t="s">
        <v>39</v>
      </c>
      <c r="B31" s="2">
        <v>0</v>
      </c>
      <c r="D31" s="8">
        <f>'Lookup Tables'!D62*B31</f>
        <v>0</v>
      </c>
      <c r="E31" s="8"/>
    </row>
    <row r="32" spans="1:5" x14ac:dyDescent="0.25">
      <c r="A32" s="1"/>
      <c r="B32" s="4">
        <f>SUM(B17:B31)</f>
        <v>11</v>
      </c>
      <c r="D32" s="29">
        <f>SUM(D17:D31)</f>
        <v>4.3899999999999997</v>
      </c>
      <c r="E32" s="7"/>
    </row>
    <row r="33" spans="1:5" x14ac:dyDescent="0.25">
      <c r="C33" s="9"/>
      <c r="D33" s="9"/>
      <c r="E33" s="9"/>
    </row>
    <row r="34" spans="1:5" x14ac:dyDescent="0.25">
      <c r="A34" s="1" t="s">
        <v>40</v>
      </c>
      <c r="B34" s="28">
        <f>IF(B2="Intersection",D32/B11,(D32/(B11*B8)))</f>
        <v>0.10974999999999999</v>
      </c>
      <c r="C34" s="36" t="str">
        <f>IF(AND(B2="intersection",D32&gt;1.6),"HIGH",IF(AND(B2="intersection",D32&gt;1.1),"MEDIUM HIGH",IF(AND(B2="intersection",D32&gt;0.6),"MEDIUM",IF(AND(B2="intersection",D32&gt;0.3),"LOW MEDIUM",IF(AND(B2="Corridor",B5="Urban",B34&gt;(0.74004*(B8^-0.338))),"HIGH",IF(AND(B2="Corridor",B5="Urban",B34&gt;(0.44402*(B8^-0.338))),"MEDIUM HIGH",IF(AND(B2="Corridor",B5="Urban",B34&gt;(0.22202*(B8^-0.338))),"MEDIUM",IF(AND(B2="Corridor",B5="Urban",B34&gt;(0.074*(B8^-0.338))),"LOW MEDIUM",IF(AND(B2="Corridor",B5="Rural",B34&gt;(0.42146*(B8^-0.196))),"HIGH",IF(AND(B2="Corridor",B5="Rural",B34&gt;(0.19664*(B8^-0.109))),"MEDIUM HIGH",IF(AND(B2="Corridor",B5="Rural",(B34&gt;0.07384)),"MEDIUM",IF(AND(B2="Corridor",B5="Rural",(B34&gt;0.02332)),"LOW MEDIUM","LOW"))))))))))))</f>
        <v>MEDIUM</v>
      </c>
      <c r="D34" s="36"/>
      <c r="E34" s="7"/>
    </row>
    <row r="35" spans="1:5" x14ac:dyDescent="0.25">
      <c r="A35" s="1" t="s">
        <v>41</v>
      </c>
      <c r="B35" s="6">
        <f>IF(B2="Intersection",((B34*100000000)/(B9*365*1.7)),((B34*100000000)/(B7*365)))</f>
        <v>6.013698630136985</v>
      </c>
      <c r="C35" s="36" t="str">
        <f>IF(AND(B2="Intersection",B35&gt;=32),"HIGH",IF(AND(B2="intersection",B35&gt;=16),"MEDIUM HIGH",IF(AND(B2="intersection",B35&gt;=10),"MEDIUM",IF(AND(B2="intersection",B35&gt;=6),"LOW MEDIUM",IF(AND(B2="Corridor",B35&gt;=20,B32&gt;=3),"HIGH",IF(AND(B2="Corridor",B35&gt;=12,B32&gt;=2),"MEDIUM HIGH",IF(AND(B2="Corridor",B35&gt;=20,B32&gt;=2),"MEDIUM HIGH",IF(AND(B2="Corridor",B35&gt;=20,B32&gt;=1),"MEDIUM",IF(AND(B2="Corridor",B35&gt;=12,B32&gt;=1),"MEDIUM",IF(AND(B2="Corridor",B35&gt;=5),"MEDIUM",IF(AND(B2="Corridor",B35&gt;=2),"LOW MEDIUM","LOW")))))))))))</f>
        <v>MEDIUM</v>
      </c>
      <c r="D35" s="36"/>
      <c r="E35" s="9"/>
    </row>
    <row r="36" spans="1:5" x14ac:dyDescent="0.25">
      <c r="A36" s="1" t="s">
        <v>82</v>
      </c>
      <c r="B36" s="6">
        <f>'Infrastructure Risk Rating'!B3</f>
        <v>1.588242664795432</v>
      </c>
      <c r="C36" s="36" t="str">
        <f>'Infrastructure Risk Rating'!C3</f>
        <v>MEDIUM</v>
      </c>
      <c r="D36" s="36"/>
      <c r="E36" s="9"/>
    </row>
    <row r="38" spans="1:5" ht="27.75" customHeight="1" x14ac:dyDescent="0.25">
      <c r="A38" s="30" t="s">
        <v>81</v>
      </c>
      <c r="B38" s="34" t="str">
        <f>IF(AND(B2="Intersection",D32&gt;=1.1),"HIGH",IF(AND(B2="Intersection",D32&gt;=0.6),"MEDIUM",IF(AND(B2="Intersection",C35="High"),"HIGH",IF(AND(B2="Intersection",C35="Medium High"),"MEDIUM",IF(AND(B2="Corridor",C34="High",B32&gt;=3),"HIGH",IF(AND(B2="Corridor",C34="Medium High",B32&gt;=3),"HIGH",IF(AND(B2="Corridor",B32&gt;=3,C34="MEDIUM",B35&gt;=5),"HIGH",IF(AND(B2="Corridor",B32&gt;=3,C35="HIGH"),"HIGH",IF(AND(B2="Corridor",B32&gt;=3,B35&gt;=12),"HIGH",IF(AND(B2="corridor",B32&gt;=3,C36="MEDIUM HIGH"),"HIGH",IF(AND(B2="corridor",B32&gt;=3,C36="HIGH"),"HIGH",IF(AND(B2="corridor",C34="Medium"),"MEDIUM",IF(AND(B2="Corridor",C35="Medium"),"MEDIUM",IF(AND(B2="Corridor",C36="MEDIUM"),"MEDIUM",IF(AND(B2="Corridor",C36="MEDIUM HIGH"),"MEDIUM",IF(AND(B2="Corridor",C36="HIGH"),"MEDIUM","LOW"))))))))))))))))</f>
        <v>HIGH</v>
      </c>
      <c r="C38" s="34"/>
      <c r="D38" s="34"/>
    </row>
  </sheetData>
  <mergeCells count="13">
    <mergeCell ref="B38:D38"/>
    <mergeCell ref="C3:D3"/>
    <mergeCell ref="C4:D4"/>
    <mergeCell ref="C8:D8"/>
    <mergeCell ref="C9:D9"/>
    <mergeCell ref="C7:D7"/>
    <mergeCell ref="C35:D35"/>
    <mergeCell ref="C5:D5"/>
    <mergeCell ref="C11:D11"/>
    <mergeCell ref="A15:D15"/>
    <mergeCell ref="C16:D16"/>
    <mergeCell ref="C34:D34"/>
    <mergeCell ref="C36:D36"/>
  </mergeCells>
  <conditionalFormatting sqref="C34 E34">
    <cfRule type="cellIs" dxfId="24" priority="16" operator="equal">
      <formula>"LOW"</formula>
    </cfRule>
    <cfRule type="cellIs" dxfId="23" priority="17" operator="equal">
      <formula>"LOW MEDIUM"</formula>
    </cfRule>
    <cfRule type="cellIs" dxfId="22" priority="18" operator="equal">
      <formula>"MEDIUM"</formula>
    </cfRule>
    <cfRule type="cellIs" dxfId="21" priority="22" operator="equal">
      <formula>"MEDIUM HIGH"</formula>
    </cfRule>
    <cfRule type="cellIs" dxfId="20" priority="23" operator="equal">
      <formula>"HIGH"</formula>
    </cfRule>
  </conditionalFormatting>
  <conditionalFormatting sqref="Q22">
    <cfRule type="cellIs" dxfId="19" priority="19" operator="equal">
      <formula>"LOW"</formula>
    </cfRule>
    <cfRule type="cellIs" dxfId="18" priority="20" operator="equal">
      <formula>"LOW MEDIUM"</formula>
    </cfRule>
    <cfRule type="cellIs" dxfId="17" priority="21" operator="equal">
      <formula>"MEDIUM"</formula>
    </cfRule>
  </conditionalFormatting>
  <conditionalFormatting sqref="C35:C36">
    <cfRule type="cellIs" dxfId="16" priority="11" operator="equal">
      <formula>"LOW"</formula>
    </cfRule>
    <cfRule type="cellIs" dxfId="15" priority="12" operator="equal">
      <formula>"LOW MEDIUM"</formula>
    </cfRule>
    <cfRule type="cellIs" dxfId="14" priority="13" operator="equal">
      <formula>"MEDIUM"</formula>
    </cfRule>
    <cfRule type="cellIs" dxfId="13" priority="14" operator="equal">
      <formula>"MEDIUM HIGH"</formula>
    </cfRule>
    <cfRule type="cellIs" dxfId="12" priority="15" operator="equal">
      <formula>"HIGH"</formula>
    </cfRule>
  </conditionalFormatting>
  <conditionalFormatting sqref="B38">
    <cfRule type="cellIs" dxfId="11" priority="1" operator="equal">
      <formula>"LOW"</formula>
    </cfRule>
    <cfRule type="cellIs" dxfId="10" priority="2" operator="equal">
      <formula>"LOW MEDIUM"</formula>
    </cfRule>
    <cfRule type="cellIs" dxfId="9" priority="3" operator="equal">
      <formula>"MEDIUM"</formula>
    </cfRule>
    <cfRule type="cellIs" dxfId="8" priority="4" operator="equal">
      <formula>"MEDIUM HIGH"</formula>
    </cfRule>
    <cfRule type="cellIs" dxfId="7" priority="5" operator="equal">
      <formula>"HIGH"</formula>
    </cfRule>
  </conditionalFormatting>
  <dataValidations count="3">
    <dataValidation type="list" allowBlank="1" showInputMessage="1" showErrorMessage="1" promptTitle="Select" prompt="Select" sqref="B2">
      <formula1>RoadType</formula1>
    </dataValidation>
    <dataValidation type="list" allowBlank="1" showInputMessage="1" showErrorMessage="1" promptTitle="Select" prompt="Select" sqref="B3">
      <formula1>IntersectionType</formula1>
    </dataValidation>
    <dataValidation type="list" allowBlank="1" showInputMessage="1" showErrorMessage="1" promptTitle="Select" prompt="Select" sqref="B5">
      <formula1>SpeedEnvironment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t" prompt="Select">
          <x14:formula1>
            <xm:f>'Lookup Tables'!$H$4:$I$4</xm:f>
          </x14:formula1>
          <xm:sqref>B4</xm:sqref>
        </x14:dataValidation>
        <x14:dataValidation type="list" allowBlank="1" showInputMessage="1" showErrorMessage="1">
          <x14:formula1>
            <xm:f>'Lookup Tables'!$A$62:$A$63</xm:f>
          </x14:formula1>
          <xm:sqref>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zoomScale="90" zoomScaleNormal="90" workbookViewId="0">
      <selection activeCell="C13" sqref="C13"/>
    </sheetView>
  </sheetViews>
  <sheetFormatPr defaultRowHeight="15" x14ac:dyDescent="0.25"/>
  <cols>
    <col min="1" max="1" width="25.140625" customWidth="1"/>
    <col min="2" max="2" width="5.5703125" bestFit="1" customWidth="1"/>
    <col min="3" max="3" width="14.140625" customWidth="1"/>
  </cols>
  <sheetData>
    <row r="1" spans="1:3" x14ac:dyDescent="0.25">
      <c r="A1" s="36" t="s">
        <v>134</v>
      </c>
      <c r="B1" s="36"/>
      <c r="C1" s="36"/>
    </row>
    <row r="3" spans="1:3" x14ac:dyDescent="0.25">
      <c r="A3" s="1" t="s">
        <v>82</v>
      </c>
      <c r="B3" s="18">
        <f>LOG10(B5*B7*B9*B11*B13*B15*B17*B19)</f>
        <v>1.588242664795432</v>
      </c>
      <c r="C3" s="1" t="str">
        <f>IF(B3&lt;0.8,"LOW",IF(B3&lt;1.2,"LOW MEDIUM",IF(B3&lt;1.6,"MEDIUM",IF(B3&lt;2,"MEDIUM HIGH","HIGH"))))</f>
        <v>MEDIUM</v>
      </c>
    </row>
    <row r="4" spans="1:3" x14ac:dyDescent="0.25">
      <c r="A4" s="1" t="s">
        <v>83</v>
      </c>
    </row>
    <row r="5" spans="1:3" x14ac:dyDescent="0.25">
      <c r="A5" t="s">
        <v>89</v>
      </c>
      <c r="B5">
        <f>LOOKUP(A5,'IRR Lookup Data'!$A$2:$A$7,'IRR Lookup Data'!$B$2:$B$7)</f>
        <v>3.7</v>
      </c>
    </row>
    <row r="6" spans="1:3" s="1" customFormat="1" x14ac:dyDescent="0.25">
      <c r="A6" s="1" t="s">
        <v>91</v>
      </c>
    </row>
    <row r="7" spans="1:3" x14ac:dyDescent="0.25">
      <c r="A7" t="s">
        <v>92</v>
      </c>
      <c r="B7">
        <f>LOOKUP(A7,'IRR Lookup Data'!$A$10:$A$13,'IRR Lookup Data'!$B$10:$B$13)</f>
        <v>1.8</v>
      </c>
    </row>
    <row r="8" spans="1:3" s="1" customFormat="1" x14ac:dyDescent="0.25">
      <c r="A8" s="1" t="s">
        <v>97</v>
      </c>
    </row>
    <row r="9" spans="1:3" x14ac:dyDescent="0.25">
      <c r="A9" t="s">
        <v>99</v>
      </c>
      <c r="B9">
        <f>LOOKUP(A9,'IRR Lookup Data'!$A$16:$A$19,'IRR Lookup Data'!$B$16:$B$19)</f>
        <v>1.45</v>
      </c>
    </row>
    <row r="10" spans="1:3" s="1" customFormat="1" x14ac:dyDescent="0.25">
      <c r="A10" s="1" t="s">
        <v>102</v>
      </c>
    </row>
    <row r="11" spans="1:3" x14ac:dyDescent="0.25">
      <c r="A11" t="s">
        <v>107</v>
      </c>
      <c r="B11" s="18">
        <f>LOOKUP(A11,'IRR Lookup Data'!$A$22:$A$27,'IRR Lookup Data'!$B$22:$B$27)</f>
        <v>1.855</v>
      </c>
    </row>
    <row r="12" spans="1:3" s="1" customFormat="1" x14ac:dyDescent="0.25">
      <c r="A12" s="1" t="s">
        <v>109</v>
      </c>
    </row>
    <row r="13" spans="1:3" x14ac:dyDescent="0.25">
      <c r="A13" t="s">
        <v>115</v>
      </c>
      <c r="B13">
        <f>LOOKUP(A13,'IRR Lookup Data'!$A$30:$A$37,'IRR Lookup Data'!$B$30:$B$37)</f>
        <v>1.5</v>
      </c>
    </row>
    <row r="14" spans="1:3" s="1" customFormat="1" x14ac:dyDescent="0.25">
      <c r="A14" s="1" t="s">
        <v>118</v>
      </c>
    </row>
    <row r="15" spans="1:3" x14ac:dyDescent="0.25">
      <c r="A15" t="s">
        <v>119</v>
      </c>
      <c r="B15">
        <f>LOOKUP(A15,'IRR Lookup Data'!$A$40:$A$45,'IRR Lookup Data'!$B$40:$B$45)</f>
        <v>1</v>
      </c>
    </row>
    <row r="16" spans="1:3" s="1" customFormat="1" x14ac:dyDescent="0.25">
      <c r="A16" s="1" t="s">
        <v>125</v>
      </c>
    </row>
    <row r="17" spans="1:2" x14ac:dyDescent="0.25">
      <c r="A17" t="s">
        <v>127</v>
      </c>
      <c r="B17">
        <f>LOOKUP(A17,'IRR Lookup Data'!$A$48:$A$53,'IRR Lookup Data'!$B$48:$B$53)</f>
        <v>1.03</v>
      </c>
    </row>
    <row r="18" spans="1:2" s="1" customFormat="1" x14ac:dyDescent="0.25">
      <c r="A18" s="1" t="s">
        <v>129</v>
      </c>
    </row>
    <row r="19" spans="1:2" x14ac:dyDescent="0.25">
      <c r="A19" t="s">
        <v>131</v>
      </c>
      <c r="B19">
        <f>LOOKUP(A19,'IRR Lookup Data'!$A$56:$A$59,'IRR Lookup Data'!$B$56:$B$59)</f>
        <v>1.4</v>
      </c>
    </row>
    <row r="43" spans="1:3" x14ac:dyDescent="0.25">
      <c r="A43" s="37"/>
      <c r="B43" s="37"/>
      <c r="C43" s="37"/>
    </row>
    <row r="45" spans="1:3" x14ac:dyDescent="0.25">
      <c r="A45" s="1"/>
      <c r="B45" s="18"/>
      <c r="C45" s="1"/>
    </row>
    <row r="46" spans="1:3" x14ac:dyDescent="0.25">
      <c r="A46" s="1"/>
      <c r="B46" s="33"/>
      <c r="C46" s="1"/>
    </row>
    <row r="47" spans="1:3" x14ac:dyDescent="0.25">
      <c r="A47" s="1"/>
      <c r="B47" s="33"/>
      <c r="C47" s="1"/>
    </row>
    <row r="48" spans="1:3" x14ac:dyDescent="0.25">
      <c r="A48" s="1"/>
    </row>
    <row r="50" spans="1:3" x14ac:dyDescent="0.25">
      <c r="A50" s="1"/>
      <c r="B50" s="1"/>
      <c r="C50" s="1"/>
    </row>
    <row r="52" spans="1:3" x14ac:dyDescent="0.25">
      <c r="A52" s="1"/>
      <c r="B52" s="1"/>
      <c r="C52" s="1"/>
    </row>
    <row r="54" spans="1:3" x14ac:dyDescent="0.25">
      <c r="A54" s="1"/>
      <c r="B54" s="1"/>
      <c r="C54" s="1"/>
    </row>
    <row r="55" spans="1:3" x14ac:dyDescent="0.25">
      <c r="B55" s="18"/>
    </row>
    <row r="56" spans="1:3" x14ac:dyDescent="0.25">
      <c r="A56" s="1"/>
      <c r="B56" s="1"/>
      <c r="C56" s="1"/>
    </row>
    <row r="58" spans="1:3" x14ac:dyDescent="0.25">
      <c r="A58" s="1"/>
      <c r="B58" s="1"/>
      <c r="C58" s="1"/>
    </row>
    <row r="60" spans="1:3" x14ac:dyDescent="0.25">
      <c r="A60" s="1"/>
      <c r="B60" s="1"/>
      <c r="C60" s="1"/>
    </row>
    <row r="62" spans="1:3" x14ac:dyDescent="0.25">
      <c r="A62" s="1"/>
      <c r="B62" s="1"/>
      <c r="C62" s="1"/>
    </row>
  </sheetData>
  <mergeCells count="2">
    <mergeCell ref="A1:C1"/>
    <mergeCell ref="A43:C43"/>
  </mergeCells>
  <conditionalFormatting sqref="C47 C3">
    <cfRule type="cellIs" dxfId="6" priority="8" operator="equal">
      <formula>"MEDIUM"</formula>
    </cfRule>
    <cfRule type="cellIs" dxfId="5" priority="9" operator="equal">
      <formula>"LOW MEDIUM"</formula>
    </cfRule>
    <cfRule type="cellIs" dxfId="4" priority="10" operator="equal">
      <formula>"LOW"</formula>
    </cfRule>
  </conditionalFormatting>
  <conditionalFormatting sqref="C45:C46">
    <cfRule type="cellIs" dxfId="3" priority="2" operator="equal">
      <formula>"MEDIUM"</formula>
    </cfRule>
    <cfRule type="cellIs" dxfId="2" priority="3" operator="equal">
      <formula>"LOW MEDIUM"</formula>
    </cfRule>
    <cfRule type="cellIs" dxfId="1" priority="4" operator="equal">
      <formula>"LOW"</formula>
    </cfRule>
  </conditionalFormatting>
  <conditionalFormatting sqref="C42:C1048576 C1:C20">
    <cfRule type="cellIs" dxfId="0" priority="1" operator="equal">
      <formula>"MEDIUM HIGH"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'IRR Lookup Data'!$A$2:$A$7</xm:f>
          </x14:formula1>
          <xm:sqref>A5 A49</xm:sqref>
        </x14:dataValidation>
        <x14:dataValidation type="list" allowBlank="1" showInputMessage="1" showErrorMessage="1" promptTitle="Alignment">
          <x14:formula1>
            <xm:f>'IRR Lookup Data'!$A$10:$A$13</xm:f>
          </x14:formula1>
          <xm:sqref>A7 A51</xm:sqref>
        </x14:dataValidation>
        <x14:dataValidation type="list" allowBlank="1" showErrorMessage="1" promptTitle="Carraigeway">
          <x14:formula1>
            <xm:f>'IRR Lookup Data'!$A$16:$A$19</xm:f>
          </x14:formula1>
          <xm:sqref>A9 A53</xm:sqref>
        </x14:dataValidation>
        <x14:dataValidation type="list" allowBlank="1" showInputMessage="1" showErrorMessage="1">
          <x14:formula1>
            <xm:f>'IRR Lookup Data'!$A$22:$A$27</xm:f>
          </x14:formula1>
          <xm:sqref>A11 A55</xm:sqref>
        </x14:dataValidation>
        <x14:dataValidation type="list" allowBlank="1" showInputMessage="1" showErrorMessage="1">
          <x14:formula1>
            <xm:f>'IRR Lookup Data'!$A$30:$A$37</xm:f>
          </x14:formula1>
          <xm:sqref>A13 A57</xm:sqref>
        </x14:dataValidation>
        <x14:dataValidation type="list" allowBlank="1" showInputMessage="1" showErrorMessage="1">
          <x14:formula1>
            <xm:f>'IRR Lookup Data'!$A$40:$A$45</xm:f>
          </x14:formula1>
          <xm:sqref>A15 A59</xm:sqref>
        </x14:dataValidation>
        <x14:dataValidation type="list" allowBlank="1" showInputMessage="1" showErrorMessage="1">
          <x14:formula1>
            <xm:f>'IRR Lookup Data'!$A$48:$A$53</xm:f>
          </x14:formula1>
          <xm:sqref>A17 A61</xm:sqref>
        </x14:dataValidation>
        <x14:dataValidation type="list" allowBlank="1" showInputMessage="1" showErrorMessage="1">
          <x14:formula1>
            <xm:f>'IRR Lookup Data'!$A$56:$A$59</xm:f>
          </x14:formula1>
          <xm:sqref>A19 A63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9"/>
  <sheetViews>
    <sheetView workbookViewId="0">
      <selection activeCell="H28" sqref="H28"/>
    </sheetView>
  </sheetViews>
  <sheetFormatPr defaultRowHeight="15" x14ac:dyDescent="0.25"/>
  <cols>
    <col min="1" max="1" width="27.85546875" bestFit="1" customWidth="1"/>
    <col min="2" max="2" width="9.85546875" bestFit="1" customWidth="1"/>
  </cols>
  <sheetData>
    <row r="1" spans="1:3" x14ac:dyDescent="0.25">
      <c r="A1" s="1" t="s">
        <v>83</v>
      </c>
      <c r="B1" s="1" t="s">
        <v>84</v>
      </c>
    </row>
    <row r="2" spans="1:3" x14ac:dyDescent="0.25">
      <c r="A2" t="s">
        <v>85</v>
      </c>
      <c r="B2">
        <v>1</v>
      </c>
    </row>
    <row r="3" spans="1:3" x14ac:dyDescent="0.25">
      <c r="A3" t="s">
        <v>86</v>
      </c>
      <c r="B3">
        <v>3</v>
      </c>
    </row>
    <row r="4" spans="1:3" x14ac:dyDescent="0.25">
      <c r="A4" t="s">
        <v>87</v>
      </c>
      <c r="B4">
        <v>3.4</v>
      </c>
    </row>
    <row r="5" spans="1:3" x14ac:dyDescent="0.25">
      <c r="A5" t="s">
        <v>88</v>
      </c>
      <c r="B5">
        <v>1</v>
      </c>
    </row>
    <row r="6" spans="1:3" x14ac:dyDescent="0.25">
      <c r="A6" t="s">
        <v>89</v>
      </c>
      <c r="B6">
        <v>3.7</v>
      </c>
    </row>
    <row r="7" spans="1:3" x14ac:dyDescent="0.25">
      <c r="A7" t="s">
        <v>90</v>
      </c>
      <c r="B7">
        <v>10</v>
      </c>
    </row>
    <row r="9" spans="1:3" x14ac:dyDescent="0.25">
      <c r="A9" s="1" t="s">
        <v>91</v>
      </c>
      <c r="B9" s="1" t="s">
        <v>84</v>
      </c>
    </row>
    <row r="10" spans="1:3" x14ac:dyDescent="0.25">
      <c r="A10" t="s">
        <v>92</v>
      </c>
      <c r="B10">
        <v>1.8</v>
      </c>
    </row>
    <row r="11" spans="1:3" x14ac:dyDescent="0.25">
      <c r="A11" t="s">
        <v>93</v>
      </c>
      <c r="B11">
        <v>1</v>
      </c>
    </row>
    <row r="12" spans="1:3" x14ac:dyDescent="0.25">
      <c r="A12" t="s">
        <v>94</v>
      </c>
      <c r="B12">
        <v>6</v>
      </c>
    </row>
    <row r="13" spans="1:3" x14ac:dyDescent="0.25">
      <c r="A13" t="s">
        <v>95</v>
      </c>
      <c r="B13">
        <v>4</v>
      </c>
      <c r="C13" s="31" t="s">
        <v>96</v>
      </c>
    </row>
    <row r="15" spans="1:3" x14ac:dyDescent="0.25">
      <c r="A15" s="1" t="s">
        <v>97</v>
      </c>
      <c r="B15" s="1" t="s">
        <v>84</v>
      </c>
    </row>
    <row r="16" spans="1:3" x14ac:dyDescent="0.25">
      <c r="A16" t="s">
        <v>98</v>
      </c>
      <c r="B16">
        <v>1.79</v>
      </c>
    </row>
    <row r="17" spans="1:2" x14ac:dyDescent="0.25">
      <c r="A17" t="s">
        <v>99</v>
      </c>
      <c r="B17">
        <v>1.45</v>
      </c>
    </row>
    <row r="18" spans="1:2" x14ac:dyDescent="0.25">
      <c r="A18" t="s">
        <v>100</v>
      </c>
      <c r="B18">
        <v>1</v>
      </c>
    </row>
    <row r="19" spans="1:2" x14ac:dyDescent="0.25">
      <c r="A19" t="s">
        <v>101</v>
      </c>
      <c r="B19">
        <v>0.78</v>
      </c>
    </row>
    <row r="21" spans="1:2" x14ac:dyDescent="0.25">
      <c r="A21" s="1" t="s">
        <v>102</v>
      </c>
      <c r="B21" s="1" t="s">
        <v>84</v>
      </c>
    </row>
    <row r="22" spans="1:2" x14ac:dyDescent="0.25">
      <c r="A22" t="s">
        <v>103</v>
      </c>
      <c r="B22">
        <v>2.2799999999999998</v>
      </c>
    </row>
    <row r="23" spans="1:2" x14ac:dyDescent="0.25">
      <c r="A23" t="s">
        <v>104</v>
      </c>
      <c r="B23">
        <v>0.4</v>
      </c>
    </row>
    <row r="24" spans="1:2" x14ac:dyDescent="0.25">
      <c r="A24" t="s">
        <v>105</v>
      </c>
      <c r="B24">
        <v>0.67</v>
      </c>
    </row>
    <row r="25" spans="1:2" x14ac:dyDescent="0.25">
      <c r="A25" t="s">
        <v>106</v>
      </c>
      <c r="B25">
        <v>1.43</v>
      </c>
    </row>
    <row r="26" spans="1:2" x14ac:dyDescent="0.25">
      <c r="A26" t="s">
        <v>107</v>
      </c>
      <c r="B26" s="18">
        <f>(B22+B25)/2</f>
        <v>1.855</v>
      </c>
    </row>
    <row r="27" spans="1:2" x14ac:dyDescent="0.25">
      <c r="A27" t="s">
        <v>108</v>
      </c>
      <c r="B27">
        <v>2.8</v>
      </c>
    </row>
    <row r="29" spans="1:2" x14ac:dyDescent="0.25">
      <c r="A29" s="1" t="s">
        <v>109</v>
      </c>
      <c r="B29" s="1" t="s">
        <v>84</v>
      </c>
    </row>
    <row r="30" spans="1:2" x14ac:dyDescent="0.25">
      <c r="A30" t="s">
        <v>110</v>
      </c>
      <c r="B30">
        <v>4</v>
      </c>
    </row>
    <row r="31" spans="1:2" x14ac:dyDescent="0.25">
      <c r="A31" t="s">
        <v>111</v>
      </c>
      <c r="B31">
        <v>5</v>
      </c>
    </row>
    <row r="32" spans="1:2" x14ac:dyDescent="0.25">
      <c r="A32" t="s">
        <v>112</v>
      </c>
      <c r="B32">
        <v>2</v>
      </c>
    </row>
    <row r="33" spans="1:2" x14ac:dyDescent="0.25">
      <c r="A33" t="s">
        <v>113</v>
      </c>
      <c r="B33">
        <v>1</v>
      </c>
    </row>
    <row r="34" spans="1:2" x14ac:dyDescent="0.25">
      <c r="A34" t="s">
        <v>114</v>
      </c>
      <c r="B34">
        <v>1</v>
      </c>
    </row>
    <row r="35" spans="1:2" x14ac:dyDescent="0.25">
      <c r="A35" t="s">
        <v>115</v>
      </c>
      <c r="B35">
        <v>1.5</v>
      </c>
    </row>
    <row r="36" spans="1:2" x14ac:dyDescent="0.25">
      <c r="A36" t="s">
        <v>116</v>
      </c>
      <c r="B36">
        <v>2.5</v>
      </c>
    </row>
    <row r="37" spans="1:2" x14ac:dyDescent="0.25">
      <c r="A37" t="s">
        <v>117</v>
      </c>
      <c r="B37">
        <v>3</v>
      </c>
    </row>
    <row r="39" spans="1:2" x14ac:dyDescent="0.25">
      <c r="A39" s="1" t="s">
        <v>118</v>
      </c>
      <c r="B39" s="1" t="s">
        <v>84</v>
      </c>
    </row>
    <row r="40" spans="1:2" x14ac:dyDescent="0.25">
      <c r="A40" t="s">
        <v>119</v>
      </c>
      <c r="B40">
        <v>1</v>
      </c>
    </row>
    <row r="41" spans="1:2" x14ac:dyDescent="0.25">
      <c r="A41" t="s">
        <v>120</v>
      </c>
      <c r="B41">
        <v>1.1499999999999999</v>
      </c>
    </row>
    <row r="42" spans="1:2" x14ac:dyDescent="0.25">
      <c r="A42" t="s">
        <v>121</v>
      </c>
      <c r="B42">
        <v>5</v>
      </c>
    </row>
    <row r="43" spans="1:2" x14ac:dyDescent="0.25">
      <c r="A43" t="s">
        <v>122</v>
      </c>
      <c r="B43">
        <v>1.25</v>
      </c>
    </row>
    <row r="44" spans="1:2" x14ac:dyDescent="0.25">
      <c r="A44" s="32" t="s">
        <v>123</v>
      </c>
      <c r="B44">
        <v>1.5</v>
      </c>
    </row>
    <row r="45" spans="1:2" x14ac:dyDescent="0.25">
      <c r="A45" t="s">
        <v>124</v>
      </c>
      <c r="B45">
        <v>2.6</v>
      </c>
    </row>
    <row r="47" spans="1:2" x14ac:dyDescent="0.25">
      <c r="A47" s="1" t="s">
        <v>125</v>
      </c>
      <c r="B47" s="1" t="s">
        <v>84</v>
      </c>
    </row>
    <row r="48" spans="1:2" x14ac:dyDescent="0.25">
      <c r="A48" t="s">
        <v>119</v>
      </c>
      <c r="B48">
        <v>1</v>
      </c>
    </row>
    <row r="49" spans="1:2" x14ac:dyDescent="0.25">
      <c r="A49" t="s">
        <v>120</v>
      </c>
      <c r="B49">
        <v>1.01</v>
      </c>
    </row>
    <row r="50" spans="1:2" x14ac:dyDescent="0.25">
      <c r="A50" t="s">
        <v>126</v>
      </c>
      <c r="B50">
        <v>1.1000000000000001</v>
      </c>
    </row>
    <row r="51" spans="1:2" x14ac:dyDescent="0.25">
      <c r="A51" s="32" t="s">
        <v>127</v>
      </c>
      <c r="B51">
        <v>1.03</v>
      </c>
    </row>
    <row r="52" spans="1:2" x14ac:dyDescent="0.25">
      <c r="A52" t="s">
        <v>128</v>
      </c>
      <c r="B52">
        <v>1.3</v>
      </c>
    </row>
    <row r="53" spans="1:2" x14ac:dyDescent="0.25">
      <c r="A53" t="s">
        <v>124</v>
      </c>
      <c r="B53">
        <v>1.06</v>
      </c>
    </row>
    <row r="55" spans="1:2" x14ac:dyDescent="0.25">
      <c r="A55" s="1" t="s">
        <v>129</v>
      </c>
      <c r="B55" s="1" t="s">
        <v>84</v>
      </c>
    </row>
    <row r="56" spans="1:2" x14ac:dyDescent="0.25">
      <c r="A56" t="s">
        <v>130</v>
      </c>
      <c r="B56">
        <v>1</v>
      </c>
    </row>
    <row r="57" spans="1:2" x14ac:dyDescent="0.25">
      <c r="A57" t="s">
        <v>131</v>
      </c>
      <c r="B57">
        <v>1.4</v>
      </c>
    </row>
    <row r="58" spans="1:2" x14ac:dyDescent="0.25">
      <c r="A58" s="32" t="s">
        <v>132</v>
      </c>
      <c r="B58">
        <v>3</v>
      </c>
    </row>
    <row r="59" spans="1:2" x14ac:dyDescent="0.25">
      <c r="A59" t="s">
        <v>133</v>
      </c>
      <c r="B59">
        <v>2.2000000000000002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workbookViewId="0">
      <selection activeCell="H28" sqref="H28"/>
    </sheetView>
  </sheetViews>
  <sheetFormatPr defaultRowHeight="15" x14ac:dyDescent="0.25"/>
  <cols>
    <col min="1" max="1" width="11.85546875" bestFit="1" customWidth="1"/>
    <col min="2" max="2" width="28.42578125" bestFit="1" customWidth="1"/>
    <col min="3" max="3" width="29.42578125" bestFit="1" customWidth="1"/>
    <col min="4" max="4" width="32.42578125" bestFit="1" customWidth="1"/>
    <col min="5" max="5" width="34" bestFit="1" customWidth="1"/>
    <col min="6" max="6" width="36.85546875" bestFit="1" customWidth="1"/>
    <col min="7" max="7" width="17" bestFit="1" customWidth="1"/>
    <col min="8" max="8" width="28.7109375" bestFit="1" customWidth="1"/>
    <col min="9" max="9" width="31.7109375" bestFit="1" customWidth="1"/>
    <col min="10" max="10" width="33.140625" bestFit="1" customWidth="1"/>
    <col min="11" max="11" width="36.140625" bestFit="1" customWidth="1"/>
    <col min="12" max="12" width="23.7109375" bestFit="1" customWidth="1"/>
    <col min="13" max="13" width="23.28515625" bestFit="1" customWidth="1"/>
  </cols>
  <sheetData>
    <row r="1" spans="1:18" x14ac:dyDescent="0.25">
      <c r="A1" t="s">
        <v>8</v>
      </c>
    </row>
    <row r="2" spans="1:18" x14ac:dyDescent="0.25">
      <c r="A2" t="s">
        <v>9</v>
      </c>
    </row>
    <row r="4" spans="1:18" x14ac:dyDescent="0.25">
      <c r="A4" s="1" t="s">
        <v>8</v>
      </c>
      <c r="B4" t="s">
        <v>16</v>
      </c>
      <c r="C4" t="s">
        <v>17</v>
      </c>
      <c r="D4" t="s">
        <v>18</v>
      </c>
      <c r="E4" t="s">
        <v>19</v>
      </c>
      <c r="F4" t="s">
        <v>20</v>
      </c>
      <c r="G4" s="1" t="s">
        <v>9</v>
      </c>
      <c r="H4" t="s">
        <v>42</v>
      </c>
      <c r="I4" t="s">
        <v>43</v>
      </c>
    </row>
    <row r="6" spans="1:18" x14ac:dyDescent="0.25">
      <c r="A6" t="s">
        <v>21</v>
      </c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5">
      <c r="A7" t="s">
        <v>22</v>
      </c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x14ac:dyDescent="0.25"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5.75" thickBot="1" x14ac:dyDescent="0.3">
      <c r="B9" t="s">
        <v>47</v>
      </c>
      <c r="C9" t="s">
        <v>53</v>
      </c>
      <c r="D9" t="s">
        <v>54</v>
      </c>
      <c r="E9" t="s">
        <v>55</v>
      </c>
      <c r="F9" t="s">
        <v>56</v>
      </c>
      <c r="G9" t="s">
        <v>48</v>
      </c>
      <c r="H9" t="s">
        <v>57</v>
      </c>
      <c r="I9" t="s">
        <v>58</v>
      </c>
      <c r="J9" t="s">
        <v>59</v>
      </c>
      <c r="K9" t="s">
        <v>60</v>
      </c>
      <c r="M9" s="14"/>
      <c r="N9" s="14"/>
      <c r="O9" s="14"/>
      <c r="P9" s="14"/>
      <c r="Q9" s="14"/>
      <c r="R9" s="14"/>
    </row>
    <row r="10" spans="1:18" ht="15.75" thickBot="1" x14ac:dyDescent="0.3">
      <c r="A10" s="1" t="s">
        <v>25</v>
      </c>
      <c r="B10" s="3">
        <v>0.1</v>
      </c>
      <c r="C10" s="3">
        <v>0.11</v>
      </c>
      <c r="D10" s="3">
        <v>0.11</v>
      </c>
      <c r="E10" s="3">
        <v>0.25</v>
      </c>
      <c r="F10" s="3">
        <v>0.25</v>
      </c>
      <c r="G10" s="3">
        <v>0.1</v>
      </c>
      <c r="H10" s="3">
        <v>0.22</v>
      </c>
      <c r="I10" s="3">
        <v>0.22</v>
      </c>
      <c r="J10" s="3">
        <v>0.4</v>
      </c>
      <c r="K10" s="3">
        <v>0.38</v>
      </c>
      <c r="L10" s="15"/>
      <c r="M10" s="15"/>
      <c r="N10" s="14"/>
      <c r="O10" s="14"/>
      <c r="P10" s="14"/>
      <c r="Q10" s="14"/>
      <c r="R10" s="14"/>
    </row>
    <row r="11" spans="1:18" ht="15.75" thickBot="1" x14ac:dyDescent="0.3">
      <c r="A11" s="1" t="s">
        <v>26</v>
      </c>
      <c r="B11" s="3">
        <v>0.16</v>
      </c>
      <c r="C11" s="3">
        <v>0.12</v>
      </c>
      <c r="D11" s="3">
        <v>0.12</v>
      </c>
      <c r="E11" s="3">
        <v>0.25</v>
      </c>
      <c r="F11" s="3">
        <v>0.21</v>
      </c>
      <c r="G11" s="3">
        <v>0.16</v>
      </c>
      <c r="H11" s="3">
        <v>0.4</v>
      </c>
      <c r="I11" s="3">
        <v>0.4</v>
      </c>
      <c r="J11" s="3">
        <v>0.7</v>
      </c>
      <c r="K11" s="3">
        <v>0.61</v>
      </c>
      <c r="L11" s="16"/>
      <c r="M11" s="16"/>
      <c r="N11" s="14"/>
      <c r="O11" s="14"/>
      <c r="P11" s="14"/>
      <c r="Q11" s="14"/>
      <c r="R11" s="14"/>
    </row>
    <row r="12" spans="1:18" ht="15.75" thickBot="1" x14ac:dyDescent="0.3">
      <c r="A12" s="1" t="s">
        <v>35</v>
      </c>
      <c r="B12" s="3">
        <v>0.27</v>
      </c>
      <c r="C12" s="3">
        <v>0.18</v>
      </c>
      <c r="D12" s="3">
        <v>0.18</v>
      </c>
      <c r="E12" s="3">
        <v>0.19</v>
      </c>
      <c r="F12" s="3">
        <v>0.25</v>
      </c>
      <c r="G12" s="3">
        <v>0.27</v>
      </c>
      <c r="H12" s="3">
        <v>0.3</v>
      </c>
      <c r="I12" s="3">
        <v>0.3</v>
      </c>
      <c r="J12" s="3">
        <v>0.3</v>
      </c>
      <c r="K12" s="3">
        <v>0.36</v>
      </c>
      <c r="L12" s="16"/>
      <c r="M12" s="16"/>
      <c r="N12" s="14"/>
      <c r="O12" s="14"/>
      <c r="P12" s="14"/>
      <c r="Q12" s="14"/>
      <c r="R12" s="14"/>
    </row>
    <row r="13" spans="1:18" ht="15.75" thickBot="1" x14ac:dyDescent="0.3">
      <c r="A13" s="1" t="s">
        <v>27</v>
      </c>
      <c r="B13" s="3">
        <v>0.2</v>
      </c>
      <c r="C13" s="3">
        <v>0.17</v>
      </c>
      <c r="D13" s="3">
        <v>0.17</v>
      </c>
      <c r="E13" s="3">
        <v>0.21</v>
      </c>
      <c r="F13" s="3">
        <v>0.24</v>
      </c>
      <c r="G13" s="3">
        <v>0.25</v>
      </c>
      <c r="H13" s="3">
        <v>0.3</v>
      </c>
      <c r="I13" s="3">
        <v>0.26</v>
      </c>
      <c r="J13" s="3">
        <v>0.3</v>
      </c>
      <c r="K13" s="3">
        <v>0.34</v>
      </c>
      <c r="L13" s="16"/>
      <c r="M13" s="16"/>
      <c r="N13" s="14"/>
      <c r="O13" s="14"/>
      <c r="P13" s="14"/>
      <c r="Q13" s="14"/>
      <c r="R13" s="14"/>
    </row>
    <row r="14" spans="1:18" ht="15.75" thickBot="1" x14ac:dyDescent="0.3">
      <c r="A14" s="1" t="s">
        <v>28</v>
      </c>
      <c r="B14" s="3">
        <v>0.11</v>
      </c>
      <c r="C14" s="3">
        <v>0.13</v>
      </c>
      <c r="D14" s="3">
        <v>0.11</v>
      </c>
      <c r="E14" s="3">
        <v>0.11</v>
      </c>
      <c r="F14" s="3">
        <v>0.1</v>
      </c>
      <c r="G14" s="3">
        <v>0.11</v>
      </c>
      <c r="H14" s="3">
        <v>0.19</v>
      </c>
      <c r="I14" s="3">
        <v>0.15</v>
      </c>
      <c r="J14" s="3">
        <v>0.33</v>
      </c>
      <c r="K14" s="3">
        <v>0.33</v>
      </c>
      <c r="L14" s="16"/>
      <c r="M14" s="16"/>
      <c r="N14" s="14"/>
      <c r="O14" s="14"/>
      <c r="P14" s="14"/>
      <c r="Q14" s="14"/>
      <c r="R14" s="14"/>
    </row>
    <row r="15" spans="1:18" ht="15.75" thickBot="1" x14ac:dyDescent="0.3">
      <c r="A15" s="1" t="s">
        <v>29</v>
      </c>
      <c r="B15" s="3">
        <v>0.05</v>
      </c>
      <c r="C15" s="3">
        <v>0.06</v>
      </c>
      <c r="D15" s="3">
        <v>0.06</v>
      </c>
      <c r="E15" s="3">
        <v>0.08</v>
      </c>
      <c r="F15" s="3">
        <v>7.0000000000000007E-2</v>
      </c>
      <c r="G15" s="3">
        <v>0.06</v>
      </c>
      <c r="H15" s="3">
        <v>0.09</v>
      </c>
      <c r="I15" s="3">
        <v>0.08</v>
      </c>
      <c r="J15" s="3">
        <v>0.1</v>
      </c>
      <c r="K15" s="3">
        <v>0.1</v>
      </c>
      <c r="L15" s="16"/>
      <c r="M15" s="16"/>
      <c r="N15" s="14"/>
      <c r="O15" s="14"/>
      <c r="P15" s="14"/>
      <c r="Q15" s="14"/>
      <c r="R15" s="14"/>
    </row>
    <row r="16" spans="1:18" ht="15.75" thickBot="1" x14ac:dyDescent="0.3">
      <c r="A16" s="1" t="s">
        <v>30</v>
      </c>
      <c r="B16" s="3">
        <v>0.13</v>
      </c>
      <c r="C16" s="3">
        <v>0.1</v>
      </c>
      <c r="D16" s="3">
        <v>7.0000000000000007E-2</v>
      </c>
      <c r="E16" s="3">
        <v>0.2</v>
      </c>
      <c r="F16" s="3">
        <v>0.11</v>
      </c>
      <c r="G16" s="3">
        <v>0.13</v>
      </c>
      <c r="H16" s="3">
        <v>0.14000000000000001</v>
      </c>
      <c r="I16" s="3">
        <v>0.11</v>
      </c>
      <c r="J16" s="3">
        <v>0.25</v>
      </c>
      <c r="K16" s="3">
        <v>0.41</v>
      </c>
      <c r="L16" s="16"/>
      <c r="M16" s="16"/>
      <c r="N16" s="14"/>
      <c r="O16" s="14"/>
      <c r="P16" s="14"/>
      <c r="Q16" s="14"/>
      <c r="R16" s="14"/>
    </row>
    <row r="17" spans="1:19" ht="15.75" thickBot="1" x14ac:dyDescent="0.3">
      <c r="A17" s="1" t="s">
        <v>31</v>
      </c>
      <c r="B17" s="3">
        <v>0.15</v>
      </c>
      <c r="C17" s="3">
        <v>0.19</v>
      </c>
      <c r="D17" s="3">
        <v>0.1</v>
      </c>
      <c r="E17" s="3">
        <v>0.17</v>
      </c>
      <c r="F17" s="3">
        <v>0.18</v>
      </c>
      <c r="G17" s="3">
        <v>0.16</v>
      </c>
      <c r="H17" s="3">
        <v>0.27</v>
      </c>
      <c r="I17" s="3">
        <v>0.11</v>
      </c>
      <c r="J17" s="3">
        <v>0.5</v>
      </c>
      <c r="K17" s="3">
        <v>0.37</v>
      </c>
      <c r="L17" s="16"/>
      <c r="M17" s="16"/>
      <c r="N17" s="14"/>
      <c r="O17" s="14"/>
      <c r="P17" s="14"/>
      <c r="Q17" s="14"/>
      <c r="R17" s="14"/>
    </row>
    <row r="18" spans="1:19" ht="15.75" thickBot="1" x14ac:dyDescent="0.3">
      <c r="A18" s="1" t="s">
        <v>32</v>
      </c>
      <c r="B18" s="3">
        <v>0.15</v>
      </c>
      <c r="C18" s="3">
        <v>0.1</v>
      </c>
      <c r="D18" s="3">
        <v>0.1</v>
      </c>
      <c r="E18" s="3">
        <v>0.16</v>
      </c>
      <c r="F18" s="3">
        <v>0.15</v>
      </c>
      <c r="G18" s="3">
        <v>0.16</v>
      </c>
      <c r="H18" s="3">
        <v>0.2</v>
      </c>
      <c r="I18" s="3">
        <v>0.13</v>
      </c>
      <c r="J18" s="3">
        <v>0.36</v>
      </c>
      <c r="K18" s="3">
        <v>0.37</v>
      </c>
      <c r="L18" s="16"/>
      <c r="M18" s="16"/>
      <c r="N18" s="14"/>
      <c r="O18" s="14"/>
      <c r="P18" s="14"/>
      <c r="Q18" s="14"/>
      <c r="R18" s="14"/>
    </row>
    <row r="19" spans="1:19" ht="15.75" thickBot="1" x14ac:dyDescent="0.3">
      <c r="A19" s="1" t="s">
        <v>33</v>
      </c>
      <c r="B19" s="3">
        <v>0.1</v>
      </c>
      <c r="C19" s="3">
        <v>0.15</v>
      </c>
      <c r="D19" s="3">
        <v>0.1</v>
      </c>
      <c r="E19" s="3">
        <v>0.13</v>
      </c>
      <c r="F19" s="3">
        <v>0.13</v>
      </c>
      <c r="G19" s="3">
        <v>0.11</v>
      </c>
      <c r="H19" s="3">
        <v>0.23</v>
      </c>
      <c r="I19" s="3">
        <v>0.11</v>
      </c>
      <c r="J19" s="3">
        <v>0.25</v>
      </c>
      <c r="K19" s="3">
        <v>0.32</v>
      </c>
      <c r="L19" s="16"/>
      <c r="M19" s="16"/>
      <c r="N19" s="14"/>
      <c r="O19" s="14"/>
      <c r="P19" s="14"/>
      <c r="Q19" s="14"/>
      <c r="R19" s="14"/>
    </row>
    <row r="20" spans="1:19" ht="15.75" thickBot="1" x14ac:dyDescent="0.3">
      <c r="A20" s="1" t="s">
        <v>34</v>
      </c>
      <c r="B20" s="3">
        <v>0.15</v>
      </c>
      <c r="C20" s="3">
        <v>0.15</v>
      </c>
      <c r="D20" s="3">
        <v>0.18</v>
      </c>
      <c r="E20" s="3">
        <v>0.18</v>
      </c>
      <c r="F20" s="3">
        <v>0.18</v>
      </c>
      <c r="G20" s="3">
        <v>0.19</v>
      </c>
      <c r="H20" s="3">
        <v>0.18</v>
      </c>
      <c r="I20" s="3">
        <v>0.11</v>
      </c>
      <c r="J20" s="3">
        <v>0.35</v>
      </c>
      <c r="K20" s="3">
        <v>0.4</v>
      </c>
      <c r="L20" s="16"/>
      <c r="M20" s="16"/>
      <c r="N20" s="14"/>
      <c r="O20" s="14"/>
      <c r="P20" s="14"/>
      <c r="Q20" s="14"/>
      <c r="R20" s="14"/>
    </row>
    <row r="21" spans="1:19" ht="15.75" thickBot="1" x14ac:dyDescent="0.3">
      <c r="A21" s="1" t="s">
        <v>36</v>
      </c>
      <c r="B21" s="3">
        <v>0.09</v>
      </c>
      <c r="C21" s="3">
        <v>0.19</v>
      </c>
      <c r="D21" s="3">
        <v>0.19</v>
      </c>
      <c r="E21" s="3">
        <v>0.19</v>
      </c>
      <c r="F21" s="3">
        <v>0.14000000000000001</v>
      </c>
      <c r="G21" s="3">
        <v>0.11</v>
      </c>
      <c r="H21" s="3">
        <v>0.23</v>
      </c>
      <c r="I21" s="3">
        <v>0.27</v>
      </c>
      <c r="J21" s="3">
        <v>0.3</v>
      </c>
      <c r="K21" s="3">
        <v>0.3</v>
      </c>
      <c r="L21" s="16"/>
      <c r="M21" s="16"/>
      <c r="N21" s="14"/>
      <c r="O21" s="14"/>
      <c r="P21" s="14"/>
      <c r="Q21" s="14"/>
      <c r="R21" s="14"/>
    </row>
    <row r="22" spans="1:19" ht="15.75" thickBot="1" x14ac:dyDescent="0.3">
      <c r="A22" s="1" t="s">
        <v>37</v>
      </c>
      <c r="B22" s="3">
        <v>0.23</v>
      </c>
      <c r="C22" s="3">
        <v>0.23</v>
      </c>
      <c r="D22" s="3">
        <v>0.24</v>
      </c>
      <c r="E22" s="3">
        <v>0.22</v>
      </c>
      <c r="F22" s="3">
        <v>0.24</v>
      </c>
      <c r="G22" s="3">
        <v>0.3</v>
      </c>
      <c r="H22" s="3">
        <v>0.6</v>
      </c>
      <c r="I22" s="3">
        <v>0.6</v>
      </c>
      <c r="J22" s="3">
        <v>0.6</v>
      </c>
      <c r="K22" s="3">
        <v>0.6</v>
      </c>
      <c r="L22" s="16"/>
      <c r="M22" s="16"/>
      <c r="N22" s="14"/>
      <c r="O22" s="14"/>
      <c r="P22" s="14"/>
      <c r="Q22" s="14"/>
      <c r="R22" s="14"/>
    </row>
    <row r="23" spans="1:19" ht="15.75" thickBot="1" x14ac:dyDescent="0.3">
      <c r="A23" s="1" t="s">
        <v>38</v>
      </c>
      <c r="B23" s="3">
        <v>0.22</v>
      </c>
      <c r="C23" s="3">
        <v>0.31</v>
      </c>
      <c r="D23" s="3">
        <v>0.31</v>
      </c>
      <c r="E23" s="3">
        <v>0.31</v>
      </c>
      <c r="F23" s="3">
        <v>0.31</v>
      </c>
      <c r="G23" s="3">
        <v>0.3</v>
      </c>
      <c r="H23" s="3">
        <v>0.6</v>
      </c>
      <c r="I23" s="3">
        <v>0.6</v>
      </c>
      <c r="J23" s="3">
        <v>0.6</v>
      </c>
      <c r="K23" s="3">
        <v>0.6</v>
      </c>
      <c r="L23" s="16"/>
      <c r="M23" s="16"/>
      <c r="N23" s="14"/>
      <c r="O23" s="14"/>
      <c r="P23" s="14"/>
      <c r="Q23" s="14"/>
      <c r="R23" s="14"/>
    </row>
    <row r="24" spans="1:19" ht="15.75" thickBot="1" x14ac:dyDescent="0.3">
      <c r="A24" s="1" t="s">
        <v>39</v>
      </c>
      <c r="B24" s="3">
        <v>0.25</v>
      </c>
      <c r="C24" s="3">
        <v>0.25</v>
      </c>
      <c r="D24" s="3">
        <v>0.25</v>
      </c>
      <c r="E24" s="3">
        <v>0.25</v>
      </c>
      <c r="F24" s="3">
        <v>0.25</v>
      </c>
      <c r="G24" s="3">
        <v>0.25</v>
      </c>
      <c r="H24" s="3">
        <v>0.5</v>
      </c>
      <c r="I24" s="3">
        <v>0.5</v>
      </c>
      <c r="J24" s="3">
        <v>0.5</v>
      </c>
      <c r="K24" s="3">
        <v>0.5</v>
      </c>
      <c r="L24" s="16"/>
      <c r="M24" s="16"/>
      <c r="N24" s="14"/>
      <c r="O24" s="14"/>
      <c r="P24" s="14"/>
      <c r="Q24" s="14"/>
      <c r="R24" s="14"/>
    </row>
    <row r="25" spans="1:19" x14ac:dyDescent="0.25">
      <c r="I25" s="16"/>
      <c r="J25" s="16"/>
      <c r="K25" s="16"/>
      <c r="L25" s="16"/>
      <c r="M25" s="16"/>
      <c r="N25" s="14"/>
      <c r="O25" s="14"/>
      <c r="P25" s="14"/>
      <c r="Q25" s="14"/>
      <c r="R25" s="14"/>
    </row>
    <row r="26" spans="1:19" ht="15.75" thickBot="1" x14ac:dyDescent="0.3"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x14ac:dyDescent="0.25">
      <c r="B27" s="10"/>
      <c r="C27" s="19"/>
      <c r="D27" s="5"/>
      <c r="E27" s="5"/>
      <c r="F27" s="24"/>
      <c r="I27" s="15"/>
      <c r="J27" s="15"/>
      <c r="K27" s="15"/>
      <c r="L27" s="15"/>
      <c r="M27" s="15"/>
      <c r="N27" s="14"/>
      <c r="O27" s="14"/>
      <c r="P27" s="14"/>
      <c r="Q27" s="14"/>
      <c r="R27" s="14"/>
      <c r="S27" s="14"/>
    </row>
    <row r="28" spans="1:19" ht="15.75" thickBot="1" x14ac:dyDescent="0.3">
      <c r="B28" s="27" t="s">
        <v>78</v>
      </c>
      <c r="C28" s="26" t="s">
        <v>63</v>
      </c>
      <c r="D28" s="25" t="s">
        <v>79</v>
      </c>
      <c r="E28" s="25" t="s">
        <v>62</v>
      </c>
      <c r="F28" s="24"/>
      <c r="I28" s="16"/>
      <c r="J28" s="16"/>
      <c r="K28" s="16"/>
      <c r="L28" s="16"/>
      <c r="M28" s="16"/>
      <c r="N28" s="14"/>
      <c r="O28" s="14"/>
      <c r="P28" s="14"/>
      <c r="Q28" s="14"/>
      <c r="R28" s="14"/>
      <c r="S28" s="14"/>
    </row>
    <row r="29" spans="1:19" ht="15.75" thickBot="1" x14ac:dyDescent="0.3">
      <c r="A29" s="1" t="s">
        <v>25</v>
      </c>
      <c r="B29" s="3">
        <v>0.3</v>
      </c>
      <c r="C29" s="3">
        <v>0.24</v>
      </c>
      <c r="D29" s="3">
        <v>0.48</v>
      </c>
      <c r="E29" s="3">
        <v>0.18</v>
      </c>
      <c r="F29" s="24"/>
      <c r="I29" s="16"/>
      <c r="J29" s="16"/>
      <c r="K29" s="16"/>
      <c r="L29" s="16"/>
      <c r="M29" s="16"/>
      <c r="N29" s="14"/>
      <c r="O29" s="14"/>
      <c r="P29" s="14"/>
      <c r="Q29" s="14"/>
      <c r="R29" s="14"/>
      <c r="S29" s="14"/>
    </row>
    <row r="30" spans="1:19" ht="15.75" thickBot="1" x14ac:dyDescent="0.3">
      <c r="A30" s="1" t="s">
        <v>26</v>
      </c>
      <c r="B30" s="3">
        <v>0.37</v>
      </c>
      <c r="C30" s="3">
        <v>0.49</v>
      </c>
      <c r="D30" s="3">
        <v>0.82</v>
      </c>
      <c r="E30" s="3">
        <v>0.98</v>
      </c>
      <c r="F30" s="24"/>
      <c r="I30" s="16"/>
      <c r="J30" s="16"/>
      <c r="K30" s="16"/>
      <c r="L30" s="16"/>
      <c r="M30" s="16"/>
      <c r="N30" s="14"/>
      <c r="O30" s="14"/>
      <c r="P30" s="14"/>
      <c r="Q30" s="14"/>
      <c r="R30" s="14"/>
      <c r="S30" s="14"/>
    </row>
    <row r="31" spans="1:19" ht="15.75" thickBot="1" x14ac:dyDescent="0.3">
      <c r="A31" s="1" t="s">
        <v>35</v>
      </c>
      <c r="B31" s="3">
        <v>0.26</v>
      </c>
      <c r="C31" s="3">
        <v>0.3</v>
      </c>
      <c r="D31" s="3">
        <v>0.28999999999999998</v>
      </c>
      <c r="E31" s="3">
        <v>0.17</v>
      </c>
      <c r="F31" s="24"/>
      <c r="I31" s="16"/>
      <c r="J31" s="16"/>
      <c r="K31" s="16"/>
      <c r="L31" s="16"/>
      <c r="M31" s="16"/>
      <c r="N31" s="14"/>
      <c r="O31" s="14"/>
      <c r="P31" s="14"/>
      <c r="Q31" s="14"/>
      <c r="R31" s="14"/>
      <c r="S31" s="14"/>
    </row>
    <row r="32" spans="1:19" ht="15.75" thickBot="1" x14ac:dyDescent="0.3">
      <c r="A32" s="1" t="s">
        <v>27</v>
      </c>
      <c r="B32" s="3">
        <v>0.28000000000000003</v>
      </c>
      <c r="C32" s="3">
        <v>0.23</v>
      </c>
      <c r="D32" s="3">
        <v>0.33</v>
      </c>
      <c r="E32" s="3">
        <v>0.26</v>
      </c>
      <c r="F32" s="24"/>
      <c r="I32" s="16"/>
      <c r="J32" s="16"/>
      <c r="K32" s="16"/>
      <c r="L32" s="16"/>
      <c r="M32" s="16"/>
      <c r="N32" s="14"/>
      <c r="O32" s="14"/>
      <c r="P32" s="14"/>
      <c r="Q32" s="14"/>
      <c r="R32" s="14"/>
      <c r="S32" s="14"/>
    </row>
    <row r="33" spans="1:19" ht="15.75" thickBot="1" x14ac:dyDescent="0.3">
      <c r="A33" s="1" t="s">
        <v>28</v>
      </c>
      <c r="B33" s="3">
        <v>0.15</v>
      </c>
      <c r="C33" s="3">
        <v>0.17</v>
      </c>
      <c r="D33" s="3">
        <v>0.26</v>
      </c>
      <c r="E33" s="3">
        <v>0.18</v>
      </c>
      <c r="F33" s="24"/>
      <c r="I33" s="16"/>
      <c r="J33" s="16"/>
      <c r="K33" s="16"/>
      <c r="L33" s="16"/>
      <c r="M33" s="16"/>
      <c r="N33" s="14"/>
      <c r="O33" s="14"/>
      <c r="P33" s="14"/>
      <c r="Q33" s="14"/>
      <c r="R33" s="14"/>
      <c r="S33" s="14"/>
    </row>
    <row r="34" spans="1:19" ht="15.75" thickBot="1" x14ac:dyDescent="0.3">
      <c r="A34" s="1" t="s">
        <v>29</v>
      </c>
      <c r="B34" s="3">
        <v>0.05</v>
      </c>
      <c r="C34" s="3">
        <v>0.06</v>
      </c>
      <c r="D34" s="3">
        <v>0.15</v>
      </c>
      <c r="E34" s="3">
        <v>0.05</v>
      </c>
      <c r="F34" s="24"/>
      <c r="I34" s="16"/>
      <c r="J34" s="16"/>
      <c r="K34" s="16"/>
      <c r="L34" s="16"/>
      <c r="M34" s="16"/>
      <c r="N34" s="14"/>
      <c r="O34" s="14"/>
      <c r="P34" s="14"/>
      <c r="Q34" s="14"/>
      <c r="R34" s="14"/>
      <c r="S34" s="14"/>
    </row>
    <row r="35" spans="1:19" ht="15.75" thickBot="1" x14ac:dyDescent="0.3">
      <c r="A35" s="1" t="s">
        <v>30</v>
      </c>
      <c r="B35" s="3">
        <v>0.11</v>
      </c>
      <c r="C35" s="3">
        <v>0.13</v>
      </c>
      <c r="D35" s="3">
        <v>0.3</v>
      </c>
      <c r="E35" s="3">
        <v>0.28000000000000003</v>
      </c>
      <c r="F35" s="24"/>
      <c r="I35" s="16"/>
      <c r="J35" s="16"/>
      <c r="K35" s="16"/>
      <c r="L35" s="16"/>
      <c r="M35" s="16"/>
      <c r="N35" s="14"/>
      <c r="O35" s="14"/>
      <c r="P35" s="14"/>
      <c r="Q35" s="14"/>
      <c r="R35" s="14"/>
      <c r="S35" s="14"/>
    </row>
    <row r="36" spans="1:19" ht="15.75" thickBot="1" x14ac:dyDescent="0.3">
      <c r="A36" s="1" t="s">
        <v>31</v>
      </c>
      <c r="B36" s="3">
        <v>0.19</v>
      </c>
      <c r="C36" s="3">
        <v>0.1</v>
      </c>
      <c r="D36" s="3">
        <v>0.43</v>
      </c>
      <c r="E36" s="3">
        <v>0.43</v>
      </c>
      <c r="F36" s="24"/>
      <c r="I36" s="16"/>
      <c r="J36" s="16"/>
      <c r="K36" s="16"/>
      <c r="L36" s="16"/>
      <c r="M36" s="16"/>
      <c r="N36" s="14"/>
      <c r="O36" s="14"/>
      <c r="P36" s="14"/>
      <c r="Q36" s="14"/>
      <c r="R36" s="14"/>
      <c r="S36" s="14"/>
    </row>
    <row r="37" spans="1:19" ht="15.75" thickBot="1" x14ac:dyDescent="0.3">
      <c r="A37" s="1" t="s">
        <v>32</v>
      </c>
      <c r="B37" s="3">
        <v>0.13</v>
      </c>
      <c r="C37" s="3">
        <v>0.06</v>
      </c>
      <c r="D37" s="3">
        <v>0.38</v>
      </c>
      <c r="E37" s="3">
        <v>0.38</v>
      </c>
      <c r="F37" s="24"/>
      <c r="I37" s="16"/>
      <c r="J37" s="16"/>
      <c r="K37" s="16"/>
      <c r="L37" s="16"/>
      <c r="M37" s="16"/>
      <c r="N37" s="14"/>
      <c r="O37" s="14"/>
      <c r="P37" s="14"/>
      <c r="Q37" s="14"/>
      <c r="R37" s="14"/>
      <c r="S37" s="14"/>
    </row>
    <row r="38" spans="1:19" ht="15.75" thickBot="1" x14ac:dyDescent="0.3">
      <c r="A38" s="1" t="s">
        <v>33</v>
      </c>
      <c r="B38" s="3">
        <v>0.18</v>
      </c>
      <c r="C38" s="3">
        <v>0.02</v>
      </c>
      <c r="D38" s="3">
        <v>0.22</v>
      </c>
      <c r="E38" s="3">
        <v>0.18</v>
      </c>
      <c r="F38" s="24"/>
      <c r="I38" s="16"/>
      <c r="J38" s="16"/>
      <c r="K38" s="16"/>
      <c r="L38" s="16"/>
      <c r="M38" s="16"/>
      <c r="N38" s="14"/>
      <c r="O38" s="14"/>
      <c r="P38" s="14"/>
      <c r="Q38" s="14"/>
      <c r="R38" s="14"/>
      <c r="S38" s="14"/>
    </row>
    <row r="39" spans="1:19" ht="15.75" thickBot="1" x14ac:dyDescent="0.3">
      <c r="A39" s="1" t="s">
        <v>34</v>
      </c>
      <c r="B39" s="3">
        <v>0.21</v>
      </c>
      <c r="C39" s="3">
        <v>0.14000000000000001</v>
      </c>
      <c r="D39" s="3">
        <v>0.28000000000000003</v>
      </c>
      <c r="E39" s="3">
        <v>0.28999999999999998</v>
      </c>
      <c r="F39" s="24"/>
      <c r="I39" s="16"/>
      <c r="J39" s="16"/>
      <c r="K39" s="16"/>
      <c r="L39" s="16"/>
      <c r="M39" s="16"/>
      <c r="N39" s="14"/>
      <c r="O39" s="14"/>
      <c r="P39" s="14"/>
      <c r="Q39" s="14"/>
      <c r="R39" s="14"/>
      <c r="S39" s="14"/>
    </row>
    <row r="40" spans="1:19" ht="15.75" thickBot="1" x14ac:dyDescent="0.3">
      <c r="A40" s="1" t="s">
        <v>36</v>
      </c>
      <c r="B40" s="3">
        <v>0.15</v>
      </c>
      <c r="C40" s="3">
        <v>0.14000000000000001</v>
      </c>
      <c r="D40" s="3">
        <v>0.32</v>
      </c>
      <c r="E40" s="3">
        <v>0.69</v>
      </c>
      <c r="F40" s="24"/>
      <c r="I40" s="16"/>
      <c r="J40" s="16"/>
      <c r="K40" s="16"/>
      <c r="L40" s="16"/>
      <c r="M40" s="16"/>
      <c r="N40" s="14"/>
      <c r="O40" s="14"/>
      <c r="P40" s="14"/>
      <c r="Q40" s="14"/>
      <c r="R40" s="14"/>
      <c r="S40" s="14"/>
    </row>
    <row r="41" spans="1:19" ht="15.75" thickBot="1" x14ac:dyDescent="0.3">
      <c r="A41" s="1" t="s">
        <v>37</v>
      </c>
      <c r="B41" s="3">
        <v>0.27</v>
      </c>
      <c r="C41" s="3">
        <v>0.31</v>
      </c>
      <c r="D41" s="3">
        <v>0.62</v>
      </c>
      <c r="E41" s="3">
        <v>0.62</v>
      </c>
      <c r="F41" s="24"/>
      <c r="I41" s="16"/>
      <c r="J41" s="16"/>
      <c r="K41" s="16"/>
      <c r="L41" s="16"/>
      <c r="M41" s="16"/>
      <c r="N41" s="14"/>
      <c r="O41" s="14"/>
      <c r="P41" s="14"/>
      <c r="Q41" s="14"/>
      <c r="R41" s="14"/>
      <c r="S41" s="14"/>
    </row>
    <row r="42" spans="1:19" ht="15.75" thickBot="1" x14ac:dyDescent="0.3">
      <c r="A42" s="1" t="s">
        <v>38</v>
      </c>
      <c r="B42" s="3">
        <v>0.27</v>
      </c>
      <c r="C42" s="3">
        <v>0.34</v>
      </c>
      <c r="D42" s="3">
        <v>0.66</v>
      </c>
      <c r="E42" s="3">
        <v>0.69</v>
      </c>
      <c r="I42" s="16"/>
      <c r="J42" s="16"/>
      <c r="K42" s="16"/>
      <c r="L42" s="16"/>
      <c r="M42" s="16"/>
      <c r="N42" s="14"/>
      <c r="O42" s="14"/>
      <c r="P42" s="14"/>
      <c r="Q42" s="14"/>
      <c r="R42" s="14"/>
      <c r="S42" s="14"/>
    </row>
    <row r="43" spans="1:19" ht="15.75" thickBot="1" x14ac:dyDescent="0.3">
      <c r="A43" s="1" t="s">
        <v>39</v>
      </c>
      <c r="B43" s="3">
        <v>0.49</v>
      </c>
      <c r="C43" s="3">
        <v>0.48</v>
      </c>
      <c r="D43" s="3">
        <v>0.43</v>
      </c>
      <c r="E43" s="3">
        <v>0.17</v>
      </c>
      <c r="H43" s="17"/>
      <c r="I43" s="17"/>
      <c r="J43" s="17"/>
      <c r="K43" s="17"/>
    </row>
    <row r="44" spans="1:19" ht="26.25" customHeight="1" x14ac:dyDescent="0.25">
      <c r="A44" s="20"/>
      <c r="B44" s="21"/>
      <c r="C44" s="22"/>
      <c r="D44" s="21"/>
      <c r="E44" s="21"/>
      <c r="H44" s="13"/>
      <c r="I44" s="13"/>
      <c r="J44" s="13"/>
      <c r="K44" s="13"/>
    </row>
    <row r="45" spans="1:19" x14ac:dyDescent="0.25">
      <c r="A45" s="23"/>
      <c r="C45" t="s">
        <v>49</v>
      </c>
      <c r="D45" t="str">
        <f>'Safety Risk Assessment'!B2</f>
        <v>Corridor</v>
      </c>
      <c r="E45" s="24"/>
      <c r="H45" s="13"/>
      <c r="I45" s="13"/>
      <c r="J45" s="13"/>
      <c r="K45" s="13"/>
    </row>
    <row r="46" spans="1:19" x14ac:dyDescent="0.25">
      <c r="A46" s="23"/>
      <c r="C46" t="s">
        <v>50</v>
      </c>
      <c r="D46" t="str">
        <f>IF(D45="Corridor","N/A",CONCATENATE('Safety Risk Assessment'!B5," ",'Safety Risk Assessment'!B3))</f>
        <v>N/A</v>
      </c>
      <c r="E46" s="24"/>
      <c r="H46" s="13"/>
      <c r="I46" s="13"/>
      <c r="J46" s="13"/>
      <c r="K46" s="13"/>
    </row>
    <row r="47" spans="1:19" x14ac:dyDescent="0.25">
      <c r="A47" s="23"/>
      <c r="C47" t="s">
        <v>51</v>
      </c>
      <c r="D47" t="str">
        <f>IF(D45="Intersection","N/A",CONCATENATE('Safety Risk Assessment'!B5," ",'Safety Risk Assessment'!B4))</f>
        <v>Rural Two-Lane, Two-Way</v>
      </c>
      <c r="E47" s="24"/>
      <c r="H47" s="13"/>
      <c r="I47" s="13"/>
      <c r="J47" s="13"/>
      <c r="K47" s="13"/>
    </row>
    <row r="48" spans="1:19" x14ac:dyDescent="0.25">
      <c r="A48" s="23"/>
      <c r="C48" t="s">
        <v>52</v>
      </c>
      <c r="D48">
        <f>IF($D$46="N/A",INDEX('Lookup Tables'!B29:E29,MATCH($D$47,'Lookup Tables'!$B$28:$E$28,0)),INDEX('Lookup Tables'!B10:K10,MATCH('Lookup Tables'!$D$46,'Lookup Tables'!$B$9:$K$9,0)))</f>
        <v>0.48</v>
      </c>
      <c r="E48" s="24"/>
      <c r="H48" s="13"/>
      <c r="I48" s="13"/>
      <c r="J48" s="13"/>
      <c r="K48" s="13"/>
    </row>
    <row r="49" spans="1:11" x14ac:dyDescent="0.25">
      <c r="A49" s="23"/>
      <c r="C49" t="s">
        <v>64</v>
      </c>
      <c r="D49">
        <f>IF($D$46="N/A",INDEX('Lookup Tables'!B30:E30,MATCH($D$47,'Lookup Tables'!$B$28:$E$28,0)),INDEX('Lookup Tables'!B11:K11,MATCH('Lookup Tables'!$D$46,'Lookup Tables'!$B$9:$K$9,0)))</f>
        <v>0.82</v>
      </c>
      <c r="E49" s="24"/>
      <c r="H49" s="13"/>
      <c r="I49" s="13"/>
      <c r="J49" s="13"/>
      <c r="K49" s="13"/>
    </row>
    <row r="50" spans="1:11" x14ac:dyDescent="0.25">
      <c r="A50" s="23"/>
      <c r="C50" t="s">
        <v>65</v>
      </c>
      <c r="D50">
        <f>IF($D$46="N/A",INDEX('Lookup Tables'!B31:E31,MATCH($D$47,'Lookup Tables'!$B$28:$E$28,0)),INDEX('Lookup Tables'!B12:K12,MATCH('Lookup Tables'!$D$46,'Lookup Tables'!$B$9:$K$9,0)))</f>
        <v>0.28999999999999998</v>
      </c>
      <c r="E50" s="24"/>
      <c r="H50" s="13"/>
      <c r="I50" s="13"/>
      <c r="J50" s="13"/>
      <c r="K50" s="13"/>
    </row>
    <row r="51" spans="1:11" x14ac:dyDescent="0.25">
      <c r="A51" s="23"/>
      <c r="C51" t="s">
        <v>66</v>
      </c>
      <c r="D51">
        <f>IF($D$46="N/A",INDEX('Lookup Tables'!B32:E32,MATCH($D$47,'Lookup Tables'!$B$28:$E$28,0)),INDEX('Lookup Tables'!B13:K13,MATCH('Lookup Tables'!$D$46,'Lookup Tables'!$B$9:$K$9,0)))</f>
        <v>0.33</v>
      </c>
      <c r="E51" s="24"/>
      <c r="H51" s="13"/>
      <c r="I51" s="13"/>
      <c r="J51" s="13"/>
      <c r="K51" s="13"/>
    </row>
    <row r="52" spans="1:11" x14ac:dyDescent="0.25">
      <c r="A52" s="23"/>
      <c r="C52" t="s">
        <v>67</v>
      </c>
      <c r="D52">
        <f>IF($D$46="N/A",INDEX('Lookup Tables'!B33:E33,MATCH($D$47,'Lookup Tables'!$B$28:$E$28,0)),INDEX('Lookup Tables'!B14:K14,MATCH('Lookup Tables'!$D$46,'Lookup Tables'!$B$9:$K$9,0)))</f>
        <v>0.26</v>
      </c>
      <c r="E52" s="24"/>
      <c r="H52" s="13"/>
      <c r="I52" s="13"/>
      <c r="J52" s="13"/>
      <c r="K52" s="13"/>
    </row>
    <row r="53" spans="1:11" x14ac:dyDescent="0.25">
      <c r="A53" s="23"/>
      <c r="C53" t="s">
        <v>68</v>
      </c>
      <c r="D53">
        <f>IF($D$46="N/A",INDEX('Lookup Tables'!B34:E34,MATCH($D$47,'Lookup Tables'!$B$28:$E$28,0)),INDEX('Lookup Tables'!B15:K15,MATCH('Lookup Tables'!$D$46,'Lookup Tables'!$B$9:$K$9,0)))</f>
        <v>0.15</v>
      </c>
      <c r="E53" s="24"/>
      <c r="H53" s="13"/>
      <c r="I53" s="13"/>
      <c r="J53" s="13"/>
      <c r="K53" s="13"/>
    </row>
    <row r="54" spans="1:11" x14ac:dyDescent="0.25">
      <c r="A54" s="23"/>
      <c r="C54" t="s">
        <v>69</v>
      </c>
      <c r="D54">
        <f>IF($D$46="N/A",INDEX('Lookup Tables'!B35:E35,MATCH($D$47,'Lookup Tables'!$B$28:$E$28,0)),INDEX('Lookup Tables'!B16:K16,MATCH('Lookup Tables'!$D$46,'Lookup Tables'!$B$9:$K$9,0)))</f>
        <v>0.3</v>
      </c>
      <c r="E54" s="24"/>
      <c r="H54" s="13"/>
      <c r="I54" s="13"/>
      <c r="J54" s="13"/>
      <c r="K54" s="13"/>
    </row>
    <row r="55" spans="1:11" x14ac:dyDescent="0.25">
      <c r="A55" s="23"/>
      <c r="C55" t="s">
        <v>70</v>
      </c>
      <c r="D55">
        <f>IF($D$46="N/A",INDEX('Lookup Tables'!B36:E36,MATCH($D$47,'Lookup Tables'!$B$28:$E$28,0)),INDEX('Lookup Tables'!B17:K17,MATCH('Lookup Tables'!$D$46,'Lookup Tables'!$B$9:$K$9,0)))</f>
        <v>0.43</v>
      </c>
      <c r="E55" s="24"/>
      <c r="H55" s="13"/>
      <c r="I55" s="13"/>
      <c r="J55" s="13"/>
      <c r="K55" s="13"/>
    </row>
    <row r="56" spans="1:11" x14ac:dyDescent="0.25">
      <c r="A56" s="23"/>
      <c r="C56" t="s">
        <v>71</v>
      </c>
      <c r="D56">
        <f>IF($D$46="N/A",INDEX('Lookup Tables'!B37:E37,MATCH($D$47,'Lookup Tables'!$B$28:$E$28,0)),INDEX('Lookup Tables'!B18:K18,MATCH('Lookup Tables'!$D$46,'Lookup Tables'!$B$9:$K$9,0)))</f>
        <v>0.38</v>
      </c>
      <c r="E56" s="24"/>
      <c r="H56" s="13"/>
      <c r="I56" s="13"/>
      <c r="J56" s="13"/>
      <c r="K56" s="13"/>
    </row>
    <row r="57" spans="1:11" x14ac:dyDescent="0.25">
      <c r="A57" s="23"/>
      <c r="C57" t="s">
        <v>72</v>
      </c>
      <c r="D57">
        <f>IF($D$46="N/A",INDEX('Lookup Tables'!B38:E38,MATCH($D$47,'Lookup Tables'!$B$28:$E$28,0)),INDEX('Lookup Tables'!B19:K19,MATCH('Lookup Tables'!$D$46,'Lookup Tables'!$B$9:$K$9,0)))</f>
        <v>0.22</v>
      </c>
      <c r="E57" s="24"/>
      <c r="H57" s="13"/>
      <c r="I57" s="13"/>
      <c r="J57" s="13"/>
      <c r="K57" s="13"/>
    </row>
    <row r="58" spans="1:11" x14ac:dyDescent="0.25">
      <c r="A58" s="23"/>
      <c r="C58" t="s">
        <v>73</v>
      </c>
      <c r="D58">
        <f>IF($D$46="N/A",INDEX('Lookup Tables'!B39:E39,MATCH($D$47,'Lookup Tables'!$B$28:$E$28,0)),INDEX('Lookup Tables'!B20:K20,MATCH('Lookup Tables'!$D$46,'Lookup Tables'!$B$9:$K$9,0)))</f>
        <v>0.28000000000000003</v>
      </c>
      <c r="E58" s="24"/>
      <c r="H58" s="13"/>
      <c r="I58" s="13"/>
      <c r="J58" s="13"/>
      <c r="K58" s="13"/>
    </row>
    <row r="59" spans="1:11" x14ac:dyDescent="0.25">
      <c r="A59" s="23"/>
      <c r="C59" t="s">
        <v>74</v>
      </c>
      <c r="D59">
        <f>IF($D$46="N/A",INDEX('Lookup Tables'!B40:E40,MATCH($D$47,'Lookup Tables'!$B$28:$E$28,0)),INDEX('Lookup Tables'!B21:K21,MATCH('Lookup Tables'!$D$46,'Lookup Tables'!$B$9:$K$9,0)))</f>
        <v>0.32</v>
      </c>
      <c r="E59" s="24"/>
      <c r="H59" s="18"/>
      <c r="I59" s="18"/>
      <c r="J59" s="18"/>
      <c r="K59" s="18"/>
    </row>
    <row r="60" spans="1:11" x14ac:dyDescent="0.25">
      <c r="C60" t="s">
        <v>75</v>
      </c>
      <c r="D60">
        <f>IF($D$46="N/A",INDEX('Lookup Tables'!B41:E41,MATCH($D$47,'Lookup Tables'!$B$28:$E$28,0)),INDEX('Lookup Tables'!B22:K22,MATCH('Lookup Tables'!$D$46,'Lookup Tables'!$B$9:$K$9,0)))</f>
        <v>0.62</v>
      </c>
      <c r="H60" s="18"/>
      <c r="I60" s="18"/>
      <c r="J60" s="18"/>
      <c r="K60" s="18"/>
    </row>
    <row r="61" spans="1:11" x14ac:dyDescent="0.25">
      <c r="C61" t="s">
        <v>76</v>
      </c>
      <c r="D61">
        <f>IF($D$46="N/A",INDEX('Lookup Tables'!B42:E42,MATCH($D$47,'Lookup Tables'!$B$28:$E$28,0)),INDEX('Lookup Tables'!B23:K23,MATCH('Lookup Tables'!$D$46,'Lookup Tables'!$B$9:$K$9,0)))</f>
        <v>0.66</v>
      </c>
      <c r="H61" s="18"/>
      <c r="I61" s="18"/>
      <c r="J61" s="18"/>
      <c r="K61" s="18"/>
    </row>
    <row r="62" spans="1:11" x14ac:dyDescent="0.25">
      <c r="A62" s="12">
        <v>5</v>
      </c>
      <c r="C62" t="s">
        <v>77</v>
      </c>
      <c r="D62">
        <f>IF($D$46="N/A",INDEX('Lookup Tables'!B43:E43,MATCH($D$47,'Lookup Tables'!$B$28:$E$28,0)),INDEX('Lookup Tables'!B24:K24,MATCH('Lookup Tables'!$D$46,'Lookup Tables'!$B$9:$K$9,0)))</f>
        <v>0.43</v>
      </c>
      <c r="H62" s="18"/>
      <c r="I62" s="18"/>
      <c r="J62" s="18"/>
      <c r="K62" s="18"/>
    </row>
    <row r="63" spans="1:11" x14ac:dyDescent="0.25">
      <c r="A63" s="12">
        <v>10</v>
      </c>
      <c r="H63" s="18"/>
      <c r="I63" s="18"/>
      <c r="J63" s="18"/>
      <c r="K63" s="18"/>
    </row>
    <row r="64" spans="1:11" x14ac:dyDescent="0.25">
      <c r="H64" s="18"/>
      <c r="I64" s="18"/>
      <c r="J64" s="18"/>
      <c r="K64" s="18"/>
    </row>
    <row r="65" spans="8:11" x14ac:dyDescent="0.25">
      <c r="H65" s="18"/>
      <c r="I65" s="18"/>
      <c r="J65" s="18"/>
      <c r="K65" s="18"/>
    </row>
    <row r="66" spans="8:11" x14ac:dyDescent="0.25">
      <c r="H66" s="18"/>
      <c r="I66" s="18"/>
      <c r="J66" s="18"/>
      <c r="K66" s="18"/>
    </row>
    <row r="67" spans="8:11" x14ac:dyDescent="0.25">
      <c r="H67" s="18"/>
      <c r="I67" s="18"/>
      <c r="J67" s="18"/>
      <c r="K67" s="18"/>
    </row>
    <row r="68" spans="8:11" x14ac:dyDescent="0.25">
      <c r="H68" s="18"/>
      <c r="I68" s="18"/>
      <c r="J68" s="18"/>
      <c r="K68" s="18"/>
    </row>
    <row r="69" spans="8:11" x14ac:dyDescent="0.25">
      <c r="H69" s="18"/>
      <c r="I69" s="18"/>
      <c r="J69" s="18"/>
      <c r="K69" s="18"/>
    </row>
    <row r="70" spans="8:11" x14ac:dyDescent="0.25">
      <c r="H70" s="18"/>
      <c r="I70" s="18"/>
      <c r="J70" s="18"/>
      <c r="K70" s="18"/>
    </row>
    <row r="71" spans="8:11" x14ac:dyDescent="0.25">
      <c r="H71" s="18"/>
      <c r="I71" s="18"/>
      <c r="J71" s="18"/>
      <c r="K71" s="18"/>
    </row>
    <row r="72" spans="8:11" x14ac:dyDescent="0.25">
      <c r="H72" s="18"/>
      <c r="I72" s="18"/>
      <c r="J72" s="18"/>
      <c r="K72" s="18"/>
    </row>
    <row r="73" spans="8:11" x14ac:dyDescent="0.25">
      <c r="H73" s="18"/>
      <c r="I73" s="18"/>
      <c r="J73" s="18"/>
      <c r="K73" s="18"/>
    </row>
    <row r="74" spans="8:11" x14ac:dyDescent="0.25">
      <c r="H74" s="18"/>
      <c r="I74" s="18"/>
      <c r="J74" s="18"/>
      <c r="K74" s="18"/>
    </row>
    <row r="75" spans="8:11" x14ac:dyDescent="0.25">
      <c r="H75" s="18"/>
      <c r="I75" s="18"/>
      <c r="J75" s="18"/>
      <c r="K75" s="18"/>
    </row>
    <row r="76" spans="8:11" x14ac:dyDescent="0.25">
      <c r="H76" s="18"/>
      <c r="I76" s="18"/>
      <c r="J76" s="18"/>
      <c r="K76" s="18"/>
    </row>
    <row r="77" spans="8:11" x14ac:dyDescent="0.25">
      <c r="H77" s="18"/>
      <c r="I77" s="18"/>
      <c r="J77" s="18"/>
      <c r="K77" s="18"/>
    </row>
    <row r="78" spans="8:11" x14ac:dyDescent="0.25">
      <c r="H78" s="18"/>
      <c r="I78" s="18"/>
      <c r="J78" s="18"/>
      <c r="K78" s="18"/>
    </row>
    <row r="79" spans="8:11" x14ac:dyDescent="0.25">
      <c r="H79" s="18"/>
      <c r="I79" s="18"/>
      <c r="J79" s="18"/>
      <c r="K79" s="18"/>
    </row>
    <row r="80" spans="8:11" x14ac:dyDescent="0.25">
      <c r="H80" s="18"/>
      <c r="I80" s="18"/>
      <c r="J80" s="18"/>
      <c r="K80" s="18"/>
    </row>
    <row r="81" spans="8:11" x14ac:dyDescent="0.25">
      <c r="H81" s="18"/>
      <c r="I81" s="18"/>
      <c r="J81" s="18"/>
      <c r="K81" s="18"/>
    </row>
    <row r="82" spans="8:11" x14ac:dyDescent="0.25">
      <c r="H82" s="18"/>
      <c r="I82" s="18"/>
      <c r="J82" s="18"/>
      <c r="K82" s="18"/>
    </row>
    <row r="83" spans="8:11" x14ac:dyDescent="0.25">
      <c r="H83" s="18"/>
      <c r="I83" s="18"/>
      <c r="J83" s="18"/>
      <c r="K83" s="18"/>
    </row>
    <row r="84" spans="8:11" x14ac:dyDescent="0.25">
      <c r="H84" s="18"/>
      <c r="I84" s="18"/>
      <c r="J84" s="18"/>
      <c r="K84" s="18"/>
    </row>
    <row r="85" spans="8:11" x14ac:dyDescent="0.25">
      <c r="H85" s="18"/>
      <c r="I85" s="18"/>
      <c r="J85" s="18"/>
      <c r="K85" s="18"/>
    </row>
    <row r="86" spans="8:11" x14ac:dyDescent="0.25">
      <c r="H86" s="18"/>
      <c r="I86" s="18"/>
      <c r="J86" s="18"/>
      <c r="K86" s="18"/>
    </row>
    <row r="87" spans="8:11" x14ac:dyDescent="0.25">
      <c r="H87" s="18"/>
      <c r="I87" s="18"/>
      <c r="J87" s="18"/>
      <c r="K87" s="18"/>
    </row>
    <row r="88" spans="8:11" x14ac:dyDescent="0.25">
      <c r="H88" s="18"/>
      <c r="I88" s="18"/>
      <c r="J88" s="18"/>
      <c r="K88" s="18"/>
    </row>
    <row r="89" spans="8:11" x14ac:dyDescent="0.25">
      <c r="H89" s="18"/>
      <c r="I89" s="18"/>
      <c r="J89" s="18"/>
      <c r="K89" s="18"/>
    </row>
    <row r="90" spans="8:11" x14ac:dyDescent="0.25">
      <c r="H90" s="18"/>
      <c r="I90" s="18"/>
      <c r="J90" s="18"/>
      <c r="K90" s="18"/>
    </row>
    <row r="91" spans="8:11" x14ac:dyDescent="0.25">
      <c r="H91" s="18"/>
      <c r="I91" s="18"/>
      <c r="J91" s="18"/>
      <c r="K91" s="18"/>
    </row>
    <row r="92" spans="8:11" x14ac:dyDescent="0.25">
      <c r="H92" s="18"/>
      <c r="I92" s="18"/>
      <c r="J92" s="18"/>
      <c r="K92" s="18"/>
    </row>
    <row r="93" spans="8:11" x14ac:dyDescent="0.25">
      <c r="H93" s="18"/>
      <c r="I93" s="18"/>
      <c r="J93" s="18"/>
      <c r="K93" s="18"/>
    </row>
    <row r="94" spans="8:11" x14ac:dyDescent="0.25">
      <c r="H94" s="18"/>
      <c r="I94" s="18"/>
      <c r="J94" s="18"/>
      <c r="K94" s="18"/>
    </row>
    <row r="95" spans="8:11" x14ac:dyDescent="0.25">
      <c r="H95" s="18"/>
      <c r="I95" s="18"/>
      <c r="J95" s="18"/>
      <c r="K95" s="18"/>
    </row>
    <row r="96" spans="8:11" x14ac:dyDescent="0.25">
      <c r="H96" s="18"/>
      <c r="I96" s="18"/>
      <c r="J96" s="18"/>
      <c r="K96" s="18"/>
    </row>
    <row r="97" spans="8:11" x14ac:dyDescent="0.25">
      <c r="H97" s="18"/>
      <c r="I97" s="18"/>
      <c r="J97" s="18"/>
      <c r="K97" s="18"/>
    </row>
    <row r="98" spans="8:11" x14ac:dyDescent="0.25">
      <c r="H98" s="18"/>
      <c r="I98" s="18"/>
      <c r="J98" s="18"/>
      <c r="K98" s="18"/>
    </row>
    <row r="99" spans="8:11" x14ac:dyDescent="0.25">
      <c r="H99" s="18"/>
      <c r="I99" s="18"/>
      <c r="J99" s="18"/>
      <c r="K99" s="18"/>
    </row>
    <row r="100" spans="8:11" x14ac:dyDescent="0.25">
      <c r="H100" s="18"/>
      <c r="I100" s="18"/>
      <c r="J100" s="18"/>
      <c r="K100" s="18"/>
    </row>
    <row r="101" spans="8:11" x14ac:dyDescent="0.25">
      <c r="H101" s="18"/>
      <c r="I101" s="18"/>
      <c r="J101" s="18"/>
      <c r="K101" s="18"/>
    </row>
    <row r="102" spans="8:11" x14ac:dyDescent="0.25">
      <c r="H102" s="18"/>
      <c r="I102" s="18"/>
      <c r="J102" s="18"/>
      <c r="K102" s="18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Introduction</vt:lpstr>
      <vt:lpstr>Safety Risk Assessment</vt:lpstr>
      <vt:lpstr>Infrastructure Risk Rating</vt:lpstr>
      <vt:lpstr>IRR Lookup Data</vt:lpstr>
      <vt:lpstr>Lookup Tables</vt:lpstr>
      <vt:lpstr>IntersectionCorridor</vt:lpstr>
      <vt:lpstr>IntersectionType</vt:lpstr>
      <vt:lpstr>'Safety Risk Assessment'!Print_Area</vt:lpstr>
      <vt:lpstr>RoadType</vt:lpstr>
      <vt:lpstr>SpeedEnvironment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Durdin</dc:creator>
  <cp:lastModifiedBy>Kerryn Merriman</cp:lastModifiedBy>
  <cp:lastPrinted>2017-10-31T02:30:16Z</cp:lastPrinted>
  <dcterms:created xsi:type="dcterms:W3CDTF">2017-10-26T06:20:10Z</dcterms:created>
  <dcterms:modified xsi:type="dcterms:W3CDTF">2018-05-15T22:45:35Z</dcterms:modified>
</cp:coreProperties>
</file>