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8.xml" ContentType="application/vnd.openxmlformats-officedocument.spreadsheetml.table+xml"/>
  <Override PartName="/xl/comments2.xml" ContentType="application/vnd.openxmlformats-officedocument.spreadsheetml.comments+xml"/>
  <Override PartName="/xl/drawings/drawing6.xml" ContentType="application/vnd.openxmlformats-officedocument.drawing+xml"/>
  <Override PartName="/xl/tables/table9.xml" ContentType="application/vnd.openxmlformats-officedocument.spreadsheetml.tab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nztransportagency-my.sharepoint.com/personal/helen_rickerby_nzta_govt_nz2/Documents/Environment and sustainability/LCAP/"/>
    </mc:Choice>
  </mc:AlternateContent>
  <xr:revisionPtr revIDLastSave="16" documentId="13_ncr:1_{E200A544-226B-4CAF-AC52-F569AE045691}" xr6:coauthVersionLast="47" xr6:coauthVersionMax="47" xr10:uidLastSave="{EFBE979A-1D79-4609-A630-A6D07EBFCD48}"/>
  <bookViews>
    <workbookView xWindow="-110" yWindow="-110" windowWidth="22780" windowHeight="14660" tabRatio="846" xr2:uid="{81EAB589-FFD1-49F2-9776-8D063BB48582}"/>
  </bookViews>
  <sheets>
    <sheet name="User Guide" sheetId="11" r:id="rId1"/>
    <sheet name="Data Entry" sheetId="2" r:id="rId2"/>
    <sheet name="Maintenance &amp; Traffic Delay" sheetId="5" r:id="rId3"/>
    <sheet name="Impact Analysis" sheetId="10" r:id="rId4"/>
    <sheet name="Additional Impact Indicators" sheetId="9" r:id="rId5"/>
    <sheet name="Materials" sheetId="1" r:id="rId6"/>
    <sheet name="Dynamic Materials" sheetId="14" r:id="rId7"/>
    <sheet name="Pavement Deflection" sheetId="7" r:id="rId8"/>
    <sheet name="Surface Roughness" sheetId="16" r:id="rId9"/>
    <sheet name="Electricity projections" sheetId="6" r:id="rId10"/>
    <sheet name="Fleet Projection" sheetId="15" r:id="rId11"/>
    <sheet name="LookUpTables" sheetId="18" r:id="rId12"/>
    <sheet name="Change Log" sheetId="17" r:id="rId13"/>
  </sheets>
  <definedNames>
    <definedName name="_xlnm._FilterDatabase" localSheetId="5" hidden="1">Materials!$B$12:$AO$77</definedName>
    <definedName name="Area_trans">'Data Entry'!$C$45</definedName>
    <definedName name="Asphalt_plant_emissions">'Dynamic Materials'!$AM$16:$AP$119</definedName>
    <definedName name="Asphalt_process">'Data Entry'!$C$99</definedName>
    <definedName name="aver_hourly_veh_flow">'Maintenance &amp; Traffic Delay'!$D$27</definedName>
    <definedName name="Cement_Supplier">'Data Entry'!$C$97</definedName>
    <definedName name="Charging_eff">'Maintenance &amp; Traffic Delay'!$D$28</definedName>
    <definedName name="Data_limit">'Data Entry'!$B$54:$E$58</definedName>
    <definedName name="delflec_switch">'Impact Analysis'!$C$16</definedName>
    <definedName name="Diesel_density">'Data Entry'!$C$50</definedName>
    <definedName name="Diesel_RawM_Prim">'Data Entry'!$C$103</definedName>
    <definedName name="Diesel_RawM_Sec">'Data Entry'!$D$103</definedName>
    <definedName name="Diesel_RawM_Tert">'Data Entry'!$E$103</definedName>
    <definedName name="Discount_Main_crack_Prim">'Data Entry'!#REF!</definedName>
    <definedName name="Discount_Main_crack_Sec">'Data Entry'!#REF!</definedName>
    <definedName name="Discount_Main_crack_Tert">'Data Entry'!#REF!</definedName>
    <definedName name="Discount_Main_Dig_prim">'Data Entry'!#REF!</definedName>
    <definedName name="Discount_Main_Dig_Sec">'Data Entry'!#REF!</definedName>
    <definedName name="Discount_Main_Dig_Tert">'Data Entry'!#REF!</definedName>
    <definedName name="Discount_Main_lay_Prim">'Data Entry'!#REF!</definedName>
    <definedName name="Discount_Main_lay_Sec">'Data Entry'!#REF!</definedName>
    <definedName name="Discount_Main_lay_Tert">'Data Entry'!#REF!</definedName>
    <definedName name="Discount_Main_Mill_Prim">'Data Entry'!#REF!</definedName>
    <definedName name="Discount_Main_Mill_Sec">'Data Entry'!#REF!</definedName>
    <definedName name="Discount_Main_Mill_Tert">'Data Entry'!#REF!</definedName>
    <definedName name="Discount_Main_Patch_Prim">'Data Entry'!#REF!</definedName>
    <definedName name="Discount_Main_Patch_Sec">'Data Entry'!#REF!</definedName>
    <definedName name="Discount_Main_Patch_Tert">'Data Entry'!#REF!</definedName>
    <definedName name="Discount_Main_Pothole_Prim">'Data Entry'!#REF!</definedName>
    <definedName name="Discount_Main_Pothole_Sec">'Data Entry'!#REF!</definedName>
    <definedName name="Discount_Main_Pothole_Tert">'Data Entry'!#REF!</definedName>
    <definedName name="Discount_Main_Rip_Prim">'Data Entry'!#REF!</definedName>
    <definedName name="Discount_Main_Rip_Sec">'Data Entry'!#REF!</definedName>
    <definedName name="Discount_Main_Rip_Tert">'Data Entry'!#REF!</definedName>
    <definedName name="Discount_Main_Shoulder_Prim">'Data Entry'!#REF!</definedName>
    <definedName name="Discount_Main_Shoulder_Sec">'Data Entry'!#REF!</definedName>
    <definedName name="Discount_Main_Shoulder_Tert">'Data Entry'!#REF!</definedName>
    <definedName name="Discount_Main_Surface_Prim">'Data Entry'!#REF!</definedName>
    <definedName name="Discount_Main_Surface_Sec">'Data Entry'!#REF!</definedName>
    <definedName name="Discount_Main_Surface_Tert">'Data Entry'!#REF!</definedName>
    <definedName name="E_modulus_Prim">'Data Entry'!$C$152</definedName>
    <definedName name="E_modulus_Sec">'Data Entry'!$D$152</definedName>
    <definedName name="E_modulus_Tert">'Data Entry'!$E$152</definedName>
    <definedName name="E40_PVI_deflec">'Pavement Deflection'!$A$60</definedName>
    <definedName name="elec_project_emissions">'Electricity projections'!$D$25:$CZ$44</definedName>
    <definedName name="Elec_scenario">'Data Entry'!$C$20</definedName>
    <definedName name="Electricity_projection">'Electricity projections'!$A$24:$CZ$44</definedName>
    <definedName name="enviro_disc">'Data Entry'!$C$42</definedName>
    <definedName name="EoL_diesel_combustion">'Data Entry'!$C$194</definedName>
    <definedName name="EoL_Landfill_distance_Prim">'Data Entry'!$C$198</definedName>
    <definedName name="EoL_Landfill_distance_Sec">'Data Entry'!$D$198</definedName>
    <definedName name="EoL_Landfill_distance_Tert">'Data Entry'!$E$198</definedName>
    <definedName name="EoL_Recyc_distance_Prim">'Data Entry'!$C$197</definedName>
    <definedName name="EoL_Recyc_distance_Sec">'Data Entry'!$D$197</definedName>
    <definedName name="EoL_Recyc_distance_Tert">'Data Entry'!$E$197</definedName>
    <definedName name="EoL_recycl_rate_Prim">'Data Entry'!$C$195</definedName>
    <definedName name="EoL_recycl_rate_Sec">'Data Entry'!$D$195</definedName>
    <definedName name="EoL_recycl_rate_Tert">'Data Entry'!$E$195</definedName>
    <definedName name="EoL_treatment_Prim">'Data Entry'!$C$193</definedName>
    <definedName name="EoL_Treatment_Sec">'Data Entry'!$D$193</definedName>
    <definedName name="EoL_Treatment_Tert">'Data Entry'!$E$193</definedName>
    <definedName name="EPD_type">Materials!$B$2</definedName>
    <definedName name="EPD_version">Materials!$B$1</definedName>
    <definedName name="epsi_0_heavy">'Surface Roughness'!$C$44</definedName>
    <definedName name="epsi_0_light">'Surface Roughness'!$B$44</definedName>
    <definedName name="epsi_1_heavy">'Surface Roughness'!$C$49</definedName>
    <definedName name="epsi_1_light">'Surface Roughness'!$B$49</definedName>
    <definedName name="epsi_2_heavy">'Surface Roughness'!$C$54</definedName>
    <definedName name="epsi_2_light">'Surface Roughness'!$B$54</definedName>
    <definedName name="epsi_3_heavy">'Surface Roughness'!$C$59</definedName>
    <definedName name="epsi_3_light">'Surface Roughness'!$B$59</definedName>
    <definedName name="Fleet_projection">Handle_traffic_fleet:OFFSET(Handle_traffic_fleet,6,Results_timespan-1)</definedName>
    <definedName name="fuel_cons">#REF!</definedName>
    <definedName name="grad_IRI">#REF!</definedName>
    <definedName name="Handle_electricity_emissions">'Electricity projections'!$D$25</definedName>
    <definedName name="Handle_Recyc_mat">'Data Entry'!$C$89:$D$89</definedName>
    <definedName name="Handle_Scenario1">'Data Entry'!$C$16</definedName>
    <definedName name="Handle_Scenario2">'Data Entry'!$C$17</definedName>
    <definedName name="Handle_Scenario3">'Data Entry'!$C$18</definedName>
    <definedName name="Handle_traffic_fleet">'Fleet Projection'!$AT$27</definedName>
    <definedName name="Handle_Wearing_Course">'Data Entry'!$D$62:$K$62</definedName>
    <definedName name="Handle_years">OFFSET(Handle_traffic_fleet,-1,0):OFFSET(Handle_traffic_fleet,-1,Results_timespan-1)-YEAR(NOW())</definedName>
    <definedName name="Idiling_fuel_consumption">'Fleet Projection'!$AR$27:$AR$33</definedName>
    <definedName name="Indicators">Materials!$1:$119</definedName>
    <definedName name="Intensity_factor">'Data Entry'!#REF!</definedName>
    <definedName name="IRI_Prim">'Data Entry'!$C$145</definedName>
    <definedName name="IRI_Sec">'Data Entry'!$D$145</definedName>
    <definedName name="IRI_Tert">'Data Entry'!$E$145</definedName>
    <definedName name="Main_crack_area_Prim">'Data Entry'!#REF!</definedName>
    <definedName name="Main_crack_area_Sec">'Data Entry'!#REF!</definedName>
    <definedName name="Main_crack_area_Tert">'Data Entry'!#REF!</definedName>
    <definedName name="Main_crack_diesel_Prim">'Maintenance &amp; Traffic Delay'!$H$33</definedName>
    <definedName name="Main_crack_diesel_Sec">'Data Entry'!#REF!</definedName>
    <definedName name="Main_crack_diesel_Tert">'Data Entry'!#REF!</definedName>
    <definedName name="Main_crack_dist_Prim">'Maintenance &amp; Traffic Delay'!$J$33</definedName>
    <definedName name="Main_crack_Prim">'Maintenance &amp; Traffic Delay'!$D$33:$G$34</definedName>
    <definedName name="Main_Crack_Sec">'Data Entry'!#REF!</definedName>
    <definedName name="Main_Crack_Tert">'Data Entry'!#REF!</definedName>
    <definedName name="Main_Crack_Year_Prim">'Data Entry'!#REF!</definedName>
    <definedName name="Main_crack_year_Sec">'Data Entry'!#REF!</definedName>
    <definedName name="Main_crack_year_Tert">'Data Entry'!#REF!</definedName>
    <definedName name="Main_Dig_area_Prim">'Data Entry'!#REF!</definedName>
    <definedName name="Main_Dig_area_Sec">'Data Entry'!#REF!</definedName>
    <definedName name="Main_Dig_area_Tert">'Data Entry'!#REF!</definedName>
    <definedName name="Main_dig_diesel_Prim">'Maintenance &amp; Traffic Delay'!$H$47</definedName>
    <definedName name="Main_dig_diesel_Sec">'Maintenance &amp; Traffic Delay'!$H$49</definedName>
    <definedName name="Main_dig_diesel_Tert">'Maintenance &amp; Traffic Delay'!$H$51</definedName>
    <definedName name="Main_Dig_dist_Prim">'Maintenance &amp; Traffic Delay'!$J$47</definedName>
    <definedName name="Main_Dig_dist_Sec">'Maintenance &amp; Traffic Delay'!$J$49</definedName>
    <definedName name="Main_Dig_dist_Tert">'Maintenance &amp; Traffic Delay'!$J$51</definedName>
    <definedName name="Main_Dig_Prim">'Maintenance &amp; Traffic Delay'!$D$47:$G$48</definedName>
    <definedName name="Main_Dig_Sec">'Maintenance &amp; Traffic Delay'!$D$49:$G$50</definedName>
    <definedName name="Main_Dig_Tert">'Maintenance &amp; Traffic Delay'!$D$51:$G$52</definedName>
    <definedName name="Main_Heavy_Sec">'Data Entry'!#REF!</definedName>
    <definedName name="Main_lay_area_Prim">'Data Entry'!#REF!</definedName>
    <definedName name="Main_lay_area_Sec">'Data Entry'!#REF!</definedName>
    <definedName name="Main_lay_area_Tert">'Data Entry'!#REF!</definedName>
    <definedName name="Main_lay_diesel_Prim">'Maintenance &amp; Traffic Delay'!$H$53</definedName>
    <definedName name="Main_lay_diesel_Sec">'Data Entry'!#REF!</definedName>
    <definedName name="Main_lay_diesel_Tert">'Data Entry'!#REF!</definedName>
    <definedName name="Main_Lay_dist_Prim">'Maintenance &amp; Traffic Delay'!$J$53</definedName>
    <definedName name="Main_Lay_Prim">'Maintenance &amp; Traffic Delay'!$D$53:$G$54</definedName>
    <definedName name="Main_Lay_Sec">'Data Entry'!#REF!</definedName>
    <definedName name="Main_Lay_Tert">'Data Entry'!#REF!</definedName>
    <definedName name="Main_Mill_area_Prim">'Data Entry'!#REF!</definedName>
    <definedName name="Main_Mill_area_Sec">'Data Entry'!#REF!</definedName>
    <definedName name="Main_Mill_area_Tert">'Data Entry'!#REF!</definedName>
    <definedName name="Main_Mill_diesel_Prim">'Maintenance &amp; Traffic Delay'!$H$43</definedName>
    <definedName name="Main_Mill_diesel_Sec">'Data Entry'!#REF!</definedName>
    <definedName name="Main_Mill_diesel_Tert">'Data Entry'!#REF!</definedName>
    <definedName name="Main_Mill_dist_Prim">'Maintenance &amp; Traffic Delay'!$J$43</definedName>
    <definedName name="Main_Mill_Prim">'Maintenance &amp; Traffic Delay'!$D$43:$G$44</definedName>
    <definedName name="Main_Mill_Sec">'Data Entry'!#REF!</definedName>
    <definedName name="Main_Mill_Tert">'Data Entry'!#REF!</definedName>
    <definedName name="Main_Patch_area_Prim">'Data Entry'!#REF!</definedName>
    <definedName name="Main_patch_area_Sec">'Data Entry'!#REF!</definedName>
    <definedName name="Main_patch_area_Tert">'Data Entry'!#REF!</definedName>
    <definedName name="Main_patch_diesel_Prim">'Maintenance &amp; Traffic Delay'!$H$41</definedName>
    <definedName name="Main_patch_diesel_Sec">'Data Entry'!#REF!</definedName>
    <definedName name="Main_patch_diesel_Tert">'Data Entry'!#REF!</definedName>
    <definedName name="Main_Patch_dist_Prim">'Maintenance &amp; Traffic Delay'!$J$41</definedName>
    <definedName name="Main_Patch_Prim">'Maintenance &amp; Traffic Delay'!$D$41:$G$42</definedName>
    <definedName name="Main_Patch_Sec">'Data Entry'!#REF!</definedName>
    <definedName name="Main_Patch_Tert">'Data Entry'!#REF!</definedName>
    <definedName name="Main_Pothole_area_Prim">'Data Entry'!#REF!</definedName>
    <definedName name="Main_pothole_area_Sec">'Data Entry'!#REF!</definedName>
    <definedName name="Main_pothole_area_Tert">'Data Entry'!#REF!</definedName>
    <definedName name="Main_pothole_diesel_Prim">'Maintenance &amp; Traffic Delay'!$H$35</definedName>
    <definedName name="Main_pothole_diesel_Sec">'Data Entry'!#REF!</definedName>
    <definedName name="Main_pothole_diesel_Tert">'Data Entry'!#REF!</definedName>
    <definedName name="Main_Pothole_dist_Prim">'Maintenance &amp; Traffic Delay'!$J$35</definedName>
    <definedName name="Main_Pothole_Prim">'Maintenance &amp; Traffic Delay'!$D$35:$G$36</definedName>
    <definedName name="Main_Pothole_Sec">'Data Entry'!#REF!</definedName>
    <definedName name="Main_Pothole_Tert">'Data Entry'!#REF!</definedName>
    <definedName name="Main_Pothole_Year_Prim">'Data Entry'!#REF!</definedName>
    <definedName name="Main_pothole_year_Sec">'Data Entry'!#REF!</definedName>
    <definedName name="Main_pothole_year_Tert">'Data Entry'!#REF!</definedName>
    <definedName name="Main_Rip_area_Prim">'Data Entry'!#REF!</definedName>
    <definedName name="Main_Rip_area_Sec">'Data Entry'!#REF!</definedName>
    <definedName name="Main_Rip_area_Tert">'Data Entry'!#REF!</definedName>
    <definedName name="Main_Rip_diesel_Prim">'Maintenance &amp; Traffic Delay'!$H$45</definedName>
    <definedName name="Main_Rip_diesel_Sec">'Data Entry'!#REF!</definedName>
    <definedName name="Main_Rip_diesel_Tert">'Data Entry'!#REF!</definedName>
    <definedName name="Main_Rip_dist_Prim">'Maintenance &amp; Traffic Delay'!$J$45</definedName>
    <definedName name="Main_Rip_Prim">'Maintenance &amp; Traffic Delay'!$D$45:$G$46</definedName>
    <definedName name="Main_Rip_Sec">'Data Entry'!#REF!</definedName>
    <definedName name="Main_Rip_Tert">'Data Entry'!#REF!</definedName>
    <definedName name="Main_Shoulder_area_Prim">'Data Entry'!#REF!</definedName>
    <definedName name="Main_Shoulder_area_Sec">'Data Entry'!#REF!</definedName>
    <definedName name="Main_Shoulder_area_Tert">'Data Entry'!#REF!</definedName>
    <definedName name="Main_Shoulder_diesel_Prim">'Maintenance &amp; Traffic Delay'!$H$39</definedName>
    <definedName name="Main_Shoulder_diesel_Sec">'Data Entry'!#REF!</definedName>
    <definedName name="Main_Shoulder_diesel_Tert">'Data Entry'!#REF!</definedName>
    <definedName name="Main_Shoulder_dist_Prim">'Maintenance &amp; Traffic Delay'!$J$39</definedName>
    <definedName name="Main_Shoulder_Prim">'Maintenance &amp; Traffic Delay'!$D$39:$G$40</definedName>
    <definedName name="Main_Shoulder_Sec">'Data Entry'!#REF!</definedName>
    <definedName name="Main_Shoulder_Tert">'Data Entry'!#REF!</definedName>
    <definedName name="Main_Surface_area_Prim">'Data Entry'!#REF!</definedName>
    <definedName name="Main_Surface_area_Sec">'Data Entry'!#REF!</definedName>
    <definedName name="Main_Surface_area_Tert">'Data Entry'!#REF!</definedName>
    <definedName name="Main_Surface_diesel_Prim">'Maintenance &amp; Traffic Delay'!$H$37</definedName>
    <definedName name="Main_Surface_diesel_Sec">'Data Entry'!#REF!</definedName>
    <definedName name="Main_Surface_diesel_Tert">'Data Entry'!#REF!</definedName>
    <definedName name="Main_Surface_dist_Prim">'Maintenance &amp; Traffic Delay'!$J$37</definedName>
    <definedName name="Main_Surface_Prim">'Maintenance &amp; Traffic Delay'!$D$37:$G$38</definedName>
    <definedName name="Main_Surface_Sec">'Data Entry'!#REF!</definedName>
    <definedName name="Main_Surface_Tert">'Data Entry'!#REF!</definedName>
    <definedName name="Main_truck_crack_Prim">'Maintenance &amp; Traffic Delay'!$K$33</definedName>
    <definedName name="Main_Truck_Crack_Sec">'Data Entry'!#REF!</definedName>
    <definedName name="Main_Truck_Crack_Tert">'Data Entry'!#REF!</definedName>
    <definedName name="Main_truck_Dig_Prim">'Maintenance &amp; Traffic Delay'!$K$47</definedName>
    <definedName name="Main_Truck_Dig_Sec">'Maintenance &amp; Traffic Delay'!$K$49</definedName>
    <definedName name="Main_Truck_Dig_Tert">'Maintenance &amp; Traffic Delay'!$K$51</definedName>
    <definedName name="Main_truck_Lay_Prim">'Maintenance &amp; Traffic Delay'!$K$53</definedName>
    <definedName name="Main_Truck_Lay_Sec">'Data Entry'!#REF!</definedName>
    <definedName name="Main_Truck_Lay_Tert">'Data Entry'!#REF!</definedName>
    <definedName name="Main_truck_Mill_Prim">'Maintenance &amp; Traffic Delay'!$K$43</definedName>
    <definedName name="Main_truck_Mill_Sec">'Data Entry'!#REF!</definedName>
    <definedName name="Main_truck_Mill_Tert">'Data Entry'!#REF!</definedName>
    <definedName name="Main_truck_Patch_Prim">'Maintenance &amp; Traffic Delay'!$K$41</definedName>
    <definedName name="Main_Truck_Patch_Sec">'Data Entry'!#REF!</definedName>
    <definedName name="Main_Truck_Patch_Tert">'Data Entry'!#REF!</definedName>
    <definedName name="Main_truck_pothole_prim">'Maintenance &amp; Traffic Delay'!$K$35</definedName>
    <definedName name="Main_Truck_Pothole_Sec">'Data Entry'!#REF!</definedName>
    <definedName name="Main_Truck_Pothole_Tert">'Data Entry'!#REF!</definedName>
    <definedName name="Main_truck_Rip_Prim">'Maintenance &amp; Traffic Delay'!$K$45</definedName>
    <definedName name="Main_truck_Rip_Sec">'Data Entry'!#REF!</definedName>
    <definedName name="Main_truck_Rip_Tert">'Data Entry'!#REF!</definedName>
    <definedName name="Main_truck_Shoulder_Prim">'Maintenance &amp; Traffic Delay'!$K$39</definedName>
    <definedName name="Main_truck_Shoulder_Sec">'Data Entry'!#REF!</definedName>
    <definedName name="Main_truck_Shoulder_Tert">'Data Entry'!#REF!</definedName>
    <definedName name="Main_truck_Surface_Prim">'Maintenance &amp; Traffic Delay'!$K$37</definedName>
    <definedName name="Main_truck_Surface_Sec">'Data Entry'!#REF!</definedName>
    <definedName name="Main_truck_Surface_Tert">'Data Entry'!#REF!</definedName>
    <definedName name="Max_thickness">'Data Entry'!$D$54</definedName>
    <definedName name="Min_thickness">'Data Entry'!$C$54</definedName>
    <definedName name="P_Length">'Data Entry'!$C$31</definedName>
    <definedName name="P_Width">'Data Entry'!$C$30</definedName>
    <definedName name="Per_Heavy">'Data Entry'!$C$25</definedName>
    <definedName name="Prim_EoL">'Data Entry'!$C$163:$E$169</definedName>
    <definedName name="Prim_Lays">'Data Entry'!$C$44</definedName>
    <definedName name="Prim_Life">'Data Entry'!$C$39</definedName>
    <definedName name="Project_Area">'Data Entry'!$C$32</definedName>
    <definedName name="PVI_fuel_energy_density">Table8[Energy conversion factor (MJ/kg)]</definedName>
    <definedName name="PVI_vehicle_EFC">Table8[Annual excess energy required due to pavement deflection, for each vehicle type across the project accounting for operating efficiciencies (MJ/year)]</definedName>
    <definedName name="Rate_eff_change">'Data Entry'!$C$27</definedName>
    <definedName name="RCC_switch_Prim">'Data Entry'!$C$196</definedName>
    <definedName name="RCC_switch_Sec">'Data Entry'!$D$196</definedName>
    <definedName name="RCC_switch_Tert">'Data Entry'!$E$196</definedName>
    <definedName name="Recyc_mat_energy_input">'Data Entry'!$C$91:$F$96</definedName>
    <definedName name="Results">'Data Entry'!$F$40</definedName>
    <definedName name="Results_timespan">IF('Impact Analysis'!$C$14="Indefinite",1,'Impact Analysis'!$C$14)</definedName>
    <definedName name="Roughness_switch">'Impact Analysis'!$C$15</definedName>
    <definedName name="Sec_EoL">'Data Entry'!$C$173:$E$179</definedName>
    <definedName name="Sec_Lays">'Data Entry'!$D$44</definedName>
    <definedName name="Sec_Life">'Data Entry'!$C$40</definedName>
    <definedName name="Sec_Maintenance">'Data Entry'!$B$140:$K$141</definedName>
    <definedName name="speed_limit">'Data Entry'!$C$24</definedName>
    <definedName name="Steel_supplier">'Data Entry'!$C$98</definedName>
    <definedName name="Subgrade_stiffness_Prim">'Data Entry'!$C$154</definedName>
    <definedName name="Subgrade_stiffness_Sec">'Data Entry'!$D$154</definedName>
    <definedName name="Subgrade_stiffness_Tert">'Data Entry'!$E$154</definedName>
    <definedName name="Surface_thickness_Prim">'Data Entry'!$C$153</definedName>
    <definedName name="Surface_thickness_Sec">'Data Entry'!$D$153</definedName>
    <definedName name="Surface_thickness_Tert">'Data Entry'!$E$153</definedName>
    <definedName name="Tert_EoL">'Data Entry'!$C$183:$E$189</definedName>
    <definedName name="Tert_Lays">'Data Entry'!$E$44</definedName>
    <definedName name="Tert_life">'Data Entry'!$C$41</definedName>
    <definedName name="Tert_life_Life">'Data Entry'!$C$41</definedName>
    <definedName name="test">Materials!$CF$116:$CG$116</definedName>
    <definedName name="test1">Materials!#REF!</definedName>
    <definedName name="test2">Materials!#REF!</definedName>
    <definedName name="Time_adj_Prim">IF(Results_timespan=1,1/Prim_Life,1)</definedName>
    <definedName name="time_adj_Sec">IF(Results_timespan=1,1/Sec_Life,1)</definedName>
    <definedName name="Time_adj_Tert">IF(Results_timespan=1,1/Tert_life,1)</definedName>
    <definedName name="Timeline_elec_projec">'Electricity projections'!$D$24:$CZ$24</definedName>
    <definedName name="Timespan">YEAR(TODAY())+MAX('Data Entry'!$C$39:$D$39)</definedName>
    <definedName name="Traffic_flow">'Data Entry'!$C$23</definedName>
    <definedName name="Traffic_growth_rate">'Data Entry'!$C$26</definedName>
    <definedName name="Wearing_Composition">'Data Entry'!$D$64:$J$72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6" i="2" l="1"/>
  <c r="D146" i="2"/>
  <c r="E146" i="2"/>
  <c r="F145" i="2" a="1"/>
  <c r="F145" i="2" s="1"/>
  <c r="E52" i="5"/>
  <c r="F52" i="5"/>
  <c r="G52" i="5"/>
  <c r="D52" i="5"/>
  <c r="G50" i="5"/>
  <c r="F50" i="5"/>
  <c r="E50" i="5"/>
  <c r="D50" i="5"/>
  <c r="E48" i="5"/>
  <c r="F48" i="5"/>
  <c r="G48" i="5"/>
  <c r="D48" i="5"/>
  <c r="C192" i="2"/>
  <c r="D27" i="5"/>
  <c r="C91" i="2"/>
  <c r="F152" i="2" a="1"/>
  <c r="F152" i="2" s="1"/>
  <c r="W111" i="1"/>
  <c r="W112" i="1"/>
  <c r="X111" i="1"/>
  <c r="X112" i="1"/>
  <c r="AR111" i="1"/>
  <c r="AR112" i="1"/>
  <c r="BG111" i="1"/>
  <c r="BG112" i="1"/>
  <c r="L3" i="14"/>
  <c r="L4" i="14"/>
  <c r="L5" i="14"/>
  <c r="L6" i="14"/>
  <c r="L7" i="14"/>
  <c r="L8" i="14"/>
  <c r="L9" i="14"/>
  <c r="L10" i="14"/>
  <c r="L2" i="14"/>
  <c r="K3" i="14"/>
  <c r="K4" i="14"/>
  <c r="K5" i="14"/>
  <c r="K6" i="14"/>
  <c r="K7" i="14"/>
  <c r="K8" i="14"/>
  <c r="K9" i="14"/>
  <c r="K10" i="14"/>
  <c r="K2" i="14"/>
  <c r="J3" i="14"/>
  <c r="J4" i="14"/>
  <c r="J5" i="14"/>
  <c r="J6" i="14"/>
  <c r="J7" i="14"/>
  <c r="J8" i="14"/>
  <c r="J9" i="14"/>
  <c r="J10" i="14"/>
  <c r="J2" i="14"/>
  <c r="B2" i="14" a="1"/>
  <c r="B2" i="14" s="1"/>
  <c r="AG16" i="14" l="1" a="1"/>
  <c r="AG16" i="14" s="1"/>
  <c r="AF16" i="14" a="1"/>
  <c r="AF16" i="14" s="1"/>
  <c r="AH16" i="14" a="1"/>
  <c r="AH16" i="14" s="1"/>
  <c r="AH15" i="14" a="1"/>
  <c r="AH15" i="14" s="1"/>
  <c r="AF15" i="14" a="1"/>
  <c r="AF15" i="14" s="1"/>
  <c r="AG15" i="14" a="1"/>
  <c r="AG15" i="14" s="1"/>
  <c r="AH17" i="14" a="1"/>
  <c r="AH17" i="14" s="1"/>
  <c r="AH18" i="14" a="1"/>
  <c r="AH18" i="14" s="1"/>
  <c r="AH19" i="14" a="1"/>
  <c r="AH19" i="14" s="1"/>
  <c r="AH20" i="14" a="1"/>
  <c r="AH20" i="14" s="1"/>
  <c r="AH21" i="14" a="1"/>
  <c r="AH21" i="14" s="1"/>
  <c r="AH22" i="14" a="1"/>
  <c r="AH22" i="14" s="1"/>
  <c r="AH23" i="14" a="1"/>
  <c r="AH23" i="14" s="1"/>
  <c r="AH24" i="14" a="1"/>
  <c r="AH24" i="14" s="1"/>
  <c r="AH25" i="14" a="1"/>
  <c r="AH25" i="14" s="1"/>
  <c r="AH26" i="14" a="1"/>
  <c r="AH26" i="14" s="1"/>
  <c r="AH27" i="14" a="1"/>
  <c r="AH27" i="14" s="1"/>
  <c r="AH28" i="14" a="1"/>
  <c r="AH28" i="14" s="1"/>
  <c r="AH29" i="14" a="1"/>
  <c r="AH29" i="14" s="1"/>
  <c r="AH30" i="14" a="1"/>
  <c r="AH30" i="14" s="1"/>
  <c r="AH31" i="14" a="1"/>
  <c r="AH31" i="14" s="1"/>
  <c r="AH32" i="14" a="1"/>
  <c r="AH32" i="14" s="1"/>
  <c r="AH33" i="14" a="1"/>
  <c r="AH33" i="14" s="1"/>
  <c r="AH34" i="14" a="1"/>
  <c r="AH34" i="14" s="1"/>
  <c r="AH35" i="14" a="1"/>
  <c r="AH35" i="14" s="1"/>
  <c r="AH36" i="14" a="1"/>
  <c r="AH36" i="14" s="1"/>
  <c r="AH37" i="14" a="1"/>
  <c r="AH37" i="14" s="1"/>
  <c r="AH38" i="14" a="1"/>
  <c r="AH38" i="14" s="1"/>
  <c r="AH39" i="14" a="1"/>
  <c r="AH39" i="14" s="1"/>
  <c r="AH40" i="14" a="1"/>
  <c r="AH40" i="14" s="1"/>
  <c r="AH41" i="14" a="1"/>
  <c r="AH41" i="14" s="1"/>
  <c r="AH42" i="14" a="1"/>
  <c r="AH42" i="14" s="1"/>
  <c r="AH43" i="14" a="1"/>
  <c r="AH43" i="14" s="1"/>
  <c r="AH44" i="14" a="1"/>
  <c r="AH44" i="14" s="1"/>
  <c r="AH45" i="14" a="1"/>
  <c r="AH45" i="14" s="1"/>
  <c r="AH46" i="14" a="1"/>
  <c r="AH46" i="14" s="1"/>
  <c r="AH47" i="14" a="1"/>
  <c r="AH47" i="14" s="1"/>
  <c r="AH48" i="14" a="1"/>
  <c r="AH48" i="14" s="1"/>
  <c r="AH49" i="14" a="1"/>
  <c r="AH49" i="14" s="1"/>
  <c r="AH50" i="14" a="1"/>
  <c r="AH50" i="14" s="1"/>
  <c r="AH51" i="14" a="1"/>
  <c r="AH51" i="14" s="1"/>
  <c r="AH52" i="14" a="1"/>
  <c r="AH52" i="14" s="1"/>
  <c r="AH53" i="14" a="1"/>
  <c r="AH53" i="14" s="1"/>
  <c r="AH54" i="14" a="1"/>
  <c r="AH54" i="14" s="1"/>
  <c r="AH55" i="14" a="1"/>
  <c r="AH55" i="14" s="1"/>
  <c r="AH56" i="14" a="1"/>
  <c r="AH56" i="14" s="1"/>
  <c r="AH57" i="14" a="1"/>
  <c r="AH57" i="14" s="1"/>
  <c r="AH58" i="14" a="1"/>
  <c r="AH58" i="14" s="1"/>
  <c r="AH59" i="14" a="1"/>
  <c r="AH59" i="14" s="1"/>
  <c r="AH60" i="14" a="1"/>
  <c r="AH60" i="14" s="1"/>
  <c r="AH61" i="14" a="1"/>
  <c r="AH61" i="14" s="1"/>
  <c r="AH62" i="14" a="1"/>
  <c r="AH62" i="14" s="1"/>
  <c r="AH63" i="14" a="1"/>
  <c r="AH63" i="14" s="1"/>
  <c r="AH64" i="14" a="1"/>
  <c r="AH64" i="14" s="1"/>
  <c r="AH65" i="14" a="1"/>
  <c r="AH65" i="14" s="1"/>
  <c r="AH66" i="14" a="1"/>
  <c r="AH66" i="14" s="1"/>
  <c r="AH67" i="14" a="1"/>
  <c r="AH67" i="14" s="1"/>
  <c r="AH68" i="14" a="1"/>
  <c r="AH68" i="14" s="1"/>
  <c r="AH69" i="14" a="1"/>
  <c r="AH69" i="14" s="1"/>
  <c r="AH70" i="14" a="1"/>
  <c r="AH70" i="14" s="1"/>
  <c r="AH71" i="14" a="1"/>
  <c r="AH71" i="14" s="1"/>
  <c r="AH72" i="14" a="1"/>
  <c r="AH72" i="14" s="1"/>
  <c r="AH73" i="14" a="1"/>
  <c r="AH73" i="14" s="1"/>
  <c r="AH74" i="14" a="1"/>
  <c r="AH74" i="14" s="1"/>
  <c r="AH75" i="14" a="1"/>
  <c r="AH75" i="14" s="1"/>
  <c r="AH76" i="14" a="1"/>
  <c r="AH76" i="14" s="1"/>
  <c r="AH77" i="14" a="1"/>
  <c r="AH77" i="14" s="1"/>
  <c r="AH78" i="14" a="1"/>
  <c r="AH78" i="14" s="1"/>
  <c r="AH79" i="14" a="1"/>
  <c r="AH79" i="14" s="1"/>
  <c r="AH80" i="14" a="1"/>
  <c r="AH80" i="14" s="1"/>
  <c r="AH81" i="14" a="1"/>
  <c r="AH81" i="14" s="1"/>
  <c r="AH82" i="14" a="1"/>
  <c r="AH82" i="14" s="1"/>
  <c r="AH83" i="14" a="1"/>
  <c r="AH83" i="14" s="1"/>
  <c r="AH84" i="14" a="1"/>
  <c r="AH84" i="14" s="1"/>
  <c r="AH85" i="14" a="1"/>
  <c r="AH85" i="14" s="1"/>
  <c r="AH86" i="14" a="1"/>
  <c r="AH86" i="14" s="1"/>
  <c r="AH87" i="14" a="1"/>
  <c r="AH87" i="14" s="1"/>
  <c r="AH88" i="14" a="1"/>
  <c r="AH88" i="14" s="1"/>
  <c r="AH89" i="14" a="1"/>
  <c r="AH89" i="14" s="1"/>
  <c r="AH90" i="14" a="1"/>
  <c r="AH90" i="14" s="1"/>
  <c r="AH91" i="14" a="1"/>
  <c r="AH91" i="14" s="1"/>
  <c r="AH92" i="14" a="1"/>
  <c r="AH92" i="14" s="1"/>
  <c r="AH93" i="14" a="1"/>
  <c r="AH93" i="14" s="1"/>
  <c r="AH94" i="14" a="1"/>
  <c r="AH94" i="14" s="1"/>
  <c r="AH95" i="14" a="1"/>
  <c r="AH95" i="14" s="1"/>
  <c r="AH96" i="14" a="1"/>
  <c r="AH96" i="14" s="1"/>
  <c r="AH97" i="14" a="1"/>
  <c r="AH97" i="14" s="1"/>
  <c r="AH98" i="14" a="1"/>
  <c r="AH98" i="14" s="1"/>
  <c r="AH99" i="14" a="1"/>
  <c r="AH99" i="14" s="1"/>
  <c r="AH100" i="14" a="1"/>
  <c r="AH100" i="14" s="1"/>
  <c r="AH101" i="14" a="1"/>
  <c r="AH101" i="14" s="1"/>
  <c r="AH102" i="14" a="1"/>
  <c r="AH102" i="14" s="1"/>
  <c r="AH103" i="14" a="1"/>
  <c r="AH103" i="14" s="1"/>
  <c r="AH104" i="14" a="1"/>
  <c r="AH104" i="14" s="1"/>
  <c r="AH105" i="14" a="1"/>
  <c r="AH105" i="14" s="1"/>
  <c r="AH106" i="14" a="1"/>
  <c r="AH106" i="14" s="1"/>
  <c r="AH107" i="14" a="1"/>
  <c r="AH107" i="14" s="1"/>
  <c r="AH108" i="14" a="1"/>
  <c r="AH108" i="14" s="1"/>
  <c r="AH109" i="14" a="1"/>
  <c r="AH109" i="14" s="1"/>
  <c r="AH110" i="14" a="1"/>
  <c r="AH110" i="14" s="1"/>
  <c r="AH111" i="14" a="1"/>
  <c r="AH111" i="14" s="1"/>
  <c r="AH112" i="14" a="1"/>
  <c r="AH112" i="14" s="1"/>
  <c r="AH113" i="14" a="1"/>
  <c r="AH113" i="14" s="1"/>
  <c r="AH114" i="14" a="1"/>
  <c r="AH114" i="14" s="1"/>
  <c r="AH115" i="14" a="1"/>
  <c r="AH115" i="14" s="1"/>
  <c r="AH116" i="14" a="1"/>
  <c r="AH116" i="14" s="1"/>
  <c r="AH117" i="14" a="1"/>
  <c r="AH117" i="14" s="1"/>
  <c r="AH118" i="14" a="1"/>
  <c r="AH118" i="14" s="1"/>
  <c r="AH119" i="14" a="1"/>
  <c r="AH119" i="14" s="1"/>
  <c r="AG17" i="14" a="1"/>
  <c r="AG17" i="14" s="1"/>
  <c r="AG18" i="14" a="1"/>
  <c r="AG18" i="14" s="1"/>
  <c r="AG19" i="14" a="1"/>
  <c r="AG19" i="14" s="1"/>
  <c r="AG20" i="14" a="1"/>
  <c r="AG20" i="14" s="1"/>
  <c r="AG21" i="14" a="1"/>
  <c r="AG21" i="14" s="1"/>
  <c r="AG22" i="14" a="1"/>
  <c r="AG22" i="14" s="1"/>
  <c r="AG23" i="14" a="1"/>
  <c r="AG23" i="14" s="1"/>
  <c r="AG24" i="14" a="1"/>
  <c r="AG24" i="14" s="1"/>
  <c r="AG25" i="14" a="1"/>
  <c r="AG25" i="14" s="1"/>
  <c r="AG26" i="14" a="1"/>
  <c r="AG26" i="14" s="1"/>
  <c r="AG27" i="14" a="1"/>
  <c r="AG27" i="14" s="1"/>
  <c r="AG28" i="14" a="1"/>
  <c r="AG28" i="14" s="1"/>
  <c r="AG29" i="14" a="1"/>
  <c r="AG29" i="14" s="1"/>
  <c r="AG30" i="14" a="1"/>
  <c r="AG30" i="14" s="1"/>
  <c r="AG31" i="14" a="1"/>
  <c r="AG31" i="14" s="1"/>
  <c r="AG32" i="14" a="1"/>
  <c r="AG32" i="14" s="1"/>
  <c r="AG33" i="14" a="1"/>
  <c r="AG33" i="14" s="1"/>
  <c r="AG34" i="14" a="1"/>
  <c r="AG34" i="14" s="1"/>
  <c r="AG35" i="14" a="1"/>
  <c r="AG35" i="14" s="1"/>
  <c r="AG36" i="14" a="1"/>
  <c r="AG36" i="14" s="1"/>
  <c r="AG37" i="14" a="1"/>
  <c r="AG37" i="14" s="1"/>
  <c r="AG38" i="14" a="1"/>
  <c r="AG38" i="14" s="1"/>
  <c r="AG39" i="14" a="1"/>
  <c r="AG39" i="14" s="1"/>
  <c r="AG40" i="14" a="1"/>
  <c r="AG40" i="14" s="1"/>
  <c r="AG41" i="14" a="1"/>
  <c r="AG41" i="14" s="1"/>
  <c r="AG42" i="14" a="1"/>
  <c r="AG42" i="14" s="1"/>
  <c r="AG43" i="14" a="1"/>
  <c r="AG43" i="14" s="1"/>
  <c r="AG44" i="14" a="1"/>
  <c r="AG44" i="14" s="1"/>
  <c r="AG45" i="14" a="1"/>
  <c r="AG45" i="14" s="1"/>
  <c r="AG46" i="14" a="1"/>
  <c r="AG46" i="14" s="1"/>
  <c r="AG47" i="14" a="1"/>
  <c r="AG47" i="14" s="1"/>
  <c r="AG48" i="14" a="1"/>
  <c r="AG48" i="14" s="1"/>
  <c r="AG49" i="14" a="1"/>
  <c r="AG49" i="14" s="1"/>
  <c r="AG50" i="14" a="1"/>
  <c r="AG50" i="14" s="1"/>
  <c r="AG51" i="14" a="1"/>
  <c r="AG51" i="14" s="1"/>
  <c r="AG52" i="14" a="1"/>
  <c r="AG52" i="14" s="1"/>
  <c r="AG53" i="14" a="1"/>
  <c r="AG53" i="14" s="1"/>
  <c r="AG54" i="14" a="1"/>
  <c r="AG54" i="14" s="1"/>
  <c r="AG55" i="14" a="1"/>
  <c r="AG55" i="14" s="1"/>
  <c r="AG56" i="14" a="1"/>
  <c r="AG56" i="14" s="1"/>
  <c r="AG57" i="14" a="1"/>
  <c r="AG57" i="14" s="1"/>
  <c r="AG58" i="14" a="1"/>
  <c r="AG58" i="14" s="1"/>
  <c r="AG59" i="14" a="1"/>
  <c r="AG59" i="14" s="1"/>
  <c r="AG60" i="14" a="1"/>
  <c r="AG60" i="14" s="1"/>
  <c r="AG61" i="14" a="1"/>
  <c r="AG61" i="14" s="1"/>
  <c r="AG62" i="14" a="1"/>
  <c r="AG62" i="14" s="1"/>
  <c r="AG63" i="14" a="1"/>
  <c r="AG63" i="14" s="1"/>
  <c r="AG64" i="14" a="1"/>
  <c r="AG64" i="14" s="1"/>
  <c r="AG65" i="14" a="1"/>
  <c r="AG65" i="14" s="1"/>
  <c r="AG66" i="14" a="1"/>
  <c r="AG66" i="14" s="1"/>
  <c r="AG67" i="14" a="1"/>
  <c r="AG67" i="14" s="1"/>
  <c r="AG68" i="14" a="1"/>
  <c r="AG68" i="14" s="1"/>
  <c r="AG69" i="14" a="1"/>
  <c r="AG69" i="14" s="1"/>
  <c r="AG70" i="14" a="1"/>
  <c r="AG70" i="14" s="1"/>
  <c r="AG71" i="14" a="1"/>
  <c r="AG71" i="14" s="1"/>
  <c r="AG72" i="14" a="1"/>
  <c r="AG72" i="14" s="1"/>
  <c r="AG73" i="14" a="1"/>
  <c r="AG73" i="14" s="1"/>
  <c r="AG74" i="14" a="1"/>
  <c r="AG74" i="14" s="1"/>
  <c r="AG75" i="14" a="1"/>
  <c r="AG75" i="14" s="1"/>
  <c r="AG76" i="14" a="1"/>
  <c r="AG76" i="14" s="1"/>
  <c r="AG77" i="14" a="1"/>
  <c r="AG77" i="14" s="1"/>
  <c r="AG78" i="14" a="1"/>
  <c r="AG78" i="14" s="1"/>
  <c r="AG79" i="14" a="1"/>
  <c r="AG79" i="14" s="1"/>
  <c r="AG80" i="14" a="1"/>
  <c r="AG80" i="14" s="1"/>
  <c r="AG81" i="14" a="1"/>
  <c r="AG81" i="14" s="1"/>
  <c r="AG82" i="14" a="1"/>
  <c r="AG82" i="14" s="1"/>
  <c r="AG83" i="14" a="1"/>
  <c r="AG83" i="14" s="1"/>
  <c r="AG84" i="14" a="1"/>
  <c r="AG84" i="14" s="1"/>
  <c r="AG85" i="14" a="1"/>
  <c r="AG85" i="14" s="1"/>
  <c r="AG86" i="14" a="1"/>
  <c r="AG86" i="14" s="1"/>
  <c r="AG87" i="14" a="1"/>
  <c r="AG87" i="14" s="1"/>
  <c r="AG88" i="14" a="1"/>
  <c r="AG88" i="14" s="1"/>
  <c r="AG89" i="14" a="1"/>
  <c r="AG89" i="14" s="1"/>
  <c r="AG90" i="14" a="1"/>
  <c r="AG90" i="14" s="1"/>
  <c r="AG91" i="14" a="1"/>
  <c r="AG91" i="14" s="1"/>
  <c r="AG92" i="14" a="1"/>
  <c r="AG92" i="14" s="1"/>
  <c r="AG93" i="14" a="1"/>
  <c r="AG93" i="14" s="1"/>
  <c r="AG94" i="14" a="1"/>
  <c r="AG94" i="14" s="1"/>
  <c r="AG95" i="14" a="1"/>
  <c r="AG95" i="14" s="1"/>
  <c r="AG96" i="14" a="1"/>
  <c r="AG96" i="14" s="1"/>
  <c r="AG97" i="14" a="1"/>
  <c r="AG97" i="14" s="1"/>
  <c r="AG98" i="14" a="1"/>
  <c r="AG98" i="14" s="1"/>
  <c r="AG99" i="14" a="1"/>
  <c r="AG99" i="14" s="1"/>
  <c r="AG100" i="14" a="1"/>
  <c r="AG100" i="14" s="1"/>
  <c r="AG101" i="14" a="1"/>
  <c r="AG101" i="14" s="1"/>
  <c r="AG102" i="14" a="1"/>
  <c r="AG102" i="14" s="1"/>
  <c r="AG103" i="14" a="1"/>
  <c r="AG103" i="14" s="1"/>
  <c r="AG104" i="14" a="1"/>
  <c r="AG104" i="14" s="1"/>
  <c r="AG105" i="14" a="1"/>
  <c r="AG105" i="14" s="1"/>
  <c r="AG106" i="14" a="1"/>
  <c r="AG106" i="14" s="1"/>
  <c r="AG107" i="14" a="1"/>
  <c r="AG107" i="14" s="1"/>
  <c r="AG108" i="14" a="1"/>
  <c r="AG108" i="14" s="1"/>
  <c r="AG109" i="14" a="1"/>
  <c r="AG109" i="14" s="1"/>
  <c r="AG110" i="14" a="1"/>
  <c r="AG110" i="14" s="1"/>
  <c r="AG111" i="14" a="1"/>
  <c r="AG111" i="14" s="1"/>
  <c r="AG112" i="14" a="1"/>
  <c r="AG112" i="14" s="1"/>
  <c r="AG113" i="14" a="1"/>
  <c r="AG113" i="14" s="1"/>
  <c r="AG114" i="14" a="1"/>
  <c r="AG114" i="14" s="1"/>
  <c r="AG115" i="14" a="1"/>
  <c r="AG115" i="14" s="1"/>
  <c r="AG116" i="14" a="1"/>
  <c r="AG116" i="14" s="1"/>
  <c r="AG117" i="14" a="1"/>
  <c r="AG117" i="14" s="1"/>
  <c r="AG118" i="14" a="1"/>
  <c r="AG118" i="14" s="1"/>
  <c r="AG119" i="14" a="1"/>
  <c r="AG119" i="14" s="1"/>
  <c r="AF17" i="14" a="1"/>
  <c r="AF17" i="14" s="1"/>
  <c r="AF18" i="14" a="1"/>
  <c r="AF18" i="14" s="1"/>
  <c r="AF19" i="14" a="1"/>
  <c r="AF19" i="14" s="1"/>
  <c r="AF20" i="14" a="1"/>
  <c r="AF20" i="14" s="1"/>
  <c r="AF21" i="14" a="1"/>
  <c r="AF21" i="14" s="1"/>
  <c r="AF22" i="14" a="1"/>
  <c r="AF22" i="14" s="1"/>
  <c r="AF23" i="14" a="1"/>
  <c r="AF23" i="14" s="1"/>
  <c r="AF24" i="14" a="1"/>
  <c r="AF24" i="14" s="1"/>
  <c r="AF25" i="14" a="1"/>
  <c r="AF25" i="14" s="1"/>
  <c r="AF26" i="14" a="1"/>
  <c r="AF26" i="14" s="1"/>
  <c r="AF27" i="14" a="1"/>
  <c r="AF27" i="14" s="1"/>
  <c r="AF28" i="14" a="1"/>
  <c r="AF28" i="14" s="1"/>
  <c r="AF29" i="14" a="1"/>
  <c r="AF29" i="14" s="1"/>
  <c r="AF30" i="14" a="1"/>
  <c r="AF30" i="14" s="1"/>
  <c r="AF31" i="14" a="1"/>
  <c r="AF31" i="14" s="1"/>
  <c r="AF32" i="14" a="1"/>
  <c r="AF32" i="14" s="1"/>
  <c r="AF33" i="14" a="1"/>
  <c r="AF33" i="14" s="1"/>
  <c r="AF34" i="14" a="1"/>
  <c r="AF34" i="14" s="1"/>
  <c r="AF35" i="14" a="1"/>
  <c r="AF35" i="14" s="1"/>
  <c r="AF36" i="14" a="1"/>
  <c r="AF36" i="14" s="1"/>
  <c r="AF37" i="14" a="1"/>
  <c r="AF37" i="14" s="1"/>
  <c r="AF38" i="14" a="1"/>
  <c r="AF38" i="14" s="1"/>
  <c r="AF39" i="14" a="1"/>
  <c r="AF39" i="14" s="1"/>
  <c r="AF40" i="14" a="1"/>
  <c r="AF40" i="14" s="1"/>
  <c r="AF41" i="14" a="1"/>
  <c r="AF41" i="14" s="1"/>
  <c r="AF42" i="14" a="1"/>
  <c r="AF42" i="14" s="1"/>
  <c r="AF43" i="14" a="1"/>
  <c r="AF43" i="14" s="1"/>
  <c r="AF44" i="14" a="1"/>
  <c r="AF44" i="14" s="1"/>
  <c r="AF45" i="14" a="1"/>
  <c r="AF45" i="14" s="1"/>
  <c r="AF46" i="14" a="1"/>
  <c r="AF46" i="14" s="1"/>
  <c r="AF47" i="14" a="1"/>
  <c r="AF47" i="14" s="1"/>
  <c r="AF48" i="14" a="1"/>
  <c r="AF48" i="14" s="1"/>
  <c r="AF49" i="14" a="1"/>
  <c r="AF49" i="14" s="1"/>
  <c r="AF50" i="14" a="1"/>
  <c r="AF50" i="14" s="1"/>
  <c r="AF51" i="14" a="1"/>
  <c r="AF51" i="14" s="1"/>
  <c r="AF52" i="14" a="1"/>
  <c r="AF52" i="14" s="1"/>
  <c r="AF53" i="14" a="1"/>
  <c r="AF53" i="14" s="1"/>
  <c r="AF54" i="14" a="1"/>
  <c r="AF54" i="14" s="1"/>
  <c r="AF55" i="14" a="1"/>
  <c r="AF55" i="14" s="1"/>
  <c r="AF56" i="14" a="1"/>
  <c r="AF56" i="14" s="1"/>
  <c r="AF57" i="14" a="1"/>
  <c r="AF57" i="14" s="1"/>
  <c r="AF58" i="14" a="1"/>
  <c r="AF58" i="14" s="1"/>
  <c r="AF59" i="14" a="1"/>
  <c r="AF59" i="14" s="1"/>
  <c r="AF60" i="14" a="1"/>
  <c r="AF60" i="14" s="1"/>
  <c r="AF61" i="14" a="1"/>
  <c r="AF61" i="14" s="1"/>
  <c r="AF62" i="14" a="1"/>
  <c r="AF62" i="14" s="1"/>
  <c r="AF63" i="14" a="1"/>
  <c r="AF63" i="14" s="1"/>
  <c r="AF64" i="14" a="1"/>
  <c r="AF64" i="14" s="1"/>
  <c r="AF65" i="14" a="1"/>
  <c r="AF65" i="14" s="1"/>
  <c r="AF66" i="14" a="1"/>
  <c r="AF66" i="14" s="1"/>
  <c r="AF67" i="14" a="1"/>
  <c r="AF67" i="14" s="1"/>
  <c r="AF68" i="14" a="1"/>
  <c r="AF68" i="14" s="1"/>
  <c r="AF69" i="14" a="1"/>
  <c r="AF69" i="14" s="1"/>
  <c r="AF70" i="14" a="1"/>
  <c r="AF70" i="14" s="1"/>
  <c r="AF71" i="14" a="1"/>
  <c r="AF71" i="14" s="1"/>
  <c r="AF72" i="14" a="1"/>
  <c r="AF72" i="14" s="1"/>
  <c r="AF73" i="14" a="1"/>
  <c r="AF73" i="14" s="1"/>
  <c r="AF74" i="14" a="1"/>
  <c r="AF74" i="14" s="1"/>
  <c r="AF75" i="14" a="1"/>
  <c r="AF75" i="14" s="1"/>
  <c r="AF76" i="14" a="1"/>
  <c r="AF76" i="14" s="1"/>
  <c r="AF77" i="14" a="1"/>
  <c r="AF77" i="14" s="1"/>
  <c r="AF78" i="14" a="1"/>
  <c r="AF78" i="14" s="1"/>
  <c r="AF79" i="14" a="1"/>
  <c r="AF79" i="14" s="1"/>
  <c r="AF80" i="14" a="1"/>
  <c r="AF80" i="14" s="1"/>
  <c r="AF81" i="14" a="1"/>
  <c r="AF81" i="14" s="1"/>
  <c r="AF82" i="14" a="1"/>
  <c r="AF82" i="14" s="1"/>
  <c r="AF83" i="14" a="1"/>
  <c r="AF83" i="14" s="1"/>
  <c r="AF84" i="14" a="1"/>
  <c r="AF84" i="14" s="1"/>
  <c r="AF85" i="14" a="1"/>
  <c r="AF85" i="14" s="1"/>
  <c r="AF86" i="14" a="1"/>
  <c r="AF86" i="14" s="1"/>
  <c r="AF87" i="14" a="1"/>
  <c r="AF87" i="14" s="1"/>
  <c r="AF88" i="14" a="1"/>
  <c r="AF88" i="14" s="1"/>
  <c r="AF89" i="14" a="1"/>
  <c r="AF89" i="14" s="1"/>
  <c r="AF90" i="14" a="1"/>
  <c r="AF90" i="14" s="1"/>
  <c r="AF91" i="14" a="1"/>
  <c r="AF91" i="14" s="1"/>
  <c r="AF92" i="14" a="1"/>
  <c r="AF92" i="14" s="1"/>
  <c r="AF93" i="14" a="1"/>
  <c r="AF93" i="14" s="1"/>
  <c r="AF94" i="14" a="1"/>
  <c r="AF94" i="14" s="1"/>
  <c r="AF95" i="14" a="1"/>
  <c r="AF95" i="14" s="1"/>
  <c r="AF96" i="14" a="1"/>
  <c r="AF96" i="14" s="1"/>
  <c r="AF97" i="14" a="1"/>
  <c r="AF97" i="14" s="1"/>
  <c r="AF98" i="14" a="1"/>
  <c r="AF98" i="14" s="1"/>
  <c r="AF99" i="14" a="1"/>
  <c r="AF99" i="14" s="1"/>
  <c r="AF100" i="14" a="1"/>
  <c r="AF100" i="14" s="1"/>
  <c r="AF101" i="14" a="1"/>
  <c r="AF101" i="14" s="1"/>
  <c r="AF102" i="14" a="1"/>
  <c r="AF102" i="14" s="1"/>
  <c r="AF103" i="14" a="1"/>
  <c r="AF103" i="14" s="1"/>
  <c r="AF104" i="14" a="1"/>
  <c r="AF104" i="14" s="1"/>
  <c r="AF105" i="14" a="1"/>
  <c r="AF105" i="14" s="1"/>
  <c r="AF106" i="14" a="1"/>
  <c r="AF106" i="14" s="1"/>
  <c r="AF107" i="14" a="1"/>
  <c r="AF107" i="14" s="1"/>
  <c r="AF108" i="14" a="1"/>
  <c r="AF108" i="14" s="1"/>
  <c r="AF109" i="14" a="1"/>
  <c r="AF109" i="14" s="1"/>
  <c r="AF110" i="14" a="1"/>
  <c r="AF110" i="14" s="1"/>
  <c r="AF111" i="14" a="1"/>
  <c r="AF111" i="14" s="1"/>
  <c r="AF112" i="14" a="1"/>
  <c r="AF112" i="14" s="1"/>
  <c r="AF113" i="14" a="1"/>
  <c r="AF113" i="14" s="1"/>
  <c r="AF114" i="14" a="1"/>
  <c r="AF114" i="14" s="1"/>
  <c r="AF115" i="14" a="1"/>
  <c r="AF115" i="14" s="1"/>
  <c r="AF116" i="14" a="1"/>
  <c r="AF116" i="14" s="1"/>
  <c r="AF117" i="14" a="1"/>
  <c r="AF117" i="14" s="1"/>
  <c r="AF118" i="14" a="1"/>
  <c r="AF118" i="14" s="1"/>
  <c r="AF119" i="14" a="1"/>
  <c r="AF119" i="14" s="1"/>
  <c r="B15" i="14"/>
  <c r="Z111" i="1"/>
  <c r="Z112" i="1"/>
  <c r="Y111" i="1"/>
  <c r="Y112" i="1"/>
  <c r="V111" i="1"/>
  <c r="V112" i="1"/>
  <c r="AQ111" i="1"/>
  <c r="AQ112" i="1"/>
  <c r="AF2" i="1"/>
  <c r="J15" i="14" l="1" a="1"/>
  <c r="J15" i="14" s="1"/>
  <c r="J16" i="14" a="1"/>
  <c r="J16" i="14" s="1"/>
  <c r="C102" i="2"/>
  <c r="AA111" i="1" l="1"/>
  <c r="AA112" i="1"/>
  <c r="AI111" i="1"/>
  <c r="AI112"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2" i="1"/>
  <c r="H15" i="14"/>
  <c r="G15" i="14"/>
  <c r="F15" i="14"/>
  <c r="E15" i="14"/>
  <c r="D15" i="14"/>
  <c r="C15" i="14"/>
  <c r="D7" i="1"/>
  <c r="BP11" i="1"/>
  <c r="BN11" i="1"/>
  <c r="BY9" i="1"/>
  <c r="Q15" i="14" l="1"/>
  <c r="V2" i="1" s="1"/>
  <c r="S15" i="14"/>
  <c r="O15" i="14"/>
  <c r="AQ2" i="1" s="1"/>
  <c r="V15" i="14"/>
  <c r="W15" i="14"/>
  <c r="P15" i="14"/>
  <c r="AR2" i="1" s="1"/>
  <c r="U15" i="14"/>
  <c r="T15" i="14"/>
  <c r="X2" i="1" s="1"/>
  <c r="R15" i="14"/>
  <c r="W2" i="1" s="1"/>
  <c r="CD7" i="1"/>
  <c r="CE7" i="1" s="1"/>
  <c r="AR32" i="15"/>
  <c r="G121" i="2"/>
  <c r="G123" i="2"/>
  <c r="G125" i="2"/>
  <c r="G126" i="2"/>
  <c r="G111" i="2"/>
  <c r="G113" i="2"/>
  <c r="G115" i="2"/>
  <c r="G116" i="2"/>
  <c r="G130" i="2"/>
  <c r="G132" i="2"/>
  <c r="G133" i="2"/>
  <c r="G134" i="2"/>
  <c r="G135" i="2"/>
  <c r="G136" i="2"/>
  <c r="BC11" i="1" l="1"/>
  <c r="B108" i="2" l="1"/>
  <c r="D102" i="2"/>
  <c r="AM11" i="1" l="1"/>
  <c r="AM2" i="1"/>
  <c r="C45" i="2" l="1"/>
  <c r="C32" i="2" l="1"/>
  <c r="G120" i="2" s="1"/>
  <c r="G122" i="2" l="1"/>
  <c r="G114" i="2"/>
  <c r="G124" i="2"/>
  <c r="G131" i="2"/>
  <c r="G110" i="2"/>
  <c r="G112" i="2"/>
  <c r="AR29" i="15"/>
  <c r="AR27" i="15"/>
  <c r="D117" i="2" l="1"/>
  <c r="C40" i="2"/>
  <c r="D44" i="2" s="1" a="1"/>
  <c r="D44" i="2" s="1"/>
  <c r="AD8" i="1" l="1"/>
  <c r="AD9" i="1"/>
  <c r="AD10"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7" i="1"/>
  <c r="CV113" i="9"/>
  <c r="CV114" i="9"/>
  <c r="AY113" i="9"/>
  <c r="AY114" i="9"/>
  <c r="D112" i="1"/>
  <c r="D111" i="1"/>
  <c r="C114" i="9"/>
  <c r="C113" i="9"/>
  <c r="H45" i="5"/>
  <c r="H51" i="5"/>
  <c r="H49" i="5"/>
  <c r="H47" i="5"/>
  <c r="D92" i="2" l="1"/>
  <c r="C92" i="2"/>
  <c r="D91" i="2"/>
  <c r="CD8" i="1"/>
  <c r="CE8" i="1" s="1"/>
  <c r="CD9" i="1"/>
  <c r="CE9" i="1" s="1"/>
  <c r="CD10" i="1"/>
  <c r="CE10" i="1" s="1"/>
  <c r="CD11" i="1"/>
  <c r="CE11" i="1" s="1"/>
  <c r="CD12" i="1"/>
  <c r="CE12" i="1" s="1"/>
  <c r="CD13" i="1"/>
  <c r="CE13" i="1" s="1"/>
  <c r="CD14" i="1"/>
  <c r="CE14" i="1" s="1"/>
  <c r="CD15" i="1"/>
  <c r="CE15" i="1" s="1"/>
  <c r="CD16" i="1"/>
  <c r="CE16" i="1" s="1"/>
  <c r="CD17" i="1"/>
  <c r="CE17" i="1" s="1"/>
  <c r="CD18" i="1"/>
  <c r="CE18" i="1" s="1"/>
  <c r="CD19" i="1"/>
  <c r="CE19" i="1" s="1"/>
  <c r="CD20" i="1"/>
  <c r="CE20" i="1" s="1"/>
  <c r="CD21" i="1"/>
  <c r="CE21" i="1" s="1"/>
  <c r="CD22" i="1"/>
  <c r="CE22" i="1" s="1"/>
  <c r="CD23" i="1"/>
  <c r="CE23" i="1" s="1"/>
  <c r="CD24" i="1"/>
  <c r="CE24" i="1" s="1"/>
  <c r="CD25" i="1"/>
  <c r="CE25" i="1" s="1"/>
  <c r="CD26" i="1"/>
  <c r="CE26" i="1" s="1"/>
  <c r="CD27" i="1"/>
  <c r="CE27" i="1" s="1"/>
  <c r="CD28" i="1"/>
  <c r="CE28" i="1" s="1"/>
  <c r="CD29" i="1"/>
  <c r="CE29" i="1" s="1"/>
  <c r="CD30" i="1"/>
  <c r="CE30" i="1" s="1"/>
  <c r="CD31" i="1"/>
  <c r="CE31" i="1" s="1"/>
  <c r="CD32" i="1"/>
  <c r="CE32" i="1" s="1"/>
  <c r="CD33" i="1"/>
  <c r="CE33" i="1" s="1"/>
  <c r="CD34" i="1"/>
  <c r="CE34" i="1" s="1"/>
  <c r="CD35" i="1"/>
  <c r="CE35" i="1" s="1"/>
  <c r="CD36" i="1"/>
  <c r="CE36" i="1" s="1"/>
  <c r="CD37" i="1"/>
  <c r="CE37" i="1" s="1"/>
  <c r="CD38" i="1"/>
  <c r="CE38" i="1" s="1"/>
  <c r="CD39" i="1"/>
  <c r="CE39" i="1" s="1"/>
  <c r="CD40" i="1"/>
  <c r="CE40" i="1" s="1"/>
  <c r="CD41" i="1"/>
  <c r="CE41" i="1" s="1"/>
  <c r="CD42" i="1"/>
  <c r="CE42" i="1" s="1"/>
  <c r="CD43" i="1"/>
  <c r="CE43" i="1" s="1"/>
  <c r="CD44" i="1"/>
  <c r="CE44" i="1" s="1"/>
  <c r="CD45" i="1"/>
  <c r="CE45" i="1" s="1"/>
  <c r="CD46" i="1"/>
  <c r="CE46" i="1" s="1"/>
  <c r="CD47" i="1"/>
  <c r="CE47" i="1" s="1"/>
  <c r="CD48" i="1"/>
  <c r="CE48" i="1" s="1"/>
  <c r="CD49" i="1"/>
  <c r="CE49" i="1" s="1"/>
  <c r="CD50" i="1"/>
  <c r="CE50" i="1" s="1"/>
  <c r="CD51" i="1"/>
  <c r="CE51" i="1" s="1"/>
  <c r="CD52" i="1"/>
  <c r="CE52" i="1" s="1"/>
  <c r="CD53" i="1"/>
  <c r="CE53" i="1" s="1"/>
  <c r="CD54" i="1"/>
  <c r="CE54" i="1" s="1"/>
  <c r="CD55" i="1"/>
  <c r="CE55" i="1" s="1"/>
  <c r="CD56" i="1"/>
  <c r="CE56" i="1" s="1"/>
  <c r="CD57" i="1"/>
  <c r="CE57" i="1" s="1"/>
  <c r="CD58" i="1"/>
  <c r="CE58" i="1" s="1"/>
  <c r="CD59" i="1"/>
  <c r="CE59" i="1" s="1"/>
  <c r="CD60" i="1"/>
  <c r="CE60" i="1" s="1"/>
  <c r="CD61" i="1"/>
  <c r="CE61" i="1" s="1"/>
  <c r="CD62" i="1"/>
  <c r="CE62" i="1" s="1"/>
  <c r="CD63" i="1"/>
  <c r="CE63" i="1" s="1"/>
  <c r="CD64" i="1"/>
  <c r="CE64" i="1" s="1"/>
  <c r="CD65" i="1"/>
  <c r="CE65" i="1" s="1"/>
  <c r="CD66" i="1"/>
  <c r="CE66" i="1" s="1"/>
  <c r="CD67" i="1"/>
  <c r="CE67" i="1" s="1"/>
  <c r="CD68" i="1"/>
  <c r="CE68" i="1" s="1"/>
  <c r="CD69" i="1"/>
  <c r="CE69" i="1" s="1"/>
  <c r="CD70" i="1"/>
  <c r="CE70" i="1" s="1"/>
  <c r="CD71" i="1"/>
  <c r="CE71" i="1" s="1"/>
  <c r="CD72" i="1"/>
  <c r="CE72" i="1" s="1"/>
  <c r="CD73" i="1"/>
  <c r="CE73" i="1" s="1"/>
  <c r="CD74" i="1"/>
  <c r="CE74" i="1" s="1"/>
  <c r="CD75" i="1"/>
  <c r="CE75" i="1" s="1"/>
  <c r="CD76" i="1"/>
  <c r="CE76" i="1" s="1"/>
  <c r="CD77" i="1"/>
  <c r="CE77" i="1" s="1"/>
  <c r="CD78" i="1"/>
  <c r="CE78" i="1" s="1"/>
  <c r="CD79" i="1"/>
  <c r="CE79" i="1" s="1"/>
  <c r="CD80" i="1"/>
  <c r="CE80" i="1" s="1"/>
  <c r="CD81" i="1"/>
  <c r="CE81" i="1" s="1"/>
  <c r="CD82" i="1"/>
  <c r="CE82" i="1" s="1"/>
  <c r="CD83" i="1"/>
  <c r="CE83" i="1" s="1"/>
  <c r="CD84" i="1"/>
  <c r="CE84" i="1" s="1"/>
  <c r="CD85" i="1"/>
  <c r="CE85" i="1" s="1"/>
  <c r="CD86" i="1"/>
  <c r="CE86" i="1" s="1"/>
  <c r="CD87" i="1"/>
  <c r="CE87" i="1" s="1"/>
  <c r="CD88" i="1"/>
  <c r="CE88" i="1" s="1"/>
  <c r="CD89" i="1"/>
  <c r="CE89" i="1" s="1"/>
  <c r="CD90" i="1"/>
  <c r="CE90" i="1" s="1"/>
  <c r="CD91" i="1"/>
  <c r="CE91" i="1" s="1"/>
  <c r="CD92" i="1"/>
  <c r="CE92" i="1" s="1"/>
  <c r="CD93" i="1"/>
  <c r="CE93" i="1" s="1"/>
  <c r="CD94" i="1"/>
  <c r="CE94" i="1" s="1"/>
  <c r="CD95" i="1"/>
  <c r="CE95" i="1" s="1"/>
  <c r="CD96" i="1"/>
  <c r="CE96" i="1" s="1"/>
  <c r="CD97" i="1"/>
  <c r="CE97" i="1" s="1"/>
  <c r="CD98" i="1"/>
  <c r="CE98" i="1" s="1"/>
  <c r="CD99" i="1"/>
  <c r="CE99" i="1" s="1"/>
  <c r="CD100" i="1"/>
  <c r="CE100" i="1" s="1"/>
  <c r="CD101" i="1"/>
  <c r="CE101" i="1" s="1"/>
  <c r="CD102" i="1"/>
  <c r="CE102" i="1" s="1"/>
  <c r="CD103" i="1"/>
  <c r="CE103" i="1" s="1"/>
  <c r="CD104" i="1"/>
  <c r="CE104" i="1" s="1"/>
  <c r="CD105" i="1"/>
  <c r="CE105" i="1" s="1"/>
  <c r="CD106" i="1"/>
  <c r="CE106" i="1" s="1"/>
  <c r="CD107" i="1"/>
  <c r="CE107" i="1" s="1"/>
  <c r="CD108" i="1"/>
  <c r="CE108" i="1" s="1"/>
  <c r="CD109" i="1"/>
  <c r="CE109" i="1" s="1"/>
  <c r="CD110" i="1"/>
  <c r="CE110" i="1" s="1"/>
  <c r="A21" i="7" a="1"/>
  <c r="A21" i="7" s="1"/>
  <c r="A18" i="7" a="1"/>
  <c r="A18" i="7" s="1"/>
  <c r="B9" i="16"/>
  <c r="C41" i="16"/>
  <c r="B41" i="16"/>
  <c r="AG94" i="5"/>
  <c r="C25" i="6"/>
  <c r="B66" i="16" l="1"/>
  <c r="C55" i="16"/>
  <c r="B55" i="16"/>
  <c r="C50" i="16"/>
  <c r="B50" i="16"/>
  <c r="B10" i="16"/>
  <c r="B51" i="16" s="1"/>
  <c r="C45" i="16"/>
  <c r="B45" i="16"/>
  <c r="C51" i="16" l="1"/>
  <c r="B32" i="16" l="1"/>
  <c r="B27" i="16"/>
  <c r="B21" i="16"/>
  <c r="B33" i="16" s="1"/>
  <c r="B20" i="16"/>
  <c r="B17" i="16"/>
  <c r="B11" i="16"/>
  <c r="B12" i="16"/>
  <c r="C56" i="16" l="1"/>
  <c r="B56" i="16"/>
  <c r="B46" i="16"/>
  <c r="C46" i="16"/>
  <c r="B34" i="16"/>
  <c r="B35" i="16"/>
  <c r="C42" i="16" s="1"/>
  <c r="B36" i="16"/>
  <c r="B18" i="16"/>
  <c r="AB4" i="16"/>
  <c r="AA4" i="16"/>
  <c r="Z4" i="16"/>
  <c r="Y4" i="16"/>
  <c r="X4" i="16"/>
  <c r="W4" i="16"/>
  <c r="V4" i="16"/>
  <c r="U4" i="16"/>
  <c r="T4" i="16"/>
  <c r="S4" i="16"/>
  <c r="R4" i="16"/>
  <c r="Q4" i="16"/>
  <c r="C43" i="16" l="1"/>
  <c r="C44" i="16" s="1"/>
  <c r="C57" i="16"/>
  <c r="C58" i="16" s="1"/>
  <c r="C59" i="16" s="1"/>
  <c r="C47" i="16"/>
  <c r="C48" i="16" s="1"/>
  <c r="C49" i="16" s="1"/>
  <c r="C52" i="16"/>
  <c r="C53" i="16" s="1"/>
  <c r="C54" i="16" s="1"/>
  <c r="B29" i="16"/>
  <c r="B30" i="16"/>
  <c r="B42" i="16" s="1"/>
  <c r="B43" i="16" s="1"/>
  <c r="B44" i="16" s="1"/>
  <c r="B31" i="16"/>
  <c r="B28" i="16"/>
  <c r="C87" i="16" l="1"/>
  <c r="C86" i="16"/>
  <c r="C88" i="16"/>
  <c r="B57" i="16"/>
  <c r="B52" i="16"/>
  <c r="B53" i="16" s="1"/>
  <c r="B54" i="16" s="1"/>
  <c r="B87" i="16" s="1"/>
  <c r="Z13" i="16"/>
  <c r="Q11" i="16"/>
  <c r="W6" i="16"/>
  <c r="R11" i="16"/>
  <c r="X18" i="16"/>
  <c r="AA8" i="16"/>
  <c r="Z5" i="16"/>
  <c r="AB19" i="16"/>
  <c r="R18" i="16"/>
  <c r="AA18" i="16"/>
  <c r="W10" i="16"/>
  <c r="Z12" i="16"/>
  <c r="V15" i="16"/>
  <c r="T6" i="16"/>
  <c r="X7" i="16"/>
  <c r="X11" i="16"/>
  <c r="R9" i="16"/>
  <c r="U8" i="16"/>
  <c r="AA13" i="16"/>
  <c r="Y17" i="16"/>
  <c r="AB12" i="16"/>
  <c r="Z16" i="16"/>
  <c r="Y5" i="16"/>
  <c r="Z14" i="16"/>
  <c r="U16" i="16"/>
  <c r="AA10" i="16"/>
  <c r="U19" i="16"/>
  <c r="AB8" i="16"/>
  <c r="T14" i="16"/>
  <c r="V19" i="16"/>
  <c r="V8" i="16"/>
  <c r="W17" i="16"/>
  <c r="Z11" i="16"/>
  <c r="V6" i="16"/>
  <c r="Y13" i="16"/>
  <c r="T17" i="16"/>
  <c r="AA6" i="16"/>
  <c r="U15" i="16"/>
  <c r="S13" i="16"/>
  <c r="Y20" i="16"/>
  <c r="T10" i="16"/>
  <c r="W15" i="16"/>
  <c r="Z20" i="16"/>
  <c r="R10" i="16"/>
  <c r="V10" i="16"/>
  <c r="Z7" i="16"/>
  <c r="R5" i="16"/>
  <c r="S16" i="16"/>
  <c r="Q13" i="16"/>
  <c r="U10" i="16"/>
  <c r="Y7" i="16"/>
  <c r="Q5" i="16"/>
  <c r="X17" i="16"/>
  <c r="AB18" i="16"/>
  <c r="T20" i="16"/>
  <c r="Y15" i="16"/>
  <c r="W7" i="16"/>
  <c r="S11" i="16"/>
  <c r="W14" i="16"/>
  <c r="U17" i="16"/>
  <c r="AB16" i="16"/>
  <c r="S7" i="16"/>
  <c r="W9" i="16"/>
  <c r="W11" i="16"/>
  <c r="W13" i="16"/>
  <c r="Q16" i="16"/>
  <c r="Q18" i="16"/>
  <c r="Y19" i="16"/>
  <c r="T5" i="16"/>
  <c r="X6" i="16"/>
  <c r="AB7" i="16"/>
  <c r="T9" i="16"/>
  <c r="X10" i="16"/>
  <c r="AB11" i="16"/>
  <c r="T13" i="16"/>
  <c r="X14" i="16"/>
  <c r="AA15" i="16"/>
  <c r="R17" i="16"/>
  <c r="V18" i="16"/>
  <c r="Z19" i="16"/>
  <c r="B47" i="16"/>
  <c r="R12" i="16"/>
  <c r="V9" i="16"/>
  <c r="W20" i="16"/>
  <c r="W18" i="16"/>
  <c r="AA16" i="16"/>
  <c r="X15" i="16"/>
  <c r="U13" i="16"/>
  <c r="Y10" i="16"/>
  <c r="Q8" i="16"/>
  <c r="Y6" i="16"/>
  <c r="U5" i="16"/>
  <c r="Y12" i="16"/>
  <c r="Q10" i="16"/>
  <c r="V7" i="16"/>
  <c r="R6" i="16"/>
  <c r="W19" i="16"/>
  <c r="AA17" i="16"/>
  <c r="Q12" i="16"/>
  <c r="Q6" i="16"/>
  <c r="S19" i="16"/>
  <c r="AB15" i="16"/>
  <c r="U11" i="16"/>
  <c r="Z6" i="16"/>
  <c r="AA19" i="16"/>
  <c r="S18" i="16"/>
  <c r="W16" i="16"/>
  <c r="Y14" i="16"/>
  <c r="U9" i="16"/>
  <c r="U7" i="16"/>
  <c r="AA20" i="16"/>
  <c r="S17" i="16"/>
  <c r="Q14" i="16"/>
  <c r="Y8" i="16"/>
  <c r="V5" i="16"/>
  <c r="V12" i="16"/>
  <c r="Z9" i="16"/>
  <c r="R7" i="16"/>
  <c r="S20" i="16"/>
  <c r="T15" i="16"/>
  <c r="U12" i="16"/>
  <c r="Y9" i="16"/>
  <c r="Q7" i="16"/>
  <c r="T16" i="16"/>
  <c r="AB17" i="16"/>
  <c r="T19" i="16"/>
  <c r="X20" i="16"/>
  <c r="S5" i="16"/>
  <c r="W8" i="16"/>
  <c r="S12" i="16"/>
  <c r="R15" i="16"/>
  <c r="Q19" i="16"/>
  <c r="W5" i="16"/>
  <c r="AA7" i="16"/>
  <c r="AA9" i="16"/>
  <c r="AA11" i="16"/>
  <c r="S14" i="16"/>
  <c r="Y16" i="16"/>
  <c r="U18" i="16"/>
  <c r="Q20" i="16"/>
  <c r="X5" i="16"/>
  <c r="AB6" i="16"/>
  <c r="T8" i="16"/>
  <c r="X9" i="16"/>
  <c r="AB10" i="16"/>
  <c r="T12" i="16"/>
  <c r="X13" i="16"/>
  <c r="AB14" i="16"/>
  <c r="R16" i="16"/>
  <c r="V17" i="16"/>
  <c r="Z18" i="16"/>
  <c r="R20" i="16"/>
  <c r="R14" i="16"/>
  <c r="V11" i="16"/>
  <c r="Z8" i="16"/>
  <c r="V14" i="16"/>
  <c r="U14" i="16"/>
  <c r="Y11" i="16"/>
  <c r="Q9" i="16"/>
  <c r="U6" i="16"/>
  <c r="X16" i="16"/>
  <c r="T18" i="16"/>
  <c r="X19" i="16"/>
  <c r="AB20" i="16"/>
  <c r="AA5" i="16"/>
  <c r="S9" i="16"/>
  <c r="AA12" i="16"/>
  <c r="Z15" i="16"/>
  <c r="Q15" i="16"/>
  <c r="S6" i="16"/>
  <c r="S8" i="16"/>
  <c r="S10" i="16"/>
  <c r="W12" i="16"/>
  <c r="AA14" i="16"/>
  <c r="Q17" i="16"/>
  <c r="Y18" i="16"/>
  <c r="U20" i="16"/>
  <c r="AB5" i="16"/>
  <c r="T7" i="16"/>
  <c r="X8" i="16"/>
  <c r="AB9" i="16"/>
  <c r="T11" i="16"/>
  <c r="X12" i="16"/>
  <c r="AB13" i="16"/>
  <c r="S15" i="16"/>
  <c r="V16" i="16"/>
  <c r="Z17" i="16"/>
  <c r="R19" i="16"/>
  <c r="V20" i="16"/>
  <c r="V13" i="16"/>
  <c r="Z10" i="16"/>
  <c r="R8" i="16"/>
  <c r="R13" i="16"/>
  <c r="D22" i="5"/>
  <c r="E22" i="5"/>
  <c r="F22" i="5"/>
  <c r="AE94" i="5"/>
  <c r="AI59" i="15"/>
  <c r="AH59" i="15"/>
  <c r="AG59" i="15"/>
  <c r="AF59" i="15"/>
  <c r="AE59" i="15"/>
  <c r="AD59" i="15"/>
  <c r="AC59" i="15"/>
  <c r="AB59" i="15"/>
  <c r="AA59" i="15"/>
  <c r="Y59" i="15"/>
  <c r="X59" i="15"/>
  <c r="V59" i="15"/>
  <c r="U59" i="15"/>
  <c r="T59" i="15"/>
  <c r="S59" i="15"/>
  <c r="R59" i="15"/>
  <c r="Q59" i="15"/>
  <c r="P59" i="15"/>
  <c r="O59" i="15"/>
  <c r="N59" i="15"/>
  <c r="M59" i="15"/>
  <c r="AI58" i="15"/>
  <c r="AH58" i="15"/>
  <c r="AG58" i="15"/>
  <c r="AF58" i="15"/>
  <c r="AE58" i="15"/>
  <c r="AD58" i="15"/>
  <c r="AC58" i="15"/>
  <c r="AB58" i="15"/>
  <c r="AA58" i="15"/>
  <c r="Y58" i="15"/>
  <c r="X58" i="15"/>
  <c r="V58" i="15"/>
  <c r="U58" i="15"/>
  <c r="T58" i="15"/>
  <c r="S58" i="15"/>
  <c r="R58" i="15"/>
  <c r="Q58" i="15"/>
  <c r="P58" i="15"/>
  <c r="O58" i="15"/>
  <c r="N58" i="15"/>
  <c r="M58" i="15"/>
  <c r="AI57" i="15"/>
  <c r="AH57" i="15"/>
  <c r="AG57" i="15"/>
  <c r="AF57" i="15"/>
  <c r="AE57" i="15"/>
  <c r="AD57" i="15"/>
  <c r="AC57" i="15"/>
  <c r="AB57" i="15"/>
  <c r="AA57" i="15"/>
  <c r="Y57" i="15"/>
  <c r="X57" i="15"/>
  <c r="V57" i="15"/>
  <c r="U57" i="15"/>
  <c r="T57" i="15"/>
  <c r="S57" i="15"/>
  <c r="R57" i="15"/>
  <c r="Q57" i="15"/>
  <c r="P57" i="15"/>
  <c r="O57" i="15"/>
  <c r="N57" i="15"/>
  <c r="M57" i="15"/>
  <c r="AI56" i="15"/>
  <c r="AH56" i="15"/>
  <c r="AG56" i="15"/>
  <c r="AF56" i="15"/>
  <c r="AE56" i="15"/>
  <c r="AD56" i="15"/>
  <c r="AC56" i="15"/>
  <c r="AB56" i="15"/>
  <c r="AA56" i="15"/>
  <c r="Y56" i="15"/>
  <c r="X56" i="15"/>
  <c r="V56" i="15"/>
  <c r="U56" i="15"/>
  <c r="T56" i="15"/>
  <c r="S56" i="15"/>
  <c r="R56" i="15"/>
  <c r="Q56" i="15"/>
  <c r="P56" i="15"/>
  <c r="O56" i="15"/>
  <c r="N56" i="15"/>
  <c r="M56" i="15"/>
  <c r="AI55" i="15"/>
  <c r="AH55" i="15"/>
  <c r="AG55" i="15"/>
  <c r="AF55" i="15"/>
  <c r="AE55" i="15"/>
  <c r="AD55" i="15"/>
  <c r="AC55" i="15"/>
  <c r="AB55" i="15"/>
  <c r="AA55" i="15"/>
  <c r="Y55" i="15"/>
  <c r="X55" i="15"/>
  <c r="V55" i="15"/>
  <c r="U55" i="15"/>
  <c r="T55" i="15"/>
  <c r="S55" i="15"/>
  <c r="R55" i="15"/>
  <c r="Q55" i="15"/>
  <c r="P55" i="15"/>
  <c r="O55" i="15"/>
  <c r="N55" i="15"/>
  <c r="M55" i="15"/>
  <c r="AI54" i="15"/>
  <c r="AH54" i="15"/>
  <c r="AG54" i="15"/>
  <c r="AF54" i="15"/>
  <c r="AE54" i="15"/>
  <c r="AD54" i="15"/>
  <c r="AC54" i="15"/>
  <c r="AB54" i="15"/>
  <c r="AA54" i="15"/>
  <c r="Y54" i="15"/>
  <c r="X54" i="15"/>
  <c r="V54" i="15"/>
  <c r="U54" i="15"/>
  <c r="T54" i="15"/>
  <c r="S54" i="15"/>
  <c r="R54" i="15"/>
  <c r="Q54" i="15"/>
  <c r="P54" i="15"/>
  <c r="O54" i="15"/>
  <c r="N54" i="15"/>
  <c r="M54" i="15"/>
  <c r="AI53" i="15"/>
  <c r="AH53" i="15"/>
  <c r="AG53" i="15"/>
  <c r="AF53" i="15"/>
  <c r="AE53" i="15"/>
  <c r="AD53" i="15"/>
  <c r="AC53" i="15"/>
  <c r="AB53" i="15"/>
  <c r="AA53" i="15"/>
  <c r="Y53" i="15"/>
  <c r="X53" i="15"/>
  <c r="V53" i="15"/>
  <c r="U53" i="15"/>
  <c r="T53" i="15"/>
  <c r="S53" i="15"/>
  <c r="R53" i="15"/>
  <c r="Q53" i="15"/>
  <c r="P53" i="15"/>
  <c r="O53" i="15"/>
  <c r="N53" i="15"/>
  <c r="M53" i="15"/>
  <c r="AI52" i="15"/>
  <c r="AH52" i="15"/>
  <c r="AG52" i="15"/>
  <c r="AF52" i="15"/>
  <c r="AE52" i="15"/>
  <c r="AD52" i="15"/>
  <c r="AC52" i="15"/>
  <c r="AB52" i="15"/>
  <c r="AA52" i="15"/>
  <c r="Y52" i="15"/>
  <c r="X52" i="15"/>
  <c r="V52" i="15"/>
  <c r="U52" i="15"/>
  <c r="T52" i="15"/>
  <c r="S52" i="15"/>
  <c r="R52" i="15"/>
  <c r="Q52" i="15"/>
  <c r="P52" i="15"/>
  <c r="O52" i="15"/>
  <c r="N52" i="15"/>
  <c r="M52" i="15"/>
  <c r="AI51" i="15"/>
  <c r="AH51" i="15"/>
  <c r="AG51" i="15"/>
  <c r="AF51" i="15"/>
  <c r="AE51" i="15"/>
  <c r="AD51" i="15"/>
  <c r="AC51" i="15"/>
  <c r="AB51" i="15"/>
  <c r="AA51" i="15"/>
  <c r="Y51" i="15"/>
  <c r="X51" i="15"/>
  <c r="V51" i="15"/>
  <c r="U51" i="15"/>
  <c r="T51" i="15"/>
  <c r="S51" i="15"/>
  <c r="R51" i="15"/>
  <c r="Q51" i="15"/>
  <c r="P51" i="15"/>
  <c r="O51" i="15"/>
  <c r="N51" i="15"/>
  <c r="M51" i="15"/>
  <c r="AI50" i="15"/>
  <c r="AH50" i="15"/>
  <c r="AG50" i="15"/>
  <c r="AF50" i="15"/>
  <c r="AE50" i="15"/>
  <c r="AD50" i="15"/>
  <c r="AC50" i="15"/>
  <c r="AB50" i="15"/>
  <c r="AA50" i="15"/>
  <c r="Y50" i="15"/>
  <c r="X50" i="15"/>
  <c r="V50" i="15"/>
  <c r="U50" i="15"/>
  <c r="T50" i="15"/>
  <c r="S50" i="15"/>
  <c r="R50" i="15"/>
  <c r="Q50" i="15"/>
  <c r="P50" i="15"/>
  <c r="O50" i="15"/>
  <c r="N50" i="15"/>
  <c r="M50" i="15"/>
  <c r="AI49" i="15"/>
  <c r="AH49" i="15"/>
  <c r="AG49" i="15"/>
  <c r="AF49" i="15"/>
  <c r="AE49" i="15"/>
  <c r="AD49" i="15"/>
  <c r="AC49" i="15"/>
  <c r="AB49" i="15"/>
  <c r="AA49" i="15"/>
  <c r="Y49" i="15"/>
  <c r="X49" i="15"/>
  <c r="V49" i="15"/>
  <c r="U49" i="15"/>
  <c r="T49" i="15"/>
  <c r="S49" i="15"/>
  <c r="R49" i="15"/>
  <c r="Q49" i="15"/>
  <c r="P49" i="15"/>
  <c r="O49" i="15"/>
  <c r="N49" i="15"/>
  <c r="M49" i="15"/>
  <c r="AI48" i="15"/>
  <c r="AH48" i="15"/>
  <c r="AG48" i="15"/>
  <c r="AF48" i="15"/>
  <c r="AE48" i="15"/>
  <c r="AD48" i="15"/>
  <c r="AC48" i="15"/>
  <c r="AB48" i="15"/>
  <c r="AA48" i="15"/>
  <c r="Y48" i="15"/>
  <c r="X48" i="15"/>
  <c r="V48" i="15"/>
  <c r="U48" i="15"/>
  <c r="T48" i="15"/>
  <c r="S48" i="15"/>
  <c r="R48" i="15"/>
  <c r="Q48" i="15"/>
  <c r="P48" i="15"/>
  <c r="O48" i="15"/>
  <c r="N48" i="15"/>
  <c r="M48" i="15"/>
  <c r="AI47" i="15"/>
  <c r="AH47" i="15"/>
  <c r="AG47" i="15"/>
  <c r="AF47" i="15"/>
  <c r="AE47" i="15"/>
  <c r="AD47" i="15"/>
  <c r="AC47" i="15"/>
  <c r="AB47" i="15"/>
  <c r="AA47" i="15"/>
  <c r="Y47" i="15"/>
  <c r="X47" i="15"/>
  <c r="V47" i="15"/>
  <c r="U47" i="15"/>
  <c r="T47" i="15"/>
  <c r="S47" i="15"/>
  <c r="R47" i="15"/>
  <c r="Q47" i="15"/>
  <c r="P47" i="15"/>
  <c r="O47" i="15"/>
  <c r="N47" i="15"/>
  <c r="M47" i="15"/>
  <c r="AI46" i="15"/>
  <c r="AH46" i="15"/>
  <c r="AG46" i="15"/>
  <c r="AF46" i="15"/>
  <c r="AE46" i="15"/>
  <c r="AD46" i="15"/>
  <c r="AC46" i="15"/>
  <c r="AB46" i="15"/>
  <c r="AA46" i="15"/>
  <c r="Y46" i="15"/>
  <c r="X46" i="15"/>
  <c r="V46" i="15"/>
  <c r="U46" i="15"/>
  <c r="T46" i="15"/>
  <c r="S46" i="15"/>
  <c r="R46" i="15"/>
  <c r="Q46" i="15"/>
  <c r="P46" i="15"/>
  <c r="O46" i="15"/>
  <c r="N46" i="15"/>
  <c r="M46" i="15"/>
  <c r="AI45" i="15"/>
  <c r="AH45" i="15"/>
  <c r="AG45" i="15"/>
  <c r="AF45" i="15"/>
  <c r="AE45" i="15"/>
  <c r="AD45" i="15"/>
  <c r="AC45" i="15"/>
  <c r="AB45" i="15"/>
  <c r="AA45" i="15"/>
  <c r="Y45" i="15"/>
  <c r="X45" i="15"/>
  <c r="V45" i="15"/>
  <c r="U45" i="15"/>
  <c r="T45" i="15"/>
  <c r="S45" i="15"/>
  <c r="R45" i="15"/>
  <c r="Q45" i="15"/>
  <c r="P45" i="15"/>
  <c r="O45" i="15"/>
  <c r="N45" i="15"/>
  <c r="M45" i="15"/>
  <c r="AI44" i="15"/>
  <c r="AH44" i="15"/>
  <c r="AG44" i="15"/>
  <c r="AF44" i="15"/>
  <c r="AE44" i="15"/>
  <c r="AD44" i="15"/>
  <c r="AC44" i="15"/>
  <c r="AB44" i="15"/>
  <c r="AA44" i="15"/>
  <c r="Y44" i="15"/>
  <c r="X44" i="15"/>
  <c r="V44" i="15"/>
  <c r="U44" i="15"/>
  <c r="T44" i="15"/>
  <c r="S44" i="15"/>
  <c r="R44" i="15"/>
  <c r="Q44" i="15"/>
  <c r="P44" i="15"/>
  <c r="O44" i="15"/>
  <c r="N44" i="15"/>
  <c r="M44" i="15"/>
  <c r="AI43" i="15"/>
  <c r="AH43" i="15"/>
  <c r="AG43" i="15"/>
  <c r="AF43" i="15"/>
  <c r="AE43" i="15"/>
  <c r="AD43" i="15"/>
  <c r="AC43" i="15"/>
  <c r="AB43" i="15"/>
  <c r="AA43" i="15"/>
  <c r="Y43" i="15"/>
  <c r="X43" i="15"/>
  <c r="V43" i="15"/>
  <c r="U43" i="15"/>
  <c r="T43" i="15"/>
  <c r="S43" i="15"/>
  <c r="R43" i="15"/>
  <c r="Q43" i="15"/>
  <c r="P43" i="15"/>
  <c r="O43" i="15"/>
  <c r="N43" i="15"/>
  <c r="M43" i="15"/>
  <c r="AI42" i="15"/>
  <c r="AH42" i="15"/>
  <c r="AG42" i="15"/>
  <c r="AF42" i="15"/>
  <c r="AE42" i="15"/>
  <c r="AD42" i="15"/>
  <c r="AC42" i="15"/>
  <c r="AB42" i="15"/>
  <c r="AA42" i="15"/>
  <c r="Y42" i="15"/>
  <c r="X42" i="15"/>
  <c r="V42" i="15"/>
  <c r="U42" i="15"/>
  <c r="T42" i="15"/>
  <c r="S42" i="15"/>
  <c r="R42" i="15"/>
  <c r="Q42" i="15"/>
  <c r="P42" i="15"/>
  <c r="O42" i="15"/>
  <c r="N42" i="15"/>
  <c r="M42" i="15"/>
  <c r="AI41" i="15"/>
  <c r="AH41" i="15"/>
  <c r="AG41" i="15"/>
  <c r="AF41" i="15"/>
  <c r="AE41" i="15"/>
  <c r="AD41" i="15"/>
  <c r="AC41" i="15"/>
  <c r="AB41" i="15"/>
  <c r="AA41" i="15"/>
  <c r="Y41" i="15"/>
  <c r="X41" i="15"/>
  <c r="V41" i="15"/>
  <c r="U41" i="15"/>
  <c r="T41" i="15"/>
  <c r="S41" i="15"/>
  <c r="R41" i="15"/>
  <c r="Q41" i="15"/>
  <c r="P41" i="15"/>
  <c r="O41" i="15"/>
  <c r="N41" i="15"/>
  <c r="M41" i="15"/>
  <c r="AI40" i="15"/>
  <c r="AH40" i="15"/>
  <c r="AG40" i="15"/>
  <c r="AF40" i="15"/>
  <c r="AE40" i="15"/>
  <c r="AD40" i="15"/>
  <c r="AC40" i="15"/>
  <c r="AB40" i="15"/>
  <c r="AA40" i="15"/>
  <c r="Y40" i="15"/>
  <c r="X40" i="15"/>
  <c r="V40" i="15"/>
  <c r="U40" i="15"/>
  <c r="T40" i="15"/>
  <c r="S40" i="15"/>
  <c r="R40" i="15"/>
  <c r="Q40" i="15"/>
  <c r="P40" i="15"/>
  <c r="O40" i="15"/>
  <c r="N40" i="15"/>
  <c r="M40" i="15"/>
  <c r="AI39" i="15"/>
  <c r="AH39" i="15"/>
  <c r="AG39" i="15"/>
  <c r="AF39" i="15"/>
  <c r="AE39" i="15"/>
  <c r="AD39" i="15"/>
  <c r="AC39" i="15"/>
  <c r="AB39" i="15"/>
  <c r="AA39" i="15"/>
  <c r="Y39" i="15"/>
  <c r="X39" i="15"/>
  <c r="V39" i="15"/>
  <c r="U39" i="15"/>
  <c r="T39" i="15"/>
  <c r="S39" i="15"/>
  <c r="R39" i="15"/>
  <c r="Q39" i="15"/>
  <c r="P39" i="15"/>
  <c r="O39" i="15"/>
  <c r="N39" i="15"/>
  <c r="M39" i="15"/>
  <c r="AI38" i="15"/>
  <c r="AH38" i="15"/>
  <c r="AG38" i="15"/>
  <c r="AF38" i="15"/>
  <c r="AE38" i="15"/>
  <c r="AD38" i="15"/>
  <c r="AC38" i="15"/>
  <c r="AB38" i="15"/>
  <c r="AA38" i="15"/>
  <c r="Y38" i="15"/>
  <c r="X38" i="15"/>
  <c r="V38" i="15"/>
  <c r="U38" i="15"/>
  <c r="T38" i="15"/>
  <c r="S38" i="15"/>
  <c r="R38" i="15"/>
  <c r="Q38" i="15"/>
  <c r="P38" i="15"/>
  <c r="O38" i="15"/>
  <c r="N38" i="15"/>
  <c r="M38" i="15"/>
  <c r="AI37" i="15"/>
  <c r="AH37" i="15"/>
  <c r="AG37" i="15"/>
  <c r="AF37" i="15"/>
  <c r="AE37" i="15"/>
  <c r="AD37" i="15"/>
  <c r="AC37" i="15"/>
  <c r="AB37" i="15"/>
  <c r="AA37" i="15"/>
  <c r="Y37" i="15"/>
  <c r="X37" i="15"/>
  <c r="V37" i="15"/>
  <c r="U37" i="15"/>
  <c r="T37" i="15"/>
  <c r="S37" i="15"/>
  <c r="R37" i="15"/>
  <c r="Q37" i="15"/>
  <c r="P37" i="15"/>
  <c r="O37" i="15"/>
  <c r="N37" i="15"/>
  <c r="M37" i="15"/>
  <c r="AI36" i="15"/>
  <c r="AH36" i="15"/>
  <c r="AG36" i="15"/>
  <c r="AF36" i="15"/>
  <c r="AE36" i="15"/>
  <c r="AD36" i="15"/>
  <c r="AC36" i="15"/>
  <c r="AB36" i="15"/>
  <c r="AA36" i="15"/>
  <c r="Y36" i="15"/>
  <c r="X36" i="15"/>
  <c r="V36" i="15"/>
  <c r="U36" i="15"/>
  <c r="T36" i="15"/>
  <c r="S36" i="15"/>
  <c r="R36" i="15"/>
  <c r="Q36" i="15"/>
  <c r="P36" i="15"/>
  <c r="O36" i="15"/>
  <c r="N36" i="15"/>
  <c r="M36" i="15"/>
  <c r="AI35" i="15"/>
  <c r="AH35" i="15"/>
  <c r="AG35" i="15"/>
  <c r="AF35" i="15"/>
  <c r="AE35" i="15"/>
  <c r="AD35" i="15"/>
  <c r="AC35" i="15"/>
  <c r="AB35" i="15"/>
  <c r="AA35" i="15"/>
  <c r="Y35" i="15"/>
  <c r="X35" i="15"/>
  <c r="V35" i="15"/>
  <c r="U35" i="15"/>
  <c r="T35" i="15"/>
  <c r="S35" i="15"/>
  <c r="R35" i="15"/>
  <c r="Q35" i="15"/>
  <c r="P35" i="15"/>
  <c r="O35" i="15"/>
  <c r="N35" i="15"/>
  <c r="M35" i="15"/>
  <c r="AI34" i="15"/>
  <c r="AH34" i="15"/>
  <c r="AG34" i="15"/>
  <c r="AF34" i="15"/>
  <c r="AE34" i="15"/>
  <c r="AD34" i="15"/>
  <c r="AC34" i="15"/>
  <c r="AB34" i="15"/>
  <c r="AA34" i="15"/>
  <c r="Y34" i="15"/>
  <c r="X34" i="15"/>
  <c r="V34" i="15"/>
  <c r="U34" i="15"/>
  <c r="T34" i="15"/>
  <c r="S34" i="15"/>
  <c r="R34" i="15"/>
  <c r="Q34" i="15"/>
  <c r="P34" i="15"/>
  <c r="O34" i="15"/>
  <c r="N34" i="15"/>
  <c r="M34" i="15"/>
  <c r="AR33" i="15"/>
  <c r="AI33" i="15"/>
  <c r="AH33" i="15"/>
  <c r="AG33" i="15"/>
  <c r="AF33" i="15"/>
  <c r="AE33" i="15"/>
  <c r="AD33" i="15"/>
  <c r="AC33" i="15"/>
  <c r="AB33" i="15"/>
  <c r="AA33" i="15"/>
  <c r="Y33" i="15"/>
  <c r="X33" i="15"/>
  <c r="V33" i="15"/>
  <c r="U33" i="15"/>
  <c r="T33" i="15"/>
  <c r="S33" i="15"/>
  <c r="R33" i="15"/>
  <c r="Q33" i="15"/>
  <c r="P33" i="15"/>
  <c r="O33" i="15"/>
  <c r="N33" i="15"/>
  <c r="M33" i="15"/>
  <c r="AI32" i="15"/>
  <c r="AH32" i="15"/>
  <c r="AG32" i="15"/>
  <c r="AF32" i="15"/>
  <c r="AE32" i="15"/>
  <c r="AD32" i="15"/>
  <c r="AC32" i="15"/>
  <c r="AB32" i="15"/>
  <c r="AA32" i="15"/>
  <c r="Y32" i="15"/>
  <c r="X32" i="15"/>
  <c r="V32" i="15"/>
  <c r="U32" i="15"/>
  <c r="T32" i="15"/>
  <c r="S32" i="15"/>
  <c r="R32" i="15"/>
  <c r="Q32" i="15"/>
  <c r="P32" i="15"/>
  <c r="O32" i="15"/>
  <c r="N32" i="15"/>
  <c r="M32" i="15"/>
  <c r="AI31" i="15"/>
  <c r="AH31" i="15"/>
  <c r="AG31" i="15"/>
  <c r="AF31" i="15"/>
  <c r="AE31" i="15"/>
  <c r="AD31" i="15"/>
  <c r="AC31" i="15"/>
  <c r="AB31" i="15"/>
  <c r="AA31" i="15"/>
  <c r="Y31" i="15"/>
  <c r="X31" i="15"/>
  <c r="V31" i="15"/>
  <c r="U31" i="15"/>
  <c r="T31" i="15"/>
  <c r="S31" i="15"/>
  <c r="R31" i="15"/>
  <c r="Q31" i="15"/>
  <c r="P31" i="15"/>
  <c r="O31" i="15"/>
  <c r="N31" i="15"/>
  <c r="M31" i="15"/>
  <c r="AR30" i="15"/>
  <c r="AI30" i="15"/>
  <c r="AH30" i="15"/>
  <c r="AG30" i="15"/>
  <c r="AF30" i="15"/>
  <c r="AE30" i="15"/>
  <c r="AD30" i="15"/>
  <c r="AC30" i="15"/>
  <c r="AB30" i="15"/>
  <c r="AA30" i="15"/>
  <c r="Y30" i="15"/>
  <c r="X30" i="15"/>
  <c r="V30" i="15"/>
  <c r="U30" i="15"/>
  <c r="T30" i="15"/>
  <c r="S30" i="15"/>
  <c r="R30" i="15"/>
  <c r="Q30" i="15"/>
  <c r="P30" i="15"/>
  <c r="O30" i="15"/>
  <c r="N30" i="15"/>
  <c r="M30" i="15"/>
  <c r="AI29" i="15"/>
  <c r="AH29" i="15"/>
  <c r="AG29" i="15"/>
  <c r="AF29" i="15"/>
  <c r="AE29" i="15"/>
  <c r="AD29" i="15"/>
  <c r="AC29" i="15"/>
  <c r="AB29" i="15"/>
  <c r="AA29" i="15"/>
  <c r="Y29" i="15"/>
  <c r="X29" i="15"/>
  <c r="V29" i="15"/>
  <c r="U29" i="15"/>
  <c r="T29" i="15"/>
  <c r="S29" i="15"/>
  <c r="R29" i="15"/>
  <c r="Q29" i="15"/>
  <c r="P29" i="15"/>
  <c r="O29" i="15"/>
  <c r="N29" i="15"/>
  <c r="M29" i="15"/>
  <c r="AR28" i="15"/>
  <c r="AI28" i="15"/>
  <c r="AH28" i="15"/>
  <c r="AG28" i="15"/>
  <c r="AF28" i="15"/>
  <c r="AE28" i="15"/>
  <c r="AD28" i="15"/>
  <c r="AC28" i="15"/>
  <c r="AB28" i="15"/>
  <c r="AA28" i="15"/>
  <c r="Y28" i="15"/>
  <c r="X28" i="15"/>
  <c r="V28" i="15"/>
  <c r="U28" i="15"/>
  <c r="T28" i="15"/>
  <c r="S28" i="15"/>
  <c r="R28" i="15"/>
  <c r="Q28" i="15"/>
  <c r="P28" i="15"/>
  <c r="O28" i="15"/>
  <c r="N28" i="15"/>
  <c r="M28" i="15"/>
  <c r="AI27" i="15"/>
  <c r="AH27" i="15"/>
  <c r="AG27" i="15"/>
  <c r="AF27" i="15"/>
  <c r="AE27" i="15"/>
  <c r="AD27" i="15"/>
  <c r="AC27" i="15"/>
  <c r="AB27" i="15"/>
  <c r="AA27" i="15"/>
  <c r="Y27" i="15"/>
  <c r="X27" i="15"/>
  <c r="V27" i="15"/>
  <c r="U27" i="15"/>
  <c r="T27" i="15"/>
  <c r="S27" i="15"/>
  <c r="R27" i="15"/>
  <c r="Q27" i="15"/>
  <c r="P27" i="15"/>
  <c r="O27" i="15"/>
  <c r="N27" i="15"/>
  <c r="M27" i="15"/>
  <c r="AI26" i="15"/>
  <c r="AH26" i="15"/>
  <c r="AU32" i="15" s="1"/>
  <c r="AG26" i="15"/>
  <c r="AF26" i="15"/>
  <c r="AE26" i="15"/>
  <c r="AD26" i="15"/>
  <c r="AC26" i="15"/>
  <c r="AB26" i="15"/>
  <c r="AA26" i="15"/>
  <c r="Y26" i="15"/>
  <c r="X26" i="15"/>
  <c r="V26" i="15"/>
  <c r="U26" i="15"/>
  <c r="T26" i="15"/>
  <c r="S26" i="15"/>
  <c r="R26" i="15"/>
  <c r="Q26" i="15"/>
  <c r="P26" i="15"/>
  <c r="O26" i="15"/>
  <c r="N26" i="15"/>
  <c r="M26" i="15"/>
  <c r="AI25" i="15"/>
  <c r="AH25" i="15"/>
  <c r="AT32" i="15" s="1"/>
  <c r="AG25" i="15"/>
  <c r="AF25" i="15"/>
  <c r="AE25" i="15"/>
  <c r="AD25" i="15"/>
  <c r="AC25" i="15"/>
  <c r="AB25" i="15"/>
  <c r="AA25" i="15"/>
  <c r="Y25" i="15"/>
  <c r="X25" i="15"/>
  <c r="V25" i="15"/>
  <c r="U25" i="15"/>
  <c r="T25" i="15"/>
  <c r="S25" i="15"/>
  <c r="R25" i="15"/>
  <c r="Q25" i="15"/>
  <c r="P25" i="15"/>
  <c r="O25" i="15"/>
  <c r="N25" i="15"/>
  <c r="M25" i="15"/>
  <c r="AI24" i="15"/>
  <c r="AG24" i="15"/>
  <c r="AF24" i="15"/>
  <c r="AE24" i="15"/>
  <c r="AD24" i="15"/>
  <c r="AC24" i="15"/>
  <c r="AB24" i="15"/>
  <c r="AA24" i="15"/>
  <c r="Y24" i="15"/>
  <c r="X24" i="15"/>
  <c r="V24" i="15"/>
  <c r="U24" i="15"/>
  <c r="S24" i="15"/>
  <c r="R24" i="15"/>
  <c r="Q24" i="15"/>
  <c r="P24" i="15"/>
  <c r="O24" i="15"/>
  <c r="N24" i="15"/>
  <c r="M24" i="15"/>
  <c r="AI23" i="15"/>
  <c r="AG23" i="15"/>
  <c r="AF23" i="15"/>
  <c r="AE23" i="15"/>
  <c r="AD23" i="15"/>
  <c r="AC23" i="15"/>
  <c r="AB23" i="15"/>
  <c r="AA23" i="15"/>
  <c r="Y23" i="15"/>
  <c r="X23" i="15"/>
  <c r="V23" i="15"/>
  <c r="U23" i="15"/>
  <c r="S23" i="15"/>
  <c r="R23" i="15"/>
  <c r="Q23" i="15"/>
  <c r="P23" i="15"/>
  <c r="O23" i="15"/>
  <c r="N23" i="15"/>
  <c r="M23" i="15"/>
  <c r="AI22" i="15"/>
  <c r="AG22" i="15"/>
  <c r="AF22" i="15"/>
  <c r="AE22" i="15"/>
  <c r="AD22" i="15"/>
  <c r="AC22" i="15"/>
  <c r="AB22" i="15"/>
  <c r="AA22" i="15"/>
  <c r="Y22" i="15"/>
  <c r="X22" i="15"/>
  <c r="V22" i="15"/>
  <c r="U22" i="15"/>
  <c r="S22" i="15"/>
  <c r="R22" i="15"/>
  <c r="Q22" i="15"/>
  <c r="P22" i="15"/>
  <c r="O22" i="15"/>
  <c r="N22" i="15"/>
  <c r="M22" i="15"/>
  <c r="AI21" i="15"/>
  <c r="AG21" i="15"/>
  <c r="AF21" i="15"/>
  <c r="AE21" i="15"/>
  <c r="AD21" i="15"/>
  <c r="AC21" i="15"/>
  <c r="AB21" i="15"/>
  <c r="AA21" i="15"/>
  <c r="Y21" i="15"/>
  <c r="X21" i="15"/>
  <c r="V21" i="15"/>
  <c r="U21" i="15"/>
  <c r="S21" i="15"/>
  <c r="R21" i="15"/>
  <c r="Q21" i="15"/>
  <c r="P21" i="15"/>
  <c r="O21" i="15"/>
  <c r="N21" i="15"/>
  <c r="M21" i="15"/>
  <c r="AI20" i="15"/>
  <c r="AG20" i="15"/>
  <c r="AF20" i="15"/>
  <c r="AE20" i="15"/>
  <c r="AD20" i="15"/>
  <c r="AC20" i="15"/>
  <c r="AB20" i="15"/>
  <c r="AA20" i="15"/>
  <c r="Y20" i="15"/>
  <c r="X20" i="15"/>
  <c r="V20" i="15"/>
  <c r="U20" i="15"/>
  <c r="S20" i="15"/>
  <c r="R20" i="15"/>
  <c r="Q20" i="15"/>
  <c r="P20" i="15"/>
  <c r="O20" i="15"/>
  <c r="N20" i="15"/>
  <c r="M20" i="15"/>
  <c r="AI19" i="15"/>
  <c r="AG19" i="15"/>
  <c r="AF19" i="15"/>
  <c r="AE19" i="15"/>
  <c r="AD19" i="15"/>
  <c r="AC19" i="15"/>
  <c r="AB19" i="15"/>
  <c r="AA19" i="15"/>
  <c r="Y19" i="15"/>
  <c r="X19" i="15"/>
  <c r="V19" i="15"/>
  <c r="U19" i="15"/>
  <c r="S19" i="15"/>
  <c r="R19" i="15"/>
  <c r="Q19" i="15"/>
  <c r="P19" i="15"/>
  <c r="O19" i="15"/>
  <c r="N19" i="15"/>
  <c r="M19" i="15"/>
  <c r="AI18" i="15"/>
  <c r="AG18" i="15"/>
  <c r="AF18" i="15"/>
  <c r="AE18" i="15"/>
  <c r="AD18" i="15"/>
  <c r="AC18" i="15"/>
  <c r="AB18" i="15"/>
  <c r="AA18" i="15"/>
  <c r="Y18" i="15"/>
  <c r="X18" i="15"/>
  <c r="V18" i="15"/>
  <c r="U18" i="15"/>
  <c r="S18" i="15"/>
  <c r="R18" i="15"/>
  <c r="Q18" i="15"/>
  <c r="P18" i="15"/>
  <c r="O18" i="15"/>
  <c r="N18" i="15"/>
  <c r="M18" i="15"/>
  <c r="AI17" i="15"/>
  <c r="AG17" i="15"/>
  <c r="AF17" i="15"/>
  <c r="AE17" i="15"/>
  <c r="AD17" i="15"/>
  <c r="AC17" i="15"/>
  <c r="AB17" i="15"/>
  <c r="AA17" i="15"/>
  <c r="Y17" i="15"/>
  <c r="X17" i="15"/>
  <c r="V17" i="15"/>
  <c r="U17" i="15"/>
  <c r="S17" i="15"/>
  <c r="R17" i="15"/>
  <c r="Q17" i="15"/>
  <c r="P17" i="15"/>
  <c r="O17" i="15"/>
  <c r="N17" i="15"/>
  <c r="M17" i="15"/>
  <c r="AI16" i="15"/>
  <c r="AG16" i="15"/>
  <c r="AF16" i="15"/>
  <c r="AE16" i="15"/>
  <c r="AD16" i="15"/>
  <c r="AC16" i="15"/>
  <c r="AB16" i="15"/>
  <c r="AA16" i="15"/>
  <c r="Y16" i="15"/>
  <c r="X16" i="15"/>
  <c r="V16" i="15"/>
  <c r="U16" i="15"/>
  <c r="S16" i="15"/>
  <c r="R16" i="15"/>
  <c r="Q16" i="15"/>
  <c r="P16" i="15"/>
  <c r="O16" i="15"/>
  <c r="N16" i="15"/>
  <c r="M16" i="15"/>
  <c r="AI15" i="15"/>
  <c r="AG15" i="15"/>
  <c r="AF15" i="15"/>
  <c r="AE15" i="15"/>
  <c r="AD15" i="15"/>
  <c r="AC15" i="15"/>
  <c r="AB15" i="15"/>
  <c r="AA15" i="15"/>
  <c r="Y15" i="15"/>
  <c r="X15" i="15"/>
  <c r="V15" i="15"/>
  <c r="U15" i="15"/>
  <c r="S15" i="15"/>
  <c r="R15" i="15"/>
  <c r="Q15" i="15"/>
  <c r="P15" i="15"/>
  <c r="O15" i="15"/>
  <c r="N15" i="15"/>
  <c r="M15" i="15"/>
  <c r="AI14" i="15"/>
  <c r="AG14" i="15"/>
  <c r="AF14" i="15"/>
  <c r="AE14" i="15"/>
  <c r="AD14" i="15"/>
  <c r="AC14" i="15"/>
  <c r="AB14" i="15"/>
  <c r="AA14" i="15"/>
  <c r="Y14" i="15"/>
  <c r="X14" i="15"/>
  <c r="V14" i="15"/>
  <c r="U14" i="15"/>
  <c r="S14" i="15"/>
  <c r="R14" i="15"/>
  <c r="Q14" i="15"/>
  <c r="P14" i="15"/>
  <c r="O14" i="15"/>
  <c r="N14" i="15"/>
  <c r="M14" i="15"/>
  <c r="AI13" i="15"/>
  <c r="AG13" i="15"/>
  <c r="AF13" i="15"/>
  <c r="AE13" i="15"/>
  <c r="AD13" i="15"/>
  <c r="AC13" i="15"/>
  <c r="AB13" i="15"/>
  <c r="AA13" i="15"/>
  <c r="Y13" i="15"/>
  <c r="X13" i="15"/>
  <c r="V13" i="15"/>
  <c r="U13" i="15"/>
  <c r="S13" i="15"/>
  <c r="R13" i="15"/>
  <c r="Q13" i="15"/>
  <c r="P13" i="15"/>
  <c r="O13" i="15"/>
  <c r="N13" i="15"/>
  <c r="M13" i="15"/>
  <c r="AI12" i="15"/>
  <c r="AG12" i="15"/>
  <c r="AF12" i="15"/>
  <c r="AE12" i="15"/>
  <c r="AD12" i="15"/>
  <c r="AC12" i="15"/>
  <c r="AB12" i="15"/>
  <c r="AA12" i="15"/>
  <c r="Y12" i="15"/>
  <c r="X12" i="15"/>
  <c r="V12" i="15"/>
  <c r="U12" i="15"/>
  <c r="S12" i="15"/>
  <c r="R12" i="15"/>
  <c r="Q12" i="15"/>
  <c r="P12" i="15"/>
  <c r="O12" i="15"/>
  <c r="N12" i="15"/>
  <c r="M12" i="15"/>
  <c r="AI11" i="15"/>
  <c r="AG11" i="15"/>
  <c r="AF11" i="15"/>
  <c r="AE11" i="15"/>
  <c r="AD11" i="15"/>
  <c r="AC11" i="15"/>
  <c r="AB11" i="15"/>
  <c r="AA11" i="15"/>
  <c r="Y11" i="15"/>
  <c r="X11" i="15"/>
  <c r="V11" i="15"/>
  <c r="U11" i="15"/>
  <c r="S11" i="15"/>
  <c r="R11" i="15"/>
  <c r="Q11" i="15"/>
  <c r="P11" i="15"/>
  <c r="O11" i="15"/>
  <c r="N11" i="15"/>
  <c r="M11" i="15"/>
  <c r="AI10" i="15"/>
  <c r="AG10" i="15"/>
  <c r="AF10" i="15"/>
  <c r="AE10" i="15"/>
  <c r="AD10" i="15"/>
  <c r="AC10" i="15"/>
  <c r="AB10" i="15"/>
  <c r="AA10" i="15"/>
  <c r="Y10" i="15"/>
  <c r="X10" i="15"/>
  <c r="V10" i="15"/>
  <c r="U10" i="15"/>
  <c r="S10" i="15"/>
  <c r="R10" i="15"/>
  <c r="Q10" i="15"/>
  <c r="P10" i="15"/>
  <c r="O10" i="15"/>
  <c r="N10" i="15"/>
  <c r="M10" i="15"/>
  <c r="AI9" i="15"/>
  <c r="AG9" i="15"/>
  <c r="AF9" i="15"/>
  <c r="AE9" i="15"/>
  <c r="AD9" i="15"/>
  <c r="AC9" i="15"/>
  <c r="AB9" i="15"/>
  <c r="AA9" i="15"/>
  <c r="Y9" i="15"/>
  <c r="X9" i="15"/>
  <c r="V9" i="15"/>
  <c r="U9" i="15"/>
  <c r="S9" i="15"/>
  <c r="R9" i="15"/>
  <c r="Q9" i="15"/>
  <c r="P9" i="15"/>
  <c r="O9" i="15"/>
  <c r="N9" i="15"/>
  <c r="M9" i="15"/>
  <c r="AI8" i="15"/>
  <c r="AG8" i="15"/>
  <c r="AF8" i="15"/>
  <c r="AE8" i="15"/>
  <c r="AD8" i="15"/>
  <c r="AC8" i="15"/>
  <c r="AB8" i="15"/>
  <c r="AA8" i="15"/>
  <c r="Y8" i="15"/>
  <c r="X8" i="15"/>
  <c r="V8" i="15"/>
  <c r="U8" i="15"/>
  <c r="S8" i="15"/>
  <c r="R8" i="15"/>
  <c r="Q8" i="15"/>
  <c r="P8" i="15"/>
  <c r="O8" i="15"/>
  <c r="N8" i="15"/>
  <c r="M8" i="15"/>
  <c r="AI7" i="15"/>
  <c r="AG7" i="15"/>
  <c r="AF7" i="15"/>
  <c r="AE7" i="15"/>
  <c r="AD7" i="15"/>
  <c r="AC7" i="15"/>
  <c r="AB7" i="15"/>
  <c r="AA7" i="15"/>
  <c r="Y7" i="15"/>
  <c r="X7" i="15"/>
  <c r="V7" i="15"/>
  <c r="U7" i="15"/>
  <c r="S7" i="15"/>
  <c r="R7" i="15"/>
  <c r="Q7" i="15"/>
  <c r="P7" i="15"/>
  <c r="O7" i="15"/>
  <c r="N7" i="15"/>
  <c r="M7" i="15"/>
  <c r="AI6" i="15"/>
  <c r="AG6" i="15"/>
  <c r="AF6" i="15"/>
  <c r="AE6" i="15"/>
  <c r="AD6" i="15"/>
  <c r="AC6" i="15"/>
  <c r="AB6" i="15"/>
  <c r="AA6" i="15"/>
  <c r="Y6" i="15"/>
  <c r="X6" i="15"/>
  <c r="V6" i="15"/>
  <c r="U6" i="15"/>
  <c r="S6" i="15"/>
  <c r="R6" i="15"/>
  <c r="Q6" i="15"/>
  <c r="P6" i="15"/>
  <c r="O6" i="15"/>
  <c r="N6" i="15"/>
  <c r="M6" i="15"/>
  <c r="AI5" i="15"/>
  <c r="AG5" i="15"/>
  <c r="AF5" i="15"/>
  <c r="AE5" i="15"/>
  <c r="AD5" i="15"/>
  <c r="AC5" i="15"/>
  <c r="AB5" i="15"/>
  <c r="AA5" i="15"/>
  <c r="Y5" i="15"/>
  <c r="X5" i="15"/>
  <c r="V5" i="15"/>
  <c r="U5" i="15"/>
  <c r="S5" i="15"/>
  <c r="R5" i="15"/>
  <c r="Q5" i="15"/>
  <c r="P5" i="15"/>
  <c r="O5" i="15"/>
  <c r="N5" i="15"/>
  <c r="M5" i="15"/>
  <c r="C44" i="6"/>
  <c r="C43" i="6"/>
  <c r="C42" i="6"/>
  <c r="C41" i="6"/>
  <c r="C40" i="6"/>
  <c r="C39" i="6"/>
  <c r="C38" i="6"/>
  <c r="C37" i="6"/>
  <c r="C36" i="6"/>
  <c r="C35" i="6"/>
  <c r="C34" i="6"/>
  <c r="C33" i="6"/>
  <c r="C32" i="6"/>
  <c r="C31" i="6"/>
  <c r="C30" i="6"/>
  <c r="C29" i="6"/>
  <c r="C28" i="6"/>
  <c r="C27" i="6"/>
  <c r="C26" i="6"/>
  <c r="B69" i="7"/>
  <c r="B70" i="7" s="1"/>
  <c r="B71" i="7" s="1"/>
  <c r="A31" i="7" a="1"/>
  <c r="A31" i="7" s="1"/>
  <c r="D11" i="7"/>
  <c r="F11" i="7" s="1"/>
  <c r="G11" i="7" s="1"/>
  <c r="D10" i="7"/>
  <c r="F10" i="7" s="1"/>
  <c r="G10" i="7" s="1"/>
  <c r="D9" i="7"/>
  <c r="F9" i="7" s="1"/>
  <c r="G9" i="7" s="1"/>
  <c r="D8" i="7"/>
  <c r="F8" i="7" s="1"/>
  <c r="G8" i="7" s="1"/>
  <c r="C7" i="7"/>
  <c r="D7" i="7" s="1"/>
  <c r="F7" i="7" s="1"/>
  <c r="G7" i="7" s="1"/>
  <c r="D6" i="7"/>
  <c r="F6" i="7" s="1"/>
  <c r="G6" i="7" s="1"/>
  <c r="C6" i="7"/>
  <c r="C5" i="7"/>
  <c r="D5" i="7" s="1"/>
  <c r="F5" i="7" s="1"/>
  <c r="G5" i="7" s="1"/>
  <c r="BY110" i="1"/>
  <c r="BN110" i="1"/>
  <c r="BC110" i="1"/>
  <c r="AM110" i="1"/>
  <c r="D110" i="1"/>
  <c r="A119" i="14" s="1" a="1"/>
  <c r="A119" i="14" s="1"/>
  <c r="BY109" i="1"/>
  <c r="BN109" i="1"/>
  <c r="BC109" i="1"/>
  <c r="AM109" i="1"/>
  <c r="D109" i="1"/>
  <c r="A118" i="14" s="1" a="1"/>
  <c r="A118" i="14" s="1"/>
  <c r="BY108" i="1"/>
  <c r="BN108" i="1"/>
  <c r="BC108" i="1"/>
  <c r="AM108" i="1"/>
  <c r="D108" i="1"/>
  <c r="A117" i="14" s="1" a="1"/>
  <c r="A117" i="14" s="1"/>
  <c r="BY107" i="1"/>
  <c r="BN107" i="1"/>
  <c r="BC107" i="1"/>
  <c r="AM107" i="1"/>
  <c r="D107" i="1"/>
  <c r="A116" i="14" s="1" a="1"/>
  <c r="A116" i="14" s="1"/>
  <c r="BY106" i="1"/>
  <c r="BN106" i="1"/>
  <c r="BC106" i="1"/>
  <c r="AM106" i="1"/>
  <c r="D106" i="1"/>
  <c r="A115" i="14" s="1" a="1"/>
  <c r="A115" i="14" s="1"/>
  <c r="BY105" i="1"/>
  <c r="BN105" i="1"/>
  <c r="BC105" i="1"/>
  <c r="AM105" i="1"/>
  <c r="D105" i="1"/>
  <c r="A114" i="14" s="1" a="1"/>
  <c r="A114" i="14" s="1"/>
  <c r="BY104" i="1"/>
  <c r="BN104" i="1"/>
  <c r="BC104" i="1"/>
  <c r="AM104" i="1"/>
  <c r="D104" i="1"/>
  <c r="A113" i="14" s="1" a="1"/>
  <c r="A113" i="14" s="1"/>
  <c r="BY103" i="1"/>
  <c r="BN103" i="1"/>
  <c r="BC103" i="1"/>
  <c r="AM103" i="1"/>
  <c r="D103" i="1"/>
  <c r="A112" i="14" s="1" a="1"/>
  <c r="A112" i="14" s="1"/>
  <c r="BY102" i="1"/>
  <c r="BN102" i="1"/>
  <c r="BC102" i="1"/>
  <c r="AM102" i="1"/>
  <c r="D102" i="1"/>
  <c r="A111" i="14" s="1" a="1"/>
  <c r="A111" i="14" s="1"/>
  <c r="BY101" i="1"/>
  <c r="BN101" i="1"/>
  <c r="BC101" i="1"/>
  <c r="AM101" i="1"/>
  <c r="D101" i="1"/>
  <c r="A110" i="14" s="1" a="1"/>
  <c r="A110" i="14" s="1"/>
  <c r="BY100" i="1"/>
  <c r="BN100" i="1"/>
  <c r="BC100" i="1"/>
  <c r="AM100" i="1"/>
  <c r="D100" i="1"/>
  <c r="A109" i="14" s="1" a="1"/>
  <c r="A109" i="14" s="1"/>
  <c r="BY99" i="1"/>
  <c r="BN99" i="1"/>
  <c r="BC99" i="1"/>
  <c r="AM99" i="1"/>
  <c r="D99" i="1"/>
  <c r="A108" i="14" s="1" a="1"/>
  <c r="A108" i="14" s="1"/>
  <c r="BY98" i="1"/>
  <c r="BN98" i="1"/>
  <c r="BC98" i="1"/>
  <c r="AM98" i="1"/>
  <c r="D98" i="1"/>
  <c r="A107" i="14" s="1" a="1"/>
  <c r="A107" i="14" s="1"/>
  <c r="BY97" i="1"/>
  <c r="BN97" i="1"/>
  <c r="BC97" i="1"/>
  <c r="AM97" i="1"/>
  <c r="D97" i="1"/>
  <c r="A106" i="14" s="1" a="1"/>
  <c r="A106" i="14" s="1"/>
  <c r="BY96" i="1"/>
  <c r="BN96" i="1"/>
  <c r="BC96" i="1"/>
  <c r="AM96" i="1"/>
  <c r="D96" i="1"/>
  <c r="A105" i="14" s="1" a="1"/>
  <c r="A105" i="14" s="1"/>
  <c r="BY95" i="1"/>
  <c r="BN95" i="1"/>
  <c r="BC95" i="1"/>
  <c r="AM95" i="1"/>
  <c r="D95" i="1"/>
  <c r="A104" i="14" s="1" a="1"/>
  <c r="A104" i="14" s="1"/>
  <c r="BY94" i="1"/>
  <c r="BN94" i="1"/>
  <c r="BC94" i="1"/>
  <c r="AM94" i="1"/>
  <c r="D94" i="1"/>
  <c r="A103" i="14" s="1" a="1"/>
  <c r="A103" i="14" s="1"/>
  <c r="BY93" i="1"/>
  <c r="BN93" i="1"/>
  <c r="BC93" i="1"/>
  <c r="AM93" i="1"/>
  <c r="D93" i="1"/>
  <c r="A102" i="14" s="1" a="1"/>
  <c r="A102" i="14" s="1"/>
  <c r="BY92" i="1"/>
  <c r="BN92" i="1"/>
  <c r="BC92" i="1"/>
  <c r="AM92" i="1"/>
  <c r="D92" i="1"/>
  <c r="A101" i="14" s="1" a="1"/>
  <c r="A101" i="14" s="1"/>
  <c r="BY91" i="1"/>
  <c r="BN91" i="1"/>
  <c r="BC91" i="1"/>
  <c r="AM91" i="1"/>
  <c r="D91" i="1"/>
  <c r="A100" i="14" s="1" a="1"/>
  <c r="A100" i="14" s="1"/>
  <c r="BY90" i="1"/>
  <c r="BN90" i="1"/>
  <c r="BC90" i="1"/>
  <c r="AM90" i="1"/>
  <c r="D90" i="1"/>
  <c r="A99" i="14" s="1" a="1"/>
  <c r="A99" i="14" s="1"/>
  <c r="BY89" i="1"/>
  <c r="BN89" i="1"/>
  <c r="BC89" i="1"/>
  <c r="AM89" i="1"/>
  <c r="D89" i="1"/>
  <c r="A98" i="14" s="1" a="1"/>
  <c r="A98" i="14" s="1"/>
  <c r="BY88" i="1"/>
  <c r="BN88" i="1"/>
  <c r="BC88" i="1"/>
  <c r="AM88" i="1"/>
  <c r="D88" i="1"/>
  <c r="A97" i="14" s="1" a="1"/>
  <c r="A97" i="14" s="1"/>
  <c r="BY87" i="1"/>
  <c r="BN87" i="1"/>
  <c r="BC87" i="1"/>
  <c r="AM87" i="1"/>
  <c r="D87" i="1"/>
  <c r="A96" i="14" s="1" a="1"/>
  <c r="A96" i="14" s="1"/>
  <c r="BY86" i="1"/>
  <c r="BN86" i="1"/>
  <c r="BC86" i="1"/>
  <c r="AM86" i="1"/>
  <c r="D86" i="1"/>
  <c r="A95" i="14" s="1" a="1"/>
  <c r="A95" i="14" s="1"/>
  <c r="BY85" i="1"/>
  <c r="BN85" i="1"/>
  <c r="BC85" i="1"/>
  <c r="AM85" i="1"/>
  <c r="D85" i="1"/>
  <c r="A94" i="14" s="1" a="1"/>
  <c r="A94" i="14" s="1"/>
  <c r="BY84" i="1"/>
  <c r="BN84" i="1"/>
  <c r="BC84" i="1"/>
  <c r="AM84" i="1"/>
  <c r="D84" i="1"/>
  <c r="A93" i="14" s="1" a="1"/>
  <c r="A93" i="14" s="1"/>
  <c r="BY83" i="1"/>
  <c r="BN83" i="1"/>
  <c r="BC83" i="1"/>
  <c r="AM83" i="1"/>
  <c r="D83" i="1"/>
  <c r="A92" i="14" s="1" a="1"/>
  <c r="A92" i="14" s="1"/>
  <c r="BY82" i="1"/>
  <c r="BN82" i="1"/>
  <c r="BC82" i="1"/>
  <c r="AM82" i="1"/>
  <c r="D82" i="1"/>
  <c r="A91" i="14" s="1" a="1"/>
  <c r="A91" i="14" s="1"/>
  <c r="BY81" i="1"/>
  <c r="BN81" i="1"/>
  <c r="BC81" i="1"/>
  <c r="AM81" i="1"/>
  <c r="D81" i="1"/>
  <c r="A90" i="14" s="1" a="1"/>
  <c r="A90" i="14" s="1"/>
  <c r="BY80" i="1"/>
  <c r="BN80" i="1"/>
  <c r="BC80" i="1"/>
  <c r="AM80" i="1"/>
  <c r="D80" i="1"/>
  <c r="A89" i="14" s="1" a="1"/>
  <c r="A89" i="14" s="1"/>
  <c r="BY79" i="1"/>
  <c r="BN79" i="1"/>
  <c r="BC79" i="1"/>
  <c r="AM79" i="1"/>
  <c r="D79" i="1"/>
  <c r="A88" i="14" s="1" a="1"/>
  <c r="A88" i="14" s="1"/>
  <c r="BY78" i="1"/>
  <c r="BN78" i="1"/>
  <c r="BC78" i="1"/>
  <c r="AM78" i="1"/>
  <c r="D78" i="1"/>
  <c r="A87" i="14" s="1" a="1"/>
  <c r="A87" i="14" s="1"/>
  <c r="BY77" i="1"/>
  <c r="BN77" i="1"/>
  <c r="BC77" i="1"/>
  <c r="AM77" i="1"/>
  <c r="D77" i="1"/>
  <c r="A86" i="14" s="1" a="1"/>
  <c r="A86" i="14" s="1"/>
  <c r="BY76" i="1"/>
  <c r="BN76" i="1"/>
  <c r="BC76" i="1"/>
  <c r="AM76" i="1"/>
  <c r="D76" i="1"/>
  <c r="A85" i="14" s="1" a="1"/>
  <c r="A85" i="14" s="1"/>
  <c r="BY75" i="1"/>
  <c r="BN75" i="1"/>
  <c r="BC75" i="1"/>
  <c r="AM75" i="1"/>
  <c r="D75" i="1"/>
  <c r="A84" i="14" s="1" a="1"/>
  <c r="A84" i="14" s="1"/>
  <c r="BY74" i="1"/>
  <c r="BN74" i="1"/>
  <c r="BC74" i="1"/>
  <c r="AM74" i="1"/>
  <c r="D74" i="1"/>
  <c r="A83" i="14" s="1" a="1"/>
  <c r="A83" i="14" s="1"/>
  <c r="BY73" i="1"/>
  <c r="BN73" i="1"/>
  <c r="BC73" i="1"/>
  <c r="AM73" i="1"/>
  <c r="D73" i="1"/>
  <c r="A82" i="14" s="1" a="1"/>
  <c r="A82" i="14" s="1"/>
  <c r="BY72" i="1"/>
  <c r="BN72" i="1"/>
  <c r="BC72" i="1"/>
  <c r="AM72" i="1"/>
  <c r="D72" i="1"/>
  <c r="A81" i="14" s="1" a="1"/>
  <c r="A81" i="14" s="1"/>
  <c r="BY71" i="1"/>
  <c r="BN71" i="1"/>
  <c r="BC71" i="1"/>
  <c r="AM71" i="1"/>
  <c r="D71" i="1"/>
  <c r="A80" i="14" s="1" a="1"/>
  <c r="A80" i="14" s="1"/>
  <c r="BY70" i="1"/>
  <c r="BN70" i="1"/>
  <c r="BC70" i="1"/>
  <c r="AM70" i="1"/>
  <c r="D70" i="1"/>
  <c r="A79" i="14" s="1" a="1"/>
  <c r="A79" i="14" s="1"/>
  <c r="BY69" i="1"/>
  <c r="BN69" i="1"/>
  <c r="BC69" i="1"/>
  <c r="AM69" i="1"/>
  <c r="D69" i="1"/>
  <c r="A78" i="14" s="1" a="1"/>
  <c r="A78" i="14" s="1"/>
  <c r="BY68" i="1"/>
  <c r="BN68" i="1"/>
  <c r="BC68" i="1"/>
  <c r="AM68" i="1"/>
  <c r="D68" i="1"/>
  <c r="A77" i="14" s="1" a="1"/>
  <c r="A77" i="14" s="1"/>
  <c r="BY67" i="1"/>
  <c r="BN67" i="1"/>
  <c r="BC67" i="1"/>
  <c r="AM67" i="1"/>
  <c r="D67" i="1"/>
  <c r="A76" i="14" s="1" a="1"/>
  <c r="A76" i="14" s="1"/>
  <c r="BY66" i="1"/>
  <c r="BN66" i="1"/>
  <c r="BC66" i="1"/>
  <c r="AM66" i="1"/>
  <c r="D66" i="1"/>
  <c r="A75" i="14" s="1" a="1"/>
  <c r="A75" i="14" s="1"/>
  <c r="BY65" i="1"/>
  <c r="BN65" i="1"/>
  <c r="BC65" i="1"/>
  <c r="AM65" i="1"/>
  <c r="D65" i="1"/>
  <c r="A74" i="14" s="1" a="1"/>
  <c r="A74" i="14" s="1"/>
  <c r="BY64" i="1"/>
  <c r="BN64" i="1"/>
  <c r="BC64" i="1"/>
  <c r="AM64" i="1"/>
  <c r="D64" i="1"/>
  <c r="A73" i="14" s="1" a="1"/>
  <c r="A73" i="14" s="1"/>
  <c r="BY63" i="1"/>
  <c r="BN63" i="1"/>
  <c r="BC63" i="1"/>
  <c r="AM63" i="1"/>
  <c r="D63" i="1"/>
  <c r="A72" i="14" s="1" a="1"/>
  <c r="A72" i="14" s="1"/>
  <c r="BY62" i="1"/>
  <c r="BN62" i="1"/>
  <c r="BC62" i="1"/>
  <c r="AM62" i="1"/>
  <c r="D62" i="1"/>
  <c r="A71" i="14" s="1" a="1"/>
  <c r="A71" i="14" s="1"/>
  <c r="BY61" i="1"/>
  <c r="BN61" i="1"/>
  <c r="BC61" i="1"/>
  <c r="AM61" i="1"/>
  <c r="D61" i="1"/>
  <c r="A70" i="14" s="1" a="1"/>
  <c r="A70" i="14" s="1"/>
  <c r="BY60" i="1"/>
  <c r="BN60" i="1"/>
  <c r="BC60" i="1"/>
  <c r="AM60" i="1"/>
  <c r="D60" i="1"/>
  <c r="A69" i="14" s="1" a="1"/>
  <c r="A69" i="14" s="1"/>
  <c r="BY59" i="1"/>
  <c r="BN59" i="1"/>
  <c r="BC59" i="1"/>
  <c r="AM59" i="1"/>
  <c r="D59" i="1"/>
  <c r="A68" i="14" s="1" a="1"/>
  <c r="A68" i="14" s="1"/>
  <c r="BY58" i="1"/>
  <c r="BN58" i="1"/>
  <c r="BC58" i="1"/>
  <c r="AM58" i="1"/>
  <c r="D58" i="1"/>
  <c r="A67" i="14" s="1" a="1"/>
  <c r="A67" i="14" s="1"/>
  <c r="BY57" i="1"/>
  <c r="BN57" i="1"/>
  <c r="BC57" i="1"/>
  <c r="AM57" i="1"/>
  <c r="D57" i="1"/>
  <c r="A66" i="14" s="1" a="1"/>
  <c r="A66" i="14" s="1"/>
  <c r="BY56" i="1"/>
  <c r="BN56" i="1"/>
  <c r="BC56" i="1"/>
  <c r="AM56" i="1"/>
  <c r="D56" i="1"/>
  <c r="A65" i="14" s="1" a="1"/>
  <c r="A65" i="14" s="1"/>
  <c r="BY55" i="1"/>
  <c r="BN55" i="1"/>
  <c r="BC55" i="1"/>
  <c r="AM55" i="1"/>
  <c r="D55" i="1"/>
  <c r="A64" i="14" s="1" a="1"/>
  <c r="A64" i="14" s="1"/>
  <c r="BY54" i="1"/>
  <c r="BN54" i="1"/>
  <c r="BC54" i="1"/>
  <c r="AM54" i="1"/>
  <c r="D54" i="1"/>
  <c r="A63" i="14" s="1" a="1"/>
  <c r="A63" i="14" s="1"/>
  <c r="BY53" i="1"/>
  <c r="BN53" i="1"/>
  <c r="BC53" i="1"/>
  <c r="AM53" i="1"/>
  <c r="D53" i="1"/>
  <c r="A62" i="14" s="1" a="1"/>
  <c r="A62" i="14" s="1"/>
  <c r="BY52" i="1"/>
  <c r="BN52" i="1"/>
  <c r="BC52" i="1"/>
  <c r="AM52" i="1"/>
  <c r="D52" i="1"/>
  <c r="A61" i="14" s="1" a="1"/>
  <c r="A61" i="14" s="1"/>
  <c r="BY51" i="1"/>
  <c r="BN51" i="1"/>
  <c r="BC51" i="1"/>
  <c r="AM51" i="1"/>
  <c r="D51" i="1"/>
  <c r="A60" i="14" s="1" a="1"/>
  <c r="A60" i="14" s="1"/>
  <c r="BY50" i="1"/>
  <c r="BN50" i="1"/>
  <c r="BC50" i="1"/>
  <c r="AM50" i="1"/>
  <c r="D50" i="1"/>
  <c r="A59" i="14" s="1" a="1"/>
  <c r="A59" i="14" s="1"/>
  <c r="BY49" i="1"/>
  <c r="BN49" i="1"/>
  <c r="BC49" i="1"/>
  <c r="AM49" i="1"/>
  <c r="D49" i="1"/>
  <c r="A58" i="14" s="1" a="1"/>
  <c r="A58" i="14" s="1"/>
  <c r="BY48" i="1"/>
  <c r="BN48" i="1"/>
  <c r="BC48" i="1"/>
  <c r="AM48" i="1"/>
  <c r="D48" i="1"/>
  <c r="A57" i="14" s="1" a="1"/>
  <c r="A57" i="14" s="1"/>
  <c r="BY47" i="1"/>
  <c r="BN47" i="1"/>
  <c r="BC47" i="1"/>
  <c r="AM47" i="1"/>
  <c r="D47" i="1"/>
  <c r="A56" i="14" s="1" a="1"/>
  <c r="A56" i="14" s="1"/>
  <c r="BY46" i="1"/>
  <c r="BN46" i="1"/>
  <c r="BC46" i="1"/>
  <c r="AM46" i="1"/>
  <c r="D46" i="1"/>
  <c r="A55" i="14" s="1" a="1"/>
  <c r="A55" i="14" s="1"/>
  <c r="BY45" i="1"/>
  <c r="BN45" i="1"/>
  <c r="BC45" i="1"/>
  <c r="AM45" i="1"/>
  <c r="D45" i="1"/>
  <c r="A54" i="14" s="1" a="1"/>
  <c r="A54" i="14" s="1"/>
  <c r="BY44" i="1"/>
  <c r="BN44" i="1"/>
  <c r="BC44" i="1"/>
  <c r="AM44" i="1"/>
  <c r="D44" i="1"/>
  <c r="A53" i="14" s="1" a="1"/>
  <c r="A53" i="14" s="1"/>
  <c r="BY43" i="1"/>
  <c r="BN43" i="1"/>
  <c r="BC43" i="1"/>
  <c r="AM43" i="1"/>
  <c r="D43" i="1"/>
  <c r="A52" i="14" s="1" a="1"/>
  <c r="A52" i="14" s="1"/>
  <c r="BY42" i="1"/>
  <c r="BN42" i="1"/>
  <c r="BC42" i="1"/>
  <c r="AM42" i="1"/>
  <c r="D42" i="1"/>
  <c r="A51" i="14" s="1" a="1"/>
  <c r="A51" i="14" s="1"/>
  <c r="BY41" i="1"/>
  <c r="BN41" i="1"/>
  <c r="BC41" i="1"/>
  <c r="AM41" i="1"/>
  <c r="D41" i="1"/>
  <c r="A50" i="14" s="1" a="1"/>
  <c r="A50" i="14" s="1"/>
  <c r="BY40" i="1"/>
  <c r="BN40" i="1"/>
  <c r="BC40" i="1"/>
  <c r="AM40" i="1"/>
  <c r="D40" i="1"/>
  <c r="A49" i="14" s="1" a="1"/>
  <c r="A49" i="14" s="1"/>
  <c r="BY39" i="1"/>
  <c r="BN39" i="1"/>
  <c r="BC39" i="1"/>
  <c r="AM39" i="1"/>
  <c r="D39" i="1"/>
  <c r="A48" i="14" s="1" a="1"/>
  <c r="A48" i="14" s="1"/>
  <c r="BY38" i="1"/>
  <c r="BN38" i="1"/>
  <c r="BC38" i="1"/>
  <c r="AM38" i="1"/>
  <c r="D38" i="1"/>
  <c r="A47" i="14" s="1" a="1"/>
  <c r="A47" i="14" s="1"/>
  <c r="BY37" i="1"/>
  <c r="BN37" i="1"/>
  <c r="BC37" i="1"/>
  <c r="AM37" i="1"/>
  <c r="D37" i="1"/>
  <c r="A46" i="14" s="1" a="1"/>
  <c r="A46" i="14" s="1"/>
  <c r="BY36" i="1"/>
  <c r="BN36" i="1"/>
  <c r="BC36" i="1"/>
  <c r="AM36" i="1"/>
  <c r="D36" i="1"/>
  <c r="A45" i="14" s="1" a="1"/>
  <c r="A45" i="14" s="1"/>
  <c r="BY35" i="1"/>
  <c r="BN35" i="1"/>
  <c r="BC35" i="1"/>
  <c r="AM35" i="1"/>
  <c r="D35" i="1"/>
  <c r="A44" i="14" s="1" a="1"/>
  <c r="A44" i="14" s="1"/>
  <c r="BY34" i="1"/>
  <c r="BN34" i="1"/>
  <c r="BC34" i="1"/>
  <c r="AM34" i="1"/>
  <c r="D34" i="1"/>
  <c r="A43" i="14" s="1" a="1"/>
  <c r="A43" i="14" s="1"/>
  <c r="BY33" i="1"/>
  <c r="BN33" i="1"/>
  <c r="BC33" i="1"/>
  <c r="AM33" i="1"/>
  <c r="D33" i="1"/>
  <c r="A42" i="14" s="1" a="1"/>
  <c r="A42" i="14" s="1"/>
  <c r="BY32" i="1"/>
  <c r="BN32" i="1"/>
  <c r="BC32" i="1"/>
  <c r="AM32" i="1"/>
  <c r="D32" i="1"/>
  <c r="A41" i="14" s="1" a="1"/>
  <c r="A41" i="14" s="1"/>
  <c r="BY31" i="1"/>
  <c r="BN31" i="1"/>
  <c r="BC31" i="1"/>
  <c r="AM31" i="1"/>
  <c r="D31" i="1"/>
  <c r="A40" i="14" s="1" a="1"/>
  <c r="A40" i="14" s="1"/>
  <c r="BY30" i="1"/>
  <c r="BN30" i="1"/>
  <c r="BC30" i="1"/>
  <c r="AM30" i="1"/>
  <c r="D30" i="1"/>
  <c r="A39" i="14" s="1" a="1"/>
  <c r="A39" i="14" s="1"/>
  <c r="BY29" i="1"/>
  <c r="BN29" i="1"/>
  <c r="BC29" i="1"/>
  <c r="AM29" i="1"/>
  <c r="D29" i="1"/>
  <c r="A38" i="14" s="1" a="1"/>
  <c r="A38" i="14" s="1"/>
  <c r="BY28" i="1"/>
  <c r="BN28" i="1"/>
  <c r="BC28" i="1"/>
  <c r="AM28" i="1"/>
  <c r="D28" i="1"/>
  <c r="A37" i="14" s="1" a="1"/>
  <c r="A37" i="14" s="1"/>
  <c r="BY27" i="1"/>
  <c r="BN27" i="1"/>
  <c r="BC27" i="1"/>
  <c r="AM27" i="1"/>
  <c r="D27" i="1"/>
  <c r="A36" i="14" s="1" a="1"/>
  <c r="A36" i="14" s="1"/>
  <c r="BY26" i="1"/>
  <c r="BN26" i="1"/>
  <c r="BC26" i="1"/>
  <c r="AM26" i="1"/>
  <c r="D26" i="1"/>
  <c r="A35" i="14" s="1" a="1"/>
  <c r="A35" i="14" s="1"/>
  <c r="BY25" i="1"/>
  <c r="BN25" i="1"/>
  <c r="BC25" i="1"/>
  <c r="AM25" i="1"/>
  <c r="D25" i="1"/>
  <c r="A34" i="14" s="1" a="1"/>
  <c r="A34" i="14" s="1"/>
  <c r="BY24" i="1"/>
  <c r="BN24" i="1"/>
  <c r="BC24" i="1"/>
  <c r="AM24" i="1"/>
  <c r="D24" i="1"/>
  <c r="A33" i="14" s="1" a="1"/>
  <c r="A33" i="14" s="1"/>
  <c r="BY23" i="1"/>
  <c r="BN23" i="1"/>
  <c r="BC23" i="1"/>
  <c r="AM23" i="1"/>
  <c r="D23" i="1"/>
  <c r="A32" i="14" s="1" a="1"/>
  <c r="A32" i="14" s="1"/>
  <c r="BY22" i="1"/>
  <c r="BN22" i="1"/>
  <c r="BC22" i="1"/>
  <c r="AM22" i="1"/>
  <c r="D22" i="1"/>
  <c r="A31" i="14" s="1" a="1"/>
  <c r="A31" i="14" s="1"/>
  <c r="BY21" i="1"/>
  <c r="BN21" i="1"/>
  <c r="BC21" i="1"/>
  <c r="AM21" i="1"/>
  <c r="D21" i="1"/>
  <c r="A30" i="14" s="1" a="1"/>
  <c r="A30" i="14" s="1"/>
  <c r="BY20" i="1"/>
  <c r="BN20" i="1"/>
  <c r="BC20" i="1"/>
  <c r="AM20" i="1"/>
  <c r="D20" i="1"/>
  <c r="A29" i="14" s="1" a="1"/>
  <c r="A29" i="14" s="1"/>
  <c r="BY19" i="1"/>
  <c r="BN19" i="1"/>
  <c r="BC19" i="1"/>
  <c r="AM19" i="1"/>
  <c r="D19" i="1"/>
  <c r="A28" i="14" s="1" a="1"/>
  <c r="A28" i="14" s="1"/>
  <c r="BY18" i="1"/>
  <c r="BN18" i="1"/>
  <c r="BC18" i="1"/>
  <c r="AM18" i="1"/>
  <c r="D18" i="1"/>
  <c r="A27" i="14" s="1" a="1"/>
  <c r="A27" i="14" s="1"/>
  <c r="BY17" i="1"/>
  <c r="BN17" i="1"/>
  <c r="BC17" i="1"/>
  <c r="AM17" i="1"/>
  <c r="D17" i="1"/>
  <c r="A26" i="14" s="1" a="1"/>
  <c r="A26" i="14" s="1"/>
  <c r="BY16" i="1"/>
  <c r="BN16" i="1"/>
  <c r="BC16" i="1"/>
  <c r="AM16" i="1"/>
  <c r="D16" i="1"/>
  <c r="A25" i="14" s="1" a="1"/>
  <c r="A25" i="14" s="1"/>
  <c r="BY15" i="1"/>
  <c r="BN15" i="1"/>
  <c r="BC15" i="1"/>
  <c r="AM15" i="1"/>
  <c r="D15" i="1"/>
  <c r="A24" i="14" s="1" a="1"/>
  <c r="A24" i="14" s="1"/>
  <c r="BY14" i="1"/>
  <c r="BN14" i="1"/>
  <c r="BC14" i="1"/>
  <c r="AM14" i="1"/>
  <c r="D14" i="1"/>
  <c r="A23" i="14" s="1" a="1"/>
  <c r="A23" i="14" s="1"/>
  <c r="BY13" i="1"/>
  <c r="BN13" i="1"/>
  <c r="BC13" i="1"/>
  <c r="AM13" i="1"/>
  <c r="D13" i="1"/>
  <c r="A22" i="14" s="1" a="1"/>
  <c r="A22" i="14" s="1"/>
  <c r="BY12" i="1"/>
  <c r="BN12" i="1"/>
  <c r="BC12" i="1"/>
  <c r="AM12" i="1"/>
  <c r="D12" i="1"/>
  <c r="A21" i="14" s="1" a="1"/>
  <c r="A21" i="14" s="1"/>
  <c r="BY11" i="1"/>
  <c r="D11" i="1"/>
  <c r="A20" i="14" s="1" a="1"/>
  <c r="A20" i="14" s="1"/>
  <c r="BY10" i="1"/>
  <c r="BN10" i="1"/>
  <c r="BC10" i="1"/>
  <c r="AM10" i="1"/>
  <c r="D10" i="1"/>
  <c r="A19" i="14" s="1" a="1"/>
  <c r="A19" i="14" s="1"/>
  <c r="BN9" i="1"/>
  <c r="BC9" i="1"/>
  <c r="AM9" i="1"/>
  <c r="D9" i="1"/>
  <c r="A18" i="14" s="1" a="1"/>
  <c r="A18" i="14" s="1"/>
  <c r="BY8" i="1"/>
  <c r="BN8" i="1"/>
  <c r="BC8" i="1"/>
  <c r="AM8" i="1"/>
  <c r="D8" i="1"/>
  <c r="BY7" i="1"/>
  <c r="BN7" i="1"/>
  <c r="BC7" i="1"/>
  <c r="AM7" i="1"/>
  <c r="AK2" i="1"/>
  <c r="B1" i="1"/>
  <c r="CV112" i="9"/>
  <c r="AY112" i="9"/>
  <c r="C112" i="9"/>
  <c r="CV111" i="9"/>
  <c r="AY111" i="9"/>
  <c r="C111" i="9"/>
  <c r="CV110" i="9"/>
  <c r="AY110" i="9"/>
  <c r="C110" i="9"/>
  <c r="CV109" i="9"/>
  <c r="AY109" i="9"/>
  <c r="C109" i="9"/>
  <c r="CV108" i="9"/>
  <c r="AY108" i="9"/>
  <c r="C108" i="9"/>
  <c r="CV107" i="9"/>
  <c r="AY107" i="9"/>
  <c r="C107" i="9"/>
  <c r="CV106" i="9"/>
  <c r="AY106" i="9"/>
  <c r="C106" i="9"/>
  <c r="CV105" i="9"/>
  <c r="AY105" i="9"/>
  <c r="C105" i="9"/>
  <c r="CV104" i="9"/>
  <c r="AY104" i="9"/>
  <c r="C104" i="9"/>
  <c r="CV103" i="9"/>
  <c r="AY103" i="9"/>
  <c r="C103" i="9"/>
  <c r="CV102" i="9"/>
  <c r="AY102" i="9"/>
  <c r="C102" i="9"/>
  <c r="CV101" i="9"/>
  <c r="AY101" i="9"/>
  <c r="C101" i="9"/>
  <c r="CV100" i="9"/>
  <c r="AY100" i="9"/>
  <c r="C100" i="9"/>
  <c r="CV99" i="9"/>
  <c r="AY99" i="9"/>
  <c r="C99" i="9"/>
  <c r="CV98" i="9"/>
  <c r="AY98" i="9"/>
  <c r="C98" i="9"/>
  <c r="CV97" i="9"/>
  <c r="AY97" i="9"/>
  <c r="C97" i="9"/>
  <c r="CV96" i="9"/>
  <c r="AY96" i="9"/>
  <c r="C96" i="9"/>
  <c r="CV95" i="9"/>
  <c r="AY95" i="9"/>
  <c r="C95" i="9"/>
  <c r="CV94" i="9"/>
  <c r="AY94" i="9"/>
  <c r="C94" i="9"/>
  <c r="CV93" i="9"/>
  <c r="AY93" i="9"/>
  <c r="C93" i="9"/>
  <c r="CV92" i="9"/>
  <c r="AY92" i="9"/>
  <c r="C92" i="9"/>
  <c r="CV91" i="9"/>
  <c r="AY91" i="9"/>
  <c r="C91" i="9"/>
  <c r="CV90" i="9"/>
  <c r="AY90" i="9"/>
  <c r="C90" i="9"/>
  <c r="CV89" i="9"/>
  <c r="AY89" i="9"/>
  <c r="C89" i="9"/>
  <c r="CV88" i="9"/>
  <c r="AY88" i="9"/>
  <c r="C88" i="9"/>
  <c r="CV87" i="9"/>
  <c r="AY87" i="9"/>
  <c r="C87" i="9"/>
  <c r="CV86" i="9"/>
  <c r="AY86" i="9"/>
  <c r="C86" i="9"/>
  <c r="CV85" i="9"/>
  <c r="AY85" i="9"/>
  <c r="C85" i="9"/>
  <c r="CV84" i="9"/>
  <c r="AY84" i="9"/>
  <c r="C84" i="9"/>
  <c r="CV83" i="9"/>
  <c r="AY83" i="9"/>
  <c r="C83" i="9"/>
  <c r="CV82" i="9"/>
  <c r="AY82" i="9"/>
  <c r="C82" i="9"/>
  <c r="CV81" i="9"/>
  <c r="AY81" i="9"/>
  <c r="C81" i="9"/>
  <c r="CV80" i="9"/>
  <c r="AY80" i="9"/>
  <c r="C80" i="9"/>
  <c r="CV79" i="9"/>
  <c r="AY79" i="9"/>
  <c r="C79" i="9"/>
  <c r="CV78" i="9"/>
  <c r="AY78" i="9"/>
  <c r="C78" i="9"/>
  <c r="CV77" i="9"/>
  <c r="AY77" i="9"/>
  <c r="C77" i="9"/>
  <c r="CV76" i="9"/>
  <c r="AY76" i="9"/>
  <c r="C76" i="9"/>
  <c r="CV75" i="9"/>
  <c r="AY75" i="9"/>
  <c r="C75" i="9"/>
  <c r="CV74" i="9"/>
  <c r="AY74" i="9"/>
  <c r="C74" i="9"/>
  <c r="CV73" i="9"/>
  <c r="AY73" i="9"/>
  <c r="C73" i="9"/>
  <c r="CV72" i="9"/>
  <c r="AY72" i="9"/>
  <c r="C72" i="9"/>
  <c r="CV71" i="9"/>
  <c r="AY71" i="9"/>
  <c r="C71" i="9"/>
  <c r="CV70" i="9"/>
  <c r="AY70" i="9"/>
  <c r="C70" i="9"/>
  <c r="CV69" i="9"/>
  <c r="AY69" i="9"/>
  <c r="C69" i="9"/>
  <c r="CV68" i="9"/>
  <c r="AY68" i="9"/>
  <c r="C68" i="9"/>
  <c r="CV67" i="9"/>
  <c r="AY67" i="9"/>
  <c r="C67" i="9"/>
  <c r="CV66" i="9"/>
  <c r="AY66" i="9"/>
  <c r="C66" i="9"/>
  <c r="CV65" i="9"/>
  <c r="AY65" i="9"/>
  <c r="C65" i="9"/>
  <c r="CV64" i="9"/>
  <c r="AY64" i="9"/>
  <c r="C64" i="9"/>
  <c r="CV63" i="9"/>
  <c r="AY63" i="9"/>
  <c r="C63" i="9"/>
  <c r="CV62" i="9"/>
  <c r="AY62" i="9"/>
  <c r="C62" i="9"/>
  <c r="CV61" i="9"/>
  <c r="AY61" i="9"/>
  <c r="C61" i="9"/>
  <c r="CV60" i="9"/>
  <c r="AY60" i="9"/>
  <c r="C60" i="9"/>
  <c r="CV59" i="9"/>
  <c r="AY59" i="9"/>
  <c r="C59" i="9"/>
  <c r="CV58" i="9"/>
  <c r="AY58" i="9"/>
  <c r="C58" i="9"/>
  <c r="CV57" i="9"/>
  <c r="AY57" i="9"/>
  <c r="C57" i="9"/>
  <c r="CV56" i="9"/>
  <c r="AY56" i="9"/>
  <c r="C56" i="9"/>
  <c r="CV55" i="9"/>
  <c r="AY55" i="9"/>
  <c r="C55" i="9"/>
  <c r="CV54" i="9"/>
  <c r="AY54" i="9"/>
  <c r="C54" i="9"/>
  <c r="CV53" i="9"/>
  <c r="AY53" i="9"/>
  <c r="C53" i="9"/>
  <c r="CV52" i="9"/>
  <c r="AY52" i="9"/>
  <c r="C52" i="9"/>
  <c r="CV51" i="9"/>
  <c r="AY51" i="9"/>
  <c r="C51" i="9"/>
  <c r="CV50" i="9"/>
  <c r="AY50" i="9"/>
  <c r="C50" i="9"/>
  <c r="CV49" i="9"/>
  <c r="AY49" i="9"/>
  <c r="C49" i="9"/>
  <c r="CV48" i="9"/>
  <c r="AY48" i="9"/>
  <c r="C48" i="9"/>
  <c r="CV47" i="9"/>
  <c r="AY47" i="9"/>
  <c r="C47" i="9"/>
  <c r="CV46" i="9"/>
  <c r="AY46" i="9"/>
  <c r="C46" i="9"/>
  <c r="CV45" i="9"/>
  <c r="AY45" i="9"/>
  <c r="C45" i="9"/>
  <c r="CV44" i="9"/>
  <c r="AY44" i="9"/>
  <c r="C44" i="9"/>
  <c r="CV43" i="9"/>
  <c r="AY43" i="9"/>
  <c r="C43" i="9"/>
  <c r="CV42" i="9"/>
  <c r="AY42" i="9"/>
  <c r="C42" i="9"/>
  <c r="CV41" i="9"/>
  <c r="AY41" i="9"/>
  <c r="C41" i="9"/>
  <c r="CV40" i="9"/>
  <c r="AY40" i="9"/>
  <c r="C40" i="9"/>
  <c r="CV39" i="9"/>
  <c r="AY39" i="9"/>
  <c r="C39" i="9"/>
  <c r="CV38" i="9"/>
  <c r="AY38" i="9"/>
  <c r="C38" i="9"/>
  <c r="CV37" i="9"/>
  <c r="AY37" i="9"/>
  <c r="C37" i="9"/>
  <c r="CV36" i="9"/>
  <c r="AY36" i="9"/>
  <c r="C36" i="9"/>
  <c r="CV35" i="9"/>
  <c r="AY35" i="9"/>
  <c r="C35" i="9"/>
  <c r="CV34" i="9"/>
  <c r="AY34" i="9"/>
  <c r="C34" i="9"/>
  <c r="CV33" i="9"/>
  <c r="AY33" i="9"/>
  <c r="C33" i="9"/>
  <c r="CV32" i="9"/>
  <c r="AY32" i="9"/>
  <c r="C32" i="9"/>
  <c r="CV31" i="9"/>
  <c r="AY31" i="9"/>
  <c r="C31" i="9"/>
  <c r="CV30" i="9"/>
  <c r="AY30" i="9"/>
  <c r="C30" i="9"/>
  <c r="CV29" i="9"/>
  <c r="AY29" i="9"/>
  <c r="C29" i="9"/>
  <c r="CV28" i="9"/>
  <c r="AY28" i="9"/>
  <c r="C28" i="9"/>
  <c r="CV27" i="9"/>
  <c r="AY27" i="9"/>
  <c r="C27" i="9"/>
  <c r="CV26" i="9"/>
  <c r="AY26" i="9"/>
  <c r="C26" i="9"/>
  <c r="CV25" i="9"/>
  <c r="AY25" i="9"/>
  <c r="C25" i="9"/>
  <c r="CV24" i="9"/>
  <c r="AY24" i="9"/>
  <c r="C24" i="9"/>
  <c r="CV23" i="9"/>
  <c r="AY23" i="9"/>
  <c r="C23" i="9"/>
  <c r="CV22" i="9"/>
  <c r="AY22" i="9"/>
  <c r="C22" i="9"/>
  <c r="CV21" i="9"/>
  <c r="AY21" i="9"/>
  <c r="C21" i="9"/>
  <c r="CV20" i="9"/>
  <c r="AY20" i="9"/>
  <c r="C20" i="9"/>
  <c r="CV19" i="9"/>
  <c r="AY19" i="9"/>
  <c r="C19" i="9"/>
  <c r="CV18" i="9"/>
  <c r="AY18" i="9"/>
  <c r="C18" i="9"/>
  <c r="CV17" i="9"/>
  <c r="AY17" i="9"/>
  <c r="C17" i="9"/>
  <c r="CV16" i="9"/>
  <c r="AY16" i="9"/>
  <c r="C16" i="9"/>
  <c r="CV15" i="9"/>
  <c r="AY15" i="9"/>
  <c r="C15" i="9"/>
  <c r="CV14" i="9"/>
  <c r="AY14" i="9"/>
  <c r="C14" i="9"/>
  <c r="CV13" i="9"/>
  <c r="AY13" i="9"/>
  <c r="C13" i="9"/>
  <c r="CV12" i="9"/>
  <c r="AY12" i="9"/>
  <c r="C12" i="9"/>
  <c r="CV11" i="9"/>
  <c r="AY11" i="9"/>
  <c r="C11" i="9"/>
  <c r="CV10" i="9"/>
  <c r="AY10" i="9"/>
  <c r="C10" i="9"/>
  <c r="CV9" i="9"/>
  <c r="AY9" i="9"/>
  <c r="C9" i="9"/>
  <c r="F182" i="10"/>
  <c r="E182" i="10"/>
  <c r="D182" i="10"/>
  <c r="E174" i="10"/>
  <c r="D174" i="10"/>
  <c r="C174" i="10"/>
  <c r="E168" i="10"/>
  <c r="D168" i="10"/>
  <c r="C168" i="10"/>
  <c r="E165" i="10"/>
  <c r="E164" i="10"/>
  <c r="E163" i="10"/>
  <c r="D163" i="10"/>
  <c r="C163" i="10"/>
  <c r="E120" i="10"/>
  <c r="D120" i="10"/>
  <c r="C120" i="10"/>
  <c r="E117" i="10"/>
  <c r="D117" i="10"/>
  <c r="C117" i="10"/>
  <c r="E114" i="10"/>
  <c r="D114" i="10"/>
  <c r="C114" i="10"/>
  <c r="E110" i="10"/>
  <c r="D110" i="10"/>
  <c r="C110" i="10"/>
  <c r="E105" i="10"/>
  <c r="D105" i="10"/>
  <c r="C105" i="10"/>
  <c r="E100" i="10"/>
  <c r="D100" i="10"/>
  <c r="C100" i="10"/>
  <c r="E94" i="10"/>
  <c r="D94" i="10"/>
  <c r="C94" i="10"/>
  <c r="E88" i="10"/>
  <c r="D88" i="10"/>
  <c r="C88" i="10"/>
  <c r="E83" i="10"/>
  <c r="D83" i="10"/>
  <c r="C83" i="10"/>
  <c r="E78" i="10"/>
  <c r="D78" i="10"/>
  <c r="C78" i="10"/>
  <c r="E72" i="10"/>
  <c r="D72" i="10"/>
  <c r="C72" i="10"/>
  <c r="E67" i="10"/>
  <c r="D67" i="10"/>
  <c r="C67" i="10"/>
  <c r="E62" i="10"/>
  <c r="D62" i="10"/>
  <c r="C62" i="10"/>
  <c r="E57" i="10"/>
  <c r="D57" i="10"/>
  <c r="C57" i="10"/>
  <c r="E52" i="10"/>
  <c r="D52" i="10"/>
  <c r="C52" i="10"/>
  <c r="E33" i="10"/>
  <c r="D33" i="10"/>
  <c r="C33" i="10"/>
  <c r="H19" i="10"/>
  <c r="G19" i="10"/>
  <c r="F19" i="10"/>
  <c r="E19" i="10"/>
  <c r="D19" i="10"/>
  <c r="C19" i="10"/>
  <c r="C94" i="5"/>
  <c r="B94" i="5"/>
  <c r="W92" i="5"/>
  <c r="N92" i="5"/>
  <c r="E92" i="5"/>
  <c r="H53" i="5"/>
  <c r="E192" i="2"/>
  <c r="D192" i="2"/>
  <c r="B189" i="2"/>
  <c r="B188" i="2"/>
  <c r="B187" i="2"/>
  <c r="B186" i="2"/>
  <c r="B185" i="2"/>
  <c r="B184" i="2"/>
  <c r="B183" i="2"/>
  <c r="B181" i="2"/>
  <c r="B179" i="2"/>
  <c r="B178" i="2"/>
  <c r="B177" i="2"/>
  <c r="B176" i="2"/>
  <c r="B175" i="2"/>
  <c r="B174" i="2"/>
  <c r="B173" i="2"/>
  <c r="B171" i="2"/>
  <c r="B169" i="2"/>
  <c r="B168" i="2"/>
  <c r="B167" i="2"/>
  <c r="B166" i="2"/>
  <c r="B165" i="2"/>
  <c r="B164" i="2"/>
  <c r="B163" i="2"/>
  <c r="B161" i="2"/>
  <c r="F154" i="2" a="1"/>
  <c r="F154" i="2" s="1"/>
  <c r="F153" i="2" a="1"/>
  <c r="F153" i="2" s="1"/>
  <c r="E151" i="2"/>
  <c r="D151" i="2"/>
  <c r="C151" i="2"/>
  <c r="E144" i="2"/>
  <c r="D144" i="2"/>
  <c r="C144" i="2"/>
  <c r="D137" i="2"/>
  <c r="B128" i="2"/>
  <c r="D127" i="2"/>
  <c r="B118" i="2"/>
  <c r="E102" i="2"/>
  <c r="D95" i="2"/>
  <c r="C41" i="2"/>
  <c r="E44" i="2" s="1" a="1"/>
  <c r="E44" i="2" s="1"/>
  <c r="C39" i="2"/>
  <c r="C44" i="2" s="1" a="1"/>
  <c r="C44" i="2" s="1"/>
  <c r="D162" i="2" s="1"/>
  <c r="A17" i="14" l="1" a="1"/>
  <c r="A17" i="14" s="1"/>
  <c r="A16" i="14" a="1"/>
  <c r="A16" i="14" s="1"/>
  <c r="AP16" i="14" s="1" a="1"/>
  <c r="AP16" i="14" s="1"/>
  <c r="B48" i="16"/>
  <c r="B49" i="16" s="1"/>
  <c r="AV112" i="1" a="1"/>
  <c r="AV112" i="1" s="1"/>
  <c r="AP25" i="14" a="1"/>
  <c r="AP25" i="14" s="1"/>
  <c r="AO25" i="14" a="1"/>
  <c r="AO25" i="14" s="1"/>
  <c r="AM25" i="14" a="1"/>
  <c r="AM25" i="14" s="1"/>
  <c r="AN25" i="14" a="1"/>
  <c r="AN25" i="14" s="1"/>
  <c r="AO33" i="14" a="1"/>
  <c r="AO33" i="14" s="1"/>
  <c r="AP33" i="14" a="1"/>
  <c r="AP33" i="14" s="1"/>
  <c r="AM33" i="14" a="1"/>
  <c r="AM33" i="14" s="1"/>
  <c r="AN33" i="14" a="1"/>
  <c r="AN33" i="14" s="1"/>
  <c r="AP41" i="14" a="1"/>
  <c r="AP41" i="14" s="1"/>
  <c r="AO41" i="14" a="1"/>
  <c r="AO41" i="14" s="1"/>
  <c r="AN41" i="14" a="1"/>
  <c r="AN41" i="14" s="1"/>
  <c r="AM41" i="14" a="1"/>
  <c r="AM41" i="14" s="1"/>
  <c r="AP49" i="14" a="1"/>
  <c r="AP49" i="14" s="1"/>
  <c r="AO49" i="14" a="1"/>
  <c r="AO49" i="14" s="1"/>
  <c r="AN49" i="14" a="1"/>
  <c r="AN49" i="14" s="1"/>
  <c r="AM49" i="14" a="1"/>
  <c r="AM49" i="14" s="1"/>
  <c r="AP57" i="14" a="1"/>
  <c r="AP57" i="14" s="1"/>
  <c r="AO57" i="14" a="1"/>
  <c r="AO57" i="14" s="1"/>
  <c r="AN57" i="14" a="1"/>
  <c r="AN57" i="14" s="1"/>
  <c r="AM57" i="14" a="1"/>
  <c r="AM57" i="14" s="1"/>
  <c r="AP65" i="14" a="1"/>
  <c r="AP65" i="14" s="1"/>
  <c r="AO65" i="14" a="1"/>
  <c r="AO65" i="14" s="1"/>
  <c r="AN65" i="14" a="1"/>
  <c r="AN65" i="14" s="1"/>
  <c r="AM65" i="14" a="1"/>
  <c r="AM65" i="14" s="1"/>
  <c r="AP73" i="14" a="1"/>
  <c r="AP73" i="14" s="1"/>
  <c r="AO73" i="14" a="1"/>
  <c r="AO73" i="14" s="1"/>
  <c r="AN73" i="14" a="1"/>
  <c r="AN73" i="14" s="1"/>
  <c r="AM73" i="14" a="1"/>
  <c r="AM73" i="14" s="1"/>
  <c r="AP81" i="14" a="1"/>
  <c r="AP81" i="14" s="1"/>
  <c r="AO81" i="14" a="1"/>
  <c r="AO81" i="14" s="1"/>
  <c r="AN81" i="14" a="1"/>
  <c r="AN81" i="14" s="1"/>
  <c r="AM81" i="14" a="1"/>
  <c r="AM81" i="14" s="1"/>
  <c r="AP89" i="14" a="1"/>
  <c r="AP89" i="14" s="1"/>
  <c r="AN89" i="14" a="1"/>
  <c r="AN89" i="14" s="1"/>
  <c r="AO89" i="14" a="1"/>
  <c r="AO89" i="14" s="1"/>
  <c r="AM89" i="14" a="1"/>
  <c r="AM89" i="14" s="1"/>
  <c r="AP97" i="14" a="1"/>
  <c r="AP97" i="14" s="1"/>
  <c r="AM97" i="14" a="1"/>
  <c r="AM97" i="14" s="1"/>
  <c r="AO97" i="14" a="1"/>
  <c r="AO97" i="14" s="1"/>
  <c r="AN97" i="14" a="1"/>
  <c r="AN97" i="14" s="1"/>
  <c r="AP105" i="14" a="1"/>
  <c r="AP105" i="14" s="1"/>
  <c r="AO105" i="14" a="1"/>
  <c r="AO105" i="14" s="1"/>
  <c r="AN105" i="14" a="1"/>
  <c r="AN105" i="14" s="1"/>
  <c r="AM105" i="14" a="1"/>
  <c r="AM105" i="14" s="1"/>
  <c r="AP113" i="14" a="1"/>
  <c r="AP113" i="14" s="1"/>
  <c r="AO113" i="14" a="1"/>
  <c r="AO113" i="14" s="1"/>
  <c r="AM113" i="14" a="1"/>
  <c r="AM113" i="14" s="1"/>
  <c r="AN113" i="14" a="1"/>
  <c r="AN113" i="14" s="1"/>
  <c r="AP18" i="14" a="1"/>
  <c r="AP18" i="14" s="1"/>
  <c r="AO18" i="14" a="1"/>
  <c r="AO18" i="14" s="1"/>
  <c r="AN18" i="14" a="1"/>
  <c r="AN18" i="14" s="1"/>
  <c r="AM18" i="14" a="1"/>
  <c r="AM18" i="14" s="1"/>
  <c r="AO22" i="14" a="1"/>
  <c r="AO22" i="14" s="1"/>
  <c r="AN22" i="14" a="1"/>
  <c r="AN22" i="14" s="1"/>
  <c r="AP22" i="14" a="1"/>
  <c r="AP22" i="14" s="1"/>
  <c r="AM22" i="14" a="1"/>
  <c r="AM22" i="14" s="1"/>
  <c r="AO30" i="14" a="1"/>
  <c r="AO30" i="14" s="1"/>
  <c r="AP30" i="14" a="1"/>
  <c r="AP30" i="14" s="1"/>
  <c r="AN30" i="14" a="1"/>
  <c r="AN30" i="14" s="1"/>
  <c r="AM30" i="14" a="1"/>
  <c r="AM30" i="14" s="1"/>
  <c r="AN38" i="14" a="1"/>
  <c r="AN38" i="14" s="1"/>
  <c r="AP38" i="14" a="1"/>
  <c r="AP38" i="14" s="1"/>
  <c r="AO38" i="14" a="1"/>
  <c r="AO38" i="14" s="1"/>
  <c r="AM38" i="14" a="1"/>
  <c r="AM38" i="14" s="1"/>
  <c r="AO46" i="14" a="1"/>
  <c r="AO46" i="14" s="1"/>
  <c r="AP46" i="14" a="1"/>
  <c r="AP46" i="14" s="1"/>
  <c r="AN46" i="14" a="1"/>
  <c r="AN46" i="14" s="1"/>
  <c r="AM46" i="14" a="1"/>
  <c r="AM46" i="14" s="1"/>
  <c r="AP54" i="14" a="1"/>
  <c r="AP54" i="14" s="1"/>
  <c r="AN54" i="14" a="1"/>
  <c r="AN54" i="14" s="1"/>
  <c r="AO54" i="14" a="1"/>
  <c r="AO54" i="14" s="1"/>
  <c r="AM54" i="14" a="1"/>
  <c r="AM54" i="14" s="1"/>
  <c r="AO62" i="14" a="1"/>
  <c r="AO62" i="14" s="1"/>
  <c r="AP62" i="14" a="1"/>
  <c r="AP62" i="14" s="1"/>
  <c r="AN62" i="14" a="1"/>
  <c r="AN62" i="14" s="1"/>
  <c r="AM62" i="14" a="1"/>
  <c r="AM62" i="14" s="1"/>
  <c r="AN70" i="14" a="1"/>
  <c r="AN70" i="14" s="1"/>
  <c r="AP70" i="14" a="1"/>
  <c r="AP70" i="14" s="1"/>
  <c r="AO70" i="14" a="1"/>
  <c r="AO70" i="14" s="1"/>
  <c r="AM70" i="14" a="1"/>
  <c r="AM70" i="14" s="1"/>
  <c r="AO78" i="14" a="1"/>
  <c r="AO78" i="14" s="1"/>
  <c r="AP78" i="14" a="1"/>
  <c r="AP78" i="14" s="1"/>
  <c r="AM78" i="14" a="1"/>
  <c r="AM78" i="14" s="1"/>
  <c r="AN78" i="14" a="1"/>
  <c r="AN78" i="14" s="1"/>
  <c r="AP86" i="14" a="1"/>
  <c r="AP86" i="14" s="1"/>
  <c r="AO86" i="14" a="1"/>
  <c r="AO86" i="14" s="1"/>
  <c r="AM86" i="14" a="1"/>
  <c r="AM86" i="14" s="1"/>
  <c r="AN86" i="14" a="1"/>
  <c r="AN86" i="14" s="1"/>
  <c r="AO94" i="14" a="1"/>
  <c r="AO94" i="14" s="1"/>
  <c r="AP94" i="14" a="1"/>
  <c r="AP94" i="14" s="1"/>
  <c r="AM94" i="14" a="1"/>
  <c r="AM94" i="14" s="1"/>
  <c r="AN94" i="14" a="1"/>
  <c r="AN94" i="14" s="1"/>
  <c r="AP102" i="14" a="1"/>
  <c r="AP102" i="14" s="1"/>
  <c r="AO102" i="14" a="1"/>
  <c r="AO102" i="14" s="1"/>
  <c r="AN102" i="14" a="1"/>
  <c r="AN102" i="14" s="1"/>
  <c r="AM102" i="14" a="1"/>
  <c r="AM102" i="14" s="1"/>
  <c r="AO110" i="14" a="1"/>
  <c r="AO110" i="14" s="1"/>
  <c r="AP110" i="14" a="1"/>
  <c r="AP110" i="14" s="1"/>
  <c r="AN110" i="14" a="1"/>
  <c r="AN110" i="14" s="1"/>
  <c r="AM110" i="14" a="1"/>
  <c r="AM110" i="14" s="1"/>
  <c r="AP118" i="14" a="1"/>
  <c r="AP118" i="14" s="1"/>
  <c r="AO118" i="14" a="1"/>
  <c r="AO118" i="14" s="1"/>
  <c r="AN118" i="14" a="1"/>
  <c r="AN118" i="14" s="1"/>
  <c r="AM118" i="14" a="1"/>
  <c r="AM118" i="14" s="1"/>
  <c r="AP20" i="14" a="1"/>
  <c r="AP20" i="14" s="1"/>
  <c r="AO20" i="14" a="1"/>
  <c r="AO20" i="14" s="1"/>
  <c r="AN20" i="14" a="1"/>
  <c r="AN20" i="14" s="1"/>
  <c r="AM20" i="14" a="1"/>
  <c r="AM20" i="14" s="1"/>
  <c r="AP27" i="14" a="1"/>
  <c r="AP27" i="14" s="1"/>
  <c r="AO27" i="14" a="1"/>
  <c r="AO27" i="14" s="1"/>
  <c r="AN27" i="14" a="1"/>
  <c r="AN27" i="14" s="1"/>
  <c r="AM27" i="14" a="1"/>
  <c r="AM27" i="14" s="1"/>
  <c r="AP35" i="14" a="1"/>
  <c r="AP35" i="14" s="1"/>
  <c r="AO35" i="14" a="1"/>
  <c r="AO35" i="14" s="1"/>
  <c r="AN35" i="14" a="1"/>
  <c r="AN35" i="14" s="1"/>
  <c r="AM35" i="14" a="1"/>
  <c r="AM35" i="14" s="1"/>
  <c r="AP43" i="14" a="1"/>
  <c r="AP43" i="14" s="1"/>
  <c r="AO43" i="14" a="1"/>
  <c r="AO43" i="14" s="1"/>
  <c r="AN43" i="14" a="1"/>
  <c r="AN43" i="14" s="1"/>
  <c r="AM43" i="14" a="1"/>
  <c r="AM43" i="14" s="1"/>
  <c r="AP51" i="14" a="1"/>
  <c r="AP51" i="14" s="1"/>
  <c r="AO51" i="14" a="1"/>
  <c r="AO51" i="14" s="1"/>
  <c r="AN51" i="14" a="1"/>
  <c r="AN51" i="14" s="1"/>
  <c r="AM51" i="14" a="1"/>
  <c r="AM51" i="14" s="1"/>
  <c r="AP59" i="14" a="1"/>
  <c r="AP59" i="14" s="1"/>
  <c r="AO59" i="14" a="1"/>
  <c r="AO59" i="14" s="1"/>
  <c r="AN59" i="14" a="1"/>
  <c r="AN59" i="14" s="1"/>
  <c r="AM59" i="14" a="1"/>
  <c r="AM59" i="14" s="1"/>
  <c r="AP67" i="14" a="1"/>
  <c r="AP67" i="14" s="1"/>
  <c r="AO67" i="14" a="1"/>
  <c r="AO67" i="14" s="1"/>
  <c r="AN67" i="14" a="1"/>
  <c r="AN67" i="14" s="1"/>
  <c r="AM67" i="14" a="1"/>
  <c r="AM67" i="14" s="1"/>
  <c r="AP75" i="14" a="1"/>
  <c r="AP75" i="14" s="1"/>
  <c r="AO75" i="14" a="1"/>
  <c r="AO75" i="14" s="1"/>
  <c r="AN75" i="14" a="1"/>
  <c r="AN75" i="14" s="1"/>
  <c r="AM75" i="14" a="1"/>
  <c r="AM75" i="14" s="1"/>
  <c r="AP83" i="14" a="1"/>
  <c r="AP83" i="14" s="1"/>
  <c r="AO83" i="14" a="1"/>
  <c r="AO83" i="14" s="1"/>
  <c r="AN83" i="14" a="1"/>
  <c r="AN83" i="14" s="1"/>
  <c r="AM83" i="14" a="1"/>
  <c r="AM83" i="14" s="1"/>
  <c r="AP91" i="14" a="1"/>
  <c r="AP91" i="14" s="1"/>
  <c r="AO91" i="14" a="1"/>
  <c r="AO91" i="14" s="1"/>
  <c r="AN91" i="14" a="1"/>
  <c r="AN91" i="14" s="1"/>
  <c r="AM91" i="14" a="1"/>
  <c r="AM91" i="14" s="1"/>
  <c r="AP99" i="14" a="1"/>
  <c r="AP99" i="14" s="1"/>
  <c r="AO99" i="14" a="1"/>
  <c r="AO99" i="14" s="1"/>
  <c r="AN99" i="14" a="1"/>
  <c r="AN99" i="14" s="1"/>
  <c r="AM99" i="14" a="1"/>
  <c r="AM99" i="14" s="1"/>
  <c r="AP107" i="14" a="1"/>
  <c r="AP107" i="14" s="1"/>
  <c r="AO107" i="14" a="1"/>
  <c r="AO107" i="14" s="1"/>
  <c r="AN107" i="14" a="1"/>
  <c r="AN107" i="14" s="1"/>
  <c r="AM107" i="14" a="1"/>
  <c r="AM107" i="14" s="1"/>
  <c r="AP115" i="14" a="1"/>
  <c r="AP115" i="14" s="1"/>
  <c r="AO115" i="14" a="1"/>
  <c r="AO115" i="14" s="1"/>
  <c r="AN115" i="14" a="1"/>
  <c r="AN115" i="14" s="1"/>
  <c r="AM115" i="14" a="1"/>
  <c r="AM115" i="14" s="1"/>
  <c r="AP24" i="14" a="1"/>
  <c r="AP24" i="14" s="1"/>
  <c r="AN24" i="14" a="1"/>
  <c r="AN24" i="14" s="1"/>
  <c r="AM24" i="14" a="1"/>
  <c r="AM24" i="14" s="1"/>
  <c r="AO24" i="14" a="1"/>
  <c r="AO24" i="14" s="1"/>
  <c r="AP32" i="14" a="1"/>
  <c r="AP32" i="14" s="1"/>
  <c r="AO32" i="14" a="1"/>
  <c r="AO32" i="14" s="1"/>
  <c r="AN32" i="14" a="1"/>
  <c r="AN32" i="14" s="1"/>
  <c r="AM32" i="14" a="1"/>
  <c r="AM32" i="14" s="1"/>
  <c r="AP40" i="14" a="1"/>
  <c r="AP40" i="14" s="1"/>
  <c r="AN40" i="14" a="1"/>
  <c r="AN40" i="14" s="1"/>
  <c r="AM40" i="14" a="1"/>
  <c r="AM40" i="14" s="1"/>
  <c r="AO40" i="14" a="1"/>
  <c r="AO40" i="14" s="1"/>
  <c r="AP48" i="14" a="1"/>
  <c r="AP48" i="14" s="1"/>
  <c r="AO48" i="14" a="1"/>
  <c r="AO48" i="14" s="1"/>
  <c r="AN48" i="14" a="1"/>
  <c r="AN48" i="14" s="1"/>
  <c r="AM48" i="14" a="1"/>
  <c r="AM48" i="14" s="1"/>
  <c r="AP56" i="14" a="1"/>
  <c r="AP56" i="14" s="1"/>
  <c r="AN56" i="14" a="1"/>
  <c r="AN56" i="14" s="1"/>
  <c r="AM56" i="14" a="1"/>
  <c r="AM56" i="14" s="1"/>
  <c r="AO56" i="14" a="1"/>
  <c r="AO56" i="14" s="1"/>
  <c r="AP64" i="14" a="1"/>
  <c r="AP64" i="14" s="1"/>
  <c r="AO64" i="14" a="1"/>
  <c r="AO64" i="14" s="1"/>
  <c r="AN64" i="14" a="1"/>
  <c r="AN64" i="14" s="1"/>
  <c r="AM64" i="14" a="1"/>
  <c r="AM64" i="14" s="1"/>
  <c r="AP72" i="14" a="1"/>
  <c r="AP72" i="14" s="1"/>
  <c r="AN72" i="14" a="1"/>
  <c r="AN72" i="14" s="1"/>
  <c r="AM72" i="14" a="1"/>
  <c r="AM72" i="14" s="1"/>
  <c r="AO72" i="14" a="1"/>
  <c r="AO72" i="14" s="1"/>
  <c r="AP80" i="14" a="1"/>
  <c r="AP80" i="14" s="1"/>
  <c r="AO80" i="14" a="1"/>
  <c r="AO80" i="14" s="1"/>
  <c r="AN80" i="14" a="1"/>
  <c r="AN80" i="14" s="1"/>
  <c r="AM80" i="14" a="1"/>
  <c r="AM80" i="14" s="1"/>
  <c r="AP88" i="14" a="1"/>
  <c r="AP88" i="14" s="1"/>
  <c r="AN88" i="14" a="1"/>
  <c r="AN88" i="14" s="1"/>
  <c r="AO88" i="14" a="1"/>
  <c r="AO88" i="14" s="1"/>
  <c r="AM88" i="14" a="1"/>
  <c r="AM88" i="14" s="1"/>
  <c r="AP96" i="14" a="1"/>
  <c r="AP96" i="14" s="1"/>
  <c r="AO96" i="14" a="1"/>
  <c r="AO96" i="14" s="1"/>
  <c r="AM96" i="14" a="1"/>
  <c r="AM96" i="14" s="1"/>
  <c r="AN96" i="14" a="1"/>
  <c r="AN96" i="14" s="1"/>
  <c r="AN104" i="14" a="1"/>
  <c r="AN104" i="14" s="1"/>
  <c r="AP104" i="14" a="1"/>
  <c r="AP104" i="14" s="1"/>
  <c r="AO104" i="14" a="1"/>
  <c r="AO104" i="14" s="1"/>
  <c r="AM104" i="14" a="1"/>
  <c r="AM104" i="14" s="1"/>
  <c r="AP112" i="14" a="1"/>
  <c r="AP112" i="14" s="1"/>
  <c r="AO112" i="14" a="1"/>
  <c r="AO112" i="14" s="1"/>
  <c r="AM112" i="14" a="1"/>
  <c r="AM112" i="14" s="1"/>
  <c r="AN112" i="14" a="1"/>
  <c r="AN112" i="14" s="1"/>
  <c r="AO17" i="14" a="1"/>
  <c r="AO17" i="14" s="1"/>
  <c r="AP17" i="14" a="1"/>
  <c r="AP17" i="14" s="1"/>
  <c r="AM17" i="14" a="1"/>
  <c r="AM17" i="14" s="1"/>
  <c r="AN17" i="14" a="1"/>
  <c r="AN17" i="14" s="1"/>
  <c r="AP21" i="14" a="1"/>
  <c r="AP21" i="14" s="1"/>
  <c r="AO21" i="14" a="1"/>
  <c r="AO21" i="14" s="1"/>
  <c r="AN21" i="14" a="1"/>
  <c r="AN21" i="14" s="1"/>
  <c r="AM21" i="14" a="1"/>
  <c r="AM21" i="14" s="1"/>
  <c r="AN29" i="14" a="1"/>
  <c r="AN29" i="14" s="1"/>
  <c r="AM29" i="14" a="1"/>
  <c r="AM29" i="14" s="1"/>
  <c r="AP29" i="14" a="1"/>
  <c r="AP29" i="14" s="1"/>
  <c r="AO29" i="14" a="1"/>
  <c r="AO29" i="14" s="1"/>
  <c r="AO37" i="14" a="1"/>
  <c r="AO37" i="14" s="1"/>
  <c r="AP37" i="14" a="1"/>
  <c r="AP37" i="14" s="1"/>
  <c r="AN37" i="14" a="1"/>
  <c r="AN37" i="14" s="1"/>
  <c r="AM37" i="14" a="1"/>
  <c r="AM37" i="14" s="1"/>
  <c r="AN45" i="14" a="1"/>
  <c r="AN45" i="14" s="1"/>
  <c r="AM45" i="14" a="1"/>
  <c r="AM45" i="14" s="1"/>
  <c r="AP45" i="14" a="1"/>
  <c r="AP45" i="14" s="1"/>
  <c r="AO45" i="14" a="1"/>
  <c r="AO45" i="14" s="1"/>
  <c r="AO53" i="14" a="1"/>
  <c r="AO53" i="14" s="1"/>
  <c r="AP53" i="14" a="1"/>
  <c r="AP53" i="14" s="1"/>
  <c r="AN53" i="14" a="1"/>
  <c r="AN53" i="14" s="1"/>
  <c r="AM53" i="14" a="1"/>
  <c r="AM53" i="14" s="1"/>
  <c r="AN61" i="14" a="1"/>
  <c r="AN61" i="14" s="1"/>
  <c r="AM61" i="14" a="1"/>
  <c r="AM61" i="14" s="1"/>
  <c r="AP61" i="14" a="1"/>
  <c r="AP61" i="14" s="1"/>
  <c r="AO61" i="14" a="1"/>
  <c r="AO61" i="14" s="1"/>
  <c r="AO69" i="14" a="1"/>
  <c r="AO69" i="14" s="1"/>
  <c r="AP69" i="14" a="1"/>
  <c r="AP69" i="14" s="1"/>
  <c r="AN69" i="14" a="1"/>
  <c r="AN69" i="14" s="1"/>
  <c r="AM69" i="14" a="1"/>
  <c r="AM69" i="14" s="1"/>
  <c r="AN77" i="14" a="1"/>
  <c r="AN77" i="14" s="1"/>
  <c r="AM77" i="14" a="1"/>
  <c r="AM77" i="14" s="1"/>
  <c r="AP77" i="14" a="1"/>
  <c r="AP77" i="14" s="1"/>
  <c r="AO77" i="14" a="1"/>
  <c r="AO77" i="14" s="1"/>
  <c r="AO85" i="14" a="1"/>
  <c r="AO85" i="14" s="1"/>
  <c r="AP85" i="14" a="1"/>
  <c r="AP85" i="14" s="1"/>
  <c r="AN85" i="14" a="1"/>
  <c r="AN85" i="14" s="1"/>
  <c r="AM85" i="14" a="1"/>
  <c r="AM85" i="14" s="1"/>
  <c r="AN93" i="14" a="1"/>
  <c r="AN93" i="14" s="1"/>
  <c r="AM93" i="14" a="1"/>
  <c r="AM93" i="14" s="1"/>
  <c r="AP93" i="14" a="1"/>
  <c r="AP93" i="14" s="1"/>
  <c r="AO93" i="14" a="1"/>
  <c r="AO93" i="14" s="1"/>
  <c r="AP101" i="14" a="1"/>
  <c r="AP101" i="14" s="1"/>
  <c r="AO101" i="14" a="1"/>
  <c r="AO101" i="14" s="1"/>
  <c r="AM101" i="14" a="1"/>
  <c r="AM101" i="14" s="1"/>
  <c r="AN101" i="14" a="1"/>
  <c r="AN101" i="14" s="1"/>
  <c r="AN109" i="14" a="1"/>
  <c r="AN109" i="14" s="1"/>
  <c r="AP109" i="14" a="1"/>
  <c r="AP109" i="14" s="1"/>
  <c r="AO109" i="14" a="1"/>
  <c r="AO109" i="14" s="1"/>
  <c r="AM109" i="14" a="1"/>
  <c r="AM109" i="14" s="1"/>
  <c r="AO117" i="14" a="1"/>
  <c r="AO117" i="14" s="1"/>
  <c r="AN117" i="14" a="1"/>
  <c r="AN117" i="14" s="1"/>
  <c r="AM117" i="14" a="1"/>
  <c r="AM117" i="14" s="1"/>
  <c r="AP117" i="14" a="1"/>
  <c r="AP117" i="14" s="1"/>
  <c r="AP19" i="14" a="1"/>
  <c r="AP19" i="14" s="1"/>
  <c r="AO19" i="14" a="1"/>
  <c r="AO19" i="14" s="1"/>
  <c r="AN19" i="14" a="1"/>
  <c r="AN19" i="14" s="1"/>
  <c r="AM19" i="14" a="1"/>
  <c r="AM19" i="14" s="1"/>
  <c r="AP26" i="14" a="1"/>
  <c r="AP26" i="14" s="1"/>
  <c r="AO26" i="14" a="1"/>
  <c r="AO26" i="14" s="1"/>
  <c r="AN26" i="14" a="1"/>
  <c r="AN26" i="14" s="1"/>
  <c r="AM26" i="14" a="1"/>
  <c r="AM26" i="14" s="1"/>
  <c r="AP34" i="14" a="1"/>
  <c r="AP34" i="14" s="1"/>
  <c r="AO34" i="14" a="1"/>
  <c r="AO34" i="14" s="1"/>
  <c r="AN34" i="14" a="1"/>
  <c r="AN34" i="14" s="1"/>
  <c r="AM34" i="14" a="1"/>
  <c r="AM34" i="14" s="1"/>
  <c r="AP42" i="14" a="1"/>
  <c r="AP42" i="14" s="1"/>
  <c r="AO42" i="14" a="1"/>
  <c r="AO42" i="14" s="1"/>
  <c r="AN42" i="14" a="1"/>
  <c r="AN42" i="14" s="1"/>
  <c r="AM42" i="14" a="1"/>
  <c r="AM42" i="14" s="1"/>
  <c r="AP50" i="14" a="1"/>
  <c r="AP50" i="14" s="1"/>
  <c r="AO50" i="14" a="1"/>
  <c r="AO50" i="14" s="1"/>
  <c r="AN50" i="14" a="1"/>
  <c r="AN50" i="14" s="1"/>
  <c r="AM50" i="14" a="1"/>
  <c r="AM50" i="14" s="1"/>
  <c r="AP58" i="14" a="1"/>
  <c r="AP58" i="14" s="1"/>
  <c r="AO58" i="14" a="1"/>
  <c r="AO58" i="14" s="1"/>
  <c r="AN58" i="14" a="1"/>
  <c r="AN58" i="14" s="1"/>
  <c r="AM58" i="14" a="1"/>
  <c r="AM58" i="14" s="1"/>
  <c r="AP66" i="14" a="1"/>
  <c r="AP66" i="14" s="1"/>
  <c r="AO66" i="14" a="1"/>
  <c r="AO66" i="14" s="1"/>
  <c r="AN66" i="14" a="1"/>
  <c r="AN66" i="14" s="1"/>
  <c r="AM66" i="14" a="1"/>
  <c r="AM66" i="14" s="1"/>
  <c r="AP74" i="14" a="1"/>
  <c r="AP74" i="14" s="1"/>
  <c r="AO74" i="14" a="1"/>
  <c r="AO74" i="14" s="1"/>
  <c r="AN74" i="14" a="1"/>
  <c r="AN74" i="14" s="1"/>
  <c r="AM74" i="14" a="1"/>
  <c r="AM74" i="14" s="1"/>
  <c r="AP82" i="14" a="1"/>
  <c r="AP82" i="14" s="1"/>
  <c r="AO82" i="14" a="1"/>
  <c r="AO82" i="14" s="1"/>
  <c r="AN82" i="14" a="1"/>
  <c r="AN82" i="14" s="1"/>
  <c r="AM82" i="14" a="1"/>
  <c r="AM82" i="14" s="1"/>
  <c r="AP90" i="14" a="1"/>
  <c r="AP90" i="14" s="1"/>
  <c r="AO90" i="14" a="1"/>
  <c r="AO90" i="14" s="1"/>
  <c r="AN90" i="14" a="1"/>
  <c r="AN90" i="14" s="1"/>
  <c r="AM90" i="14" a="1"/>
  <c r="AM90" i="14" s="1"/>
  <c r="AP98" i="14" a="1"/>
  <c r="AP98" i="14" s="1"/>
  <c r="AO98" i="14" a="1"/>
  <c r="AO98" i="14" s="1"/>
  <c r="AN98" i="14" a="1"/>
  <c r="AN98" i="14" s="1"/>
  <c r="AM98" i="14" a="1"/>
  <c r="AM98" i="14" s="1"/>
  <c r="AP106" i="14" a="1"/>
  <c r="AP106" i="14" s="1"/>
  <c r="AO106" i="14" a="1"/>
  <c r="AO106" i="14" s="1"/>
  <c r="AN106" i="14" a="1"/>
  <c r="AN106" i="14" s="1"/>
  <c r="AM106" i="14" a="1"/>
  <c r="AM106" i="14" s="1"/>
  <c r="AP114" i="14" a="1"/>
  <c r="AP114" i="14" s="1"/>
  <c r="AO114" i="14" a="1"/>
  <c r="AO114" i="14" s="1"/>
  <c r="AN114" i="14" a="1"/>
  <c r="AN114" i="14" s="1"/>
  <c r="AM114" i="14" a="1"/>
  <c r="AM114" i="14" s="1"/>
  <c r="AP23" i="14" a="1"/>
  <c r="AP23" i="14" s="1"/>
  <c r="AO23" i="14" a="1"/>
  <c r="AO23" i="14" s="1"/>
  <c r="AN23" i="14" a="1"/>
  <c r="AN23" i="14" s="1"/>
  <c r="AM23" i="14" a="1"/>
  <c r="AM23" i="14" s="1"/>
  <c r="AP31" i="14" a="1"/>
  <c r="AP31" i="14" s="1"/>
  <c r="AO31" i="14" a="1"/>
  <c r="AO31" i="14" s="1"/>
  <c r="AN31" i="14" a="1"/>
  <c r="AN31" i="14" s="1"/>
  <c r="AM31" i="14" a="1"/>
  <c r="AM31" i="14" s="1"/>
  <c r="AP39" i="14" a="1"/>
  <c r="AP39" i="14" s="1"/>
  <c r="AO39" i="14" a="1"/>
  <c r="AO39" i="14" s="1"/>
  <c r="AN39" i="14" a="1"/>
  <c r="AN39" i="14" s="1"/>
  <c r="AM39" i="14" a="1"/>
  <c r="AM39" i="14" s="1"/>
  <c r="AP47" i="14" a="1"/>
  <c r="AP47" i="14" s="1"/>
  <c r="AO47" i="14" a="1"/>
  <c r="AO47" i="14" s="1"/>
  <c r="AN47" i="14" a="1"/>
  <c r="AN47" i="14" s="1"/>
  <c r="AM47" i="14" a="1"/>
  <c r="AM47" i="14" s="1"/>
  <c r="AP55" i="14" a="1"/>
  <c r="AP55" i="14" s="1"/>
  <c r="AO55" i="14" a="1"/>
  <c r="AO55" i="14" s="1"/>
  <c r="AN55" i="14" a="1"/>
  <c r="AN55" i="14" s="1"/>
  <c r="AM55" i="14" a="1"/>
  <c r="AM55" i="14" s="1"/>
  <c r="AP63" i="14" a="1"/>
  <c r="AP63" i="14" s="1"/>
  <c r="AO63" i="14" a="1"/>
  <c r="AO63" i="14" s="1"/>
  <c r="AN63" i="14" a="1"/>
  <c r="AN63" i="14" s="1"/>
  <c r="AM63" i="14" a="1"/>
  <c r="AM63" i="14" s="1"/>
  <c r="AP71" i="14" a="1"/>
  <c r="AP71" i="14" s="1"/>
  <c r="AO71" i="14" a="1"/>
  <c r="AO71" i="14" s="1"/>
  <c r="AN71" i="14" a="1"/>
  <c r="AN71" i="14" s="1"/>
  <c r="AM71" i="14" a="1"/>
  <c r="AM71" i="14" s="1"/>
  <c r="AP79" i="14" a="1"/>
  <c r="AP79" i="14" s="1"/>
  <c r="AO79" i="14" a="1"/>
  <c r="AO79" i="14" s="1"/>
  <c r="AN79" i="14" a="1"/>
  <c r="AN79" i="14" s="1"/>
  <c r="AM79" i="14" a="1"/>
  <c r="AM79" i="14" s="1"/>
  <c r="AP87" i="14" a="1"/>
  <c r="AP87" i="14" s="1"/>
  <c r="AO87" i="14" a="1"/>
  <c r="AO87" i="14" s="1"/>
  <c r="AN87" i="14" a="1"/>
  <c r="AN87" i="14" s="1"/>
  <c r="AM87" i="14" a="1"/>
  <c r="AM87" i="14" s="1"/>
  <c r="AP95" i="14" a="1"/>
  <c r="AP95" i="14" s="1"/>
  <c r="AO95" i="14" a="1"/>
  <c r="AO95" i="14" s="1"/>
  <c r="AN95" i="14" a="1"/>
  <c r="AN95" i="14" s="1"/>
  <c r="AM95" i="14" a="1"/>
  <c r="AM95" i="14" s="1"/>
  <c r="AP103" i="14" a="1"/>
  <c r="AP103" i="14" s="1"/>
  <c r="AO103" i="14" a="1"/>
  <c r="AO103" i="14" s="1"/>
  <c r="AN103" i="14" a="1"/>
  <c r="AN103" i="14" s="1"/>
  <c r="AM103" i="14" a="1"/>
  <c r="AM103" i="14" s="1"/>
  <c r="AP111" i="14" a="1"/>
  <c r="AP111" i="14" s="1"/>
  <c r="AO111" i="14" a="1"/>
  <c r="AO111" i="14" s="1"/>
  <c r="AN111" i="14" a="1"/>
  <c r="AN111" i="14" s="1"/>
  <c r="AM111" i="14" a="1"/>
  <c r="AM111" i="14" s="1"/>
  <c r="AP119" i="14" a="1"/>
  <c r="AP119" i="14" s="1"/>
  <c r="AO119" i="14" a="1"/>
  <c r="AO119" i="14" s="1"/>
  <c r="AN119" i="14" a="1"/>
  <c r="AN119" i="14" s="1"/>
  <c r="AM119" i="14" a="1"/>
  <c r="AM119" i="14" s="1"/>
  <c r="AP28" i="14" a="1"/>
  <c r="AP28" i="14" s="1"/>
  <c r="AO28" i="14" a="1"/>
  <c r="AO28" i="14" s="1"/>
  <c r="AN28" i="14" a="1"/>
  <c r="AN28" i="14" s="1"/>
  <c r="AM28" i="14" a="1"/>
  <c r="AM28" i="14" s="1"/>
  <c r="AP36" i="14" a="1"/>
  <c r="AP36" i="14" s="1"/>
  <c r="AO36" i="14" a="1"/>
  <c r="AO36" i="14" s="1"/>
  <c r="AN36" i="14" a="1"/>
  <c r="AN36" i="14" s="1"/>
  <c r="AM36" i="14" a="1"/>
  <c r="AM36" i="14" s="1"/>
  <c r="AP44" i="14" a="1"/>
  <c r="AP44" i="14" s="1"/>
  <c r="AO44" i="14" a="1"/>
  <c r="AO44" i="14" s="1"/>
  <c r="AN44" i="14" a="1"/>
  <c r="AN44" i="14" s="1"/>
  <c r="AM44" i="14" a="1"/>
  <c r="AM44" i="14" s="1"/>
  <c r="AP52" i="14" a="1"/>
  <c r="AP52" i="14" s="1"/>
  <c r="AO52" i="14" a="1"/>
  <c r="AO52" i="14" s="1"/>
  <c r="AN52" i="14" a="1"/>
  <c r="AN52" i="14" s="1"/>
  <c r="AM52" i="14" a="1"/>
  <c r="AM52" i="14" s="1"/>
  <c r="AP60" i="14" a="1"/>
  <c r="AP60" i="14" s="1"/>
  <c r="AO60" i="14" a="1"/>
  <c r="AO60" i="14" s="1"/>
  <c r="AN60" i="14" a="1"/>
  <c r="AN60" i="14" s="1"/>
  <c r="AM60" i="14" a="1"/>
  <c r="AM60" i="14" s="1"/>
  <c r="AP68" i="14" a="1"/>
  <c r="AP68" i="14" s="1"/>
  <c r="AO68" i="14" a="1"/>
  <c r="AO68" i="14" s="1"/>
  <c r="AN68" i="14" a="1"/>
  <c r="AN68" i="14" s="1"/>
  <c r="AM68" i="14" a="1"/>
  <c r="AM68" i="14" s="1"/>
  <c r="AP76" i="14" a="1"/>
  <c r="AP76" i="14" s="1"/>
  <c r="AO76" i="14" a="1"/>
  <c r="AO76" i="14" s="1"/>
  <c r="AN76" i="14" a="1"/>
  <c r="AN76" i="14" s="1"/>
  <c r="AM76" i="14" a="1"/>
  <c r="AM76" i="14" s="1"/>
  <c r="AP84" i="14" a="1"/>
  <c r="AP84" i="14" s="1"/>
  <c r="AO84" i="14" a="1"/>
  <c r="AO84" i="14" s="1"/>
  <c r="AN84" i="14" a="1"/>
  <c r="AN84" i="14" s="1"/>
  <c r="AM84" i="14" a="1"/>
  <c r="AM84" i="14" s="1"/>
  <c r="AP92" i="14" a="1"/>
  <c r="AP92" i="14" s="1"/>
  <c r="AO92" i="14" a="1"/>
  <c r="AO92" i="14" s="1"/>
  <c r="AN92" i="14" a="1"/>
  <c r="AN92" i="14" s="1"/>
  <c r="AM92" i="14" a="1"/>
  <c r="AM92" i="14" s="1"/>
  <c r="AP100" i="14" a="1"/>
  <c r="AP100" i="14" s="1"/>
  <c r="AO100" i="14" a="1"/>
  <c r="AO100" i="14" s="1"/>
  <c r="AN100" i="14" a="1"/>
  <c r="AN100" i="14" s="1"/>
  <c r="AM100" i="14" a="1"/>
  <c r="AM100" i="14" s="1"/>
  <c r="AP108" i="14" a="1"/>
  <c r="AP108" i="14" s="1"/>
  <c r="AO108" i="14" a="1"/>
  <c r="AO108" i="14" s="1"/>
  <c r="AN108" i="14" a="1"/>
  <c r="AN108" i="14" s="1"/>
  <c r="AM108" i="14" a="1"/>
  <c r="AM108" i="14" s="1"/>
  <c r="AP116" i="14" a="1"/>
  <c r="AP116" i="14" s="1"/>
  <c r="AO116" i="14" a="1"/>
  <c r="AO116" i="14" s="1"/>
  <c r="AN116" i="14" a="1"/>
  <c r="AN116" i="14" s="1"/>
  <c r="AM116" i="14" a="1"/>
  <c r="AM116" i="14" s="1"/>
  <c r="AT7" i="1" a="1"/>
  <c r="AT7" i="1" s="1"/>
  <c r="I61" i="5" a="1"/>
  <c r="I61" i="5" s="1"/>
  <c r="H63" i="5" a="1"/>
  <c r="H63" i="5" s="1"/>
  <c r="D123" i="10" a="1"/>
  <c r="D123" i="10" s="1"/>
  <c r="D121" i="10" a="1"/>
  <c r="D121" i="10" s="1"/>
  <c r="BL8" i="1" a="1"/>
  <c r="BL8" i="1" s="1"/>
  <c r="BL16" i="1" a="1"/>
  <c r="BL16" i="1" s="1"/>
  <c r="BL24" i="1" a="1"/>
  <c r="BL24" i="1" s="1"/>
  <c r="BL32" i="1" a="1"/>
  <c r="BL32" i="1" s="1"/>
  <c r="BL40" i="1" a="1"/>
  <c r="BL40" i="1" s="1"/>
  <c r="BL47" i="1" a="1"/>
  <c r="BL47" i="1" s="1"/>
  <c r="BL55" i="1" a="1"/>
  <c r="BL55" i="1" s="1"/>
  <c r="BL63" i="1" a="1"/>
  <c r="BL63" i="1" s="1"/>
  <c r="BL71" i="1" a="1"/>
  <c r="BL71" i="1" s="1"/>
  <c r="BL79" i="1" a="1"/>
  <c r="BL79" i="1" s="1"/>
  <c r="BL87" i="1" a="1"/>
  <c r="BL87" i="1" s="1"/>
  <c r="BL95" i="1" a="1"/>
  <c r="BL95" i="1" s="1"/>
  <c r="BL103" i="1" a="1"/>
  <c r="BL103" i="1" s="1"/>
  <c r="BL111" i="1" a="1"/>
  <c r="BL111" i="1" s="1"/>
  <c r="BK13" i="1" a="1"/>
  <c r="BK13" i="1" s="1"/>
  <c r="BK21" i="1" a="1"/>
  <c r="BK21" i="1" s="1"/>
  <c r="BK29" i="1" a="1"/>
  <c r="BK29" i="1" s="1"/>
  <c r="BK37" i="1" a="1"/>
  <c r="BK37" i="1" s="1"/>
  <c r="BK45" i="1" a="1"/>
  <c r="BK45" i="1" s="1"/>
  <c r="BK53" i="1" a="1"/>
  <c r="BK53" i="1" s="1"/>
  <c r="BK61" i="1" a="1"/>
  <c r="BK61" i="1" s="1"/>
  <c r="BK69" i="1" a="1"/>
  <c r="BK69" i="1" s="1"/>
  <c r="BK77" i="1" a="1"/>
  <c r="BK77" i="1" s="1"/>
  <c r="BK85" i="1" a="1"/>
  <c r="BK85" i="1" s="1"/>
  <c r="BK93" i="1" a="1"/>
  <c r="BK93" i="1" s="1"/>
  <c r="BK101" i="1" a="1"/>
  <c r="BK101" i="1" s="1"/>
  <c r="BK109" i="1" a="1"/>
  <c r="BK109" i="1" s="1"/>
  <c r="BI11" i="1" a="1"/>
  <c r="BI11" i="1" s="1"/>
  <c r="BI19" i="1" a="1"/>
  <c r="BI19" i="1" s="1"/>
  <c r="BI35" i="1" a="1"/>
  <c r="BI35" i="1" s="1"/>
  <c r="BI51" i="1" a="1"/>
  <c r="BI51" i="1" s="1"/>
  <c r="BI67" i="1" a="1"/>
  <c r="BI67" i="1" s="1"/>
  <c r="BI83" i="1" a="1"/>
  <c r="BI83" i="1" s="1"/>
  <c r="BI99" i="1" a="1"/>
  <c r="BI99" i="1" s="1"/>
  <c r="C50" i="10"/>
  <c r="C22" i="10" s="1"/>
  <c r="BI100" i="1" a="1"/>
  <c r="BI100" i="1" s="1"/>
  <c r="BI101" i="1" a="1"/>
  <c r="BI101" i="1" s="1"/>
  <c r="BK59" i="1" a="1"/>
  <c r="BK59" i="1" s="1"/>
  <c r="BI9" i="1" a="1"/>
  <c r="BI9" i="1" s="1"/>
  <c r="BI65" i="1" a="1"/>
  <c r="BI65" i="1" s="1"/>
  <c r="BL9" i="1" a="1"/>
  <c r="BL9" i="1" s="1"/>
  <c r="BL17" i="1" a="1"/>
  <c r="BL17" i="1" s="1"/>
  <c r="BL25" i="1" a="1"/>
  <c r="BL25" i="1" s="1"/>
  <c r="BL33" i="1" a="1"/>
  <c r="BL33" i="1" s="1"/>
  <c r="BL41" i="1" a="1"/>
  <c r="BL41" i="1" s="1"/>
  <c r="BL48" i="1" a="1"/>
  <c r="BL48" i="1" s="1"/>
  <c r="BL56" i="1" a="1"/>
  <c r="BL56" i="1" s="1"/>
  <c r="BL64" i="1" a="1"/>
  <c r="BL64" i="1" s="1"/>
  <c r="BL72" i="1" a="1"/>
  <c r="BL72" i="1" s="1"/>
  <c r="BL80" i="1" a="1"/>
  <c r="BL80" i="1" s="1"/>
  <c r="BL88" i="1" a="1"/>
  <c r="BL88" i="1" s="1"/>
  <c r="BL96" i="1" a="1"/>
  <c r="BL96" i="1" s="1"/>
  <c r="BL104" i="1" a="1"/>
  <c r="BL104" i="1" s="1"/>
  <c r="BL112" i="1" a="1"/>
  <c r="BL112" i="1" s="1"/>
  <c r="BK14" i="1" a="1"/>
  <c r="BK14" i="1" s="1"/>
  <c r="BK22" i="1" a="1"/>
  <c r="BK22" i="1" s="1"/>
  <c r="BK30" i="1" a="1"/>
  <c r="BK30" i="1" s="1"/>
  <c r="BK38" i="1" a="1"/>
  <c r="BK38" i="1" s="1"/>
  <c r="BK46" i="1" a="1"/>
  <c r="BK46" i="1" s="1"/>
  <c r="BK54" i="1" a="1"/>
  <c r="BK54" i="1" s="1"/>
  <c r="BK62" i="1" a="1"/>
  <c r="BK62" i="1" s="1"/>
  <c r="BK70" i="1" a="1"/>
  <c r="BK70" i="1" s="1"/>
  <c r="BK78" i="1" a="1"/>
  <c r="BK78" i="1" s="1"/>
  <c r="BK86" i="1" a="1"/>
  <c r="BK86" i="1" s="1"/>
  <c r="BK94" i="1" a="1"/>
  <c r="BK94" i="1" s="1"/>
  <c r="BK102" i="1" a="1"/>
  <c r="BK102" i="1" s="1"/>
  <c r="BK110" i="1" a="1"/>
  <c r="BK110" i="1" s="1"/>
  <c r="BI12" i="1" a="1"/>
  <c r="BI12" i="1" s="1"/>
  <c r="BI20" i="1" a="1"/>
  <c r="BI20" i="1" s="1"/>
  <c r="BI28" i="1" a="1"/>
  <c r="BI28" i="1" s="1"/>
  <c r="BI36" i="1" a="1"/>
  <c r="BI36" i="1" s="1"/>
  <c r="BI44" i="1" a="1"/>
  <c r="BI44" i="1" s="1"/>
  <c r="BI52" i="1" a="1"/>
  <c r="BI52" i="1" s="1"/>
  <c r="BI60" i="1" a="1"/>
  <c r="BI60" i="1" s="1"/>
  <c r="BI68" i="1" a="1"/>
  <c r="BI68" i="1" s="1"/>
  <c r="BI76" i="1" a="1"/>
  <c r="BI76" i="1" s="1"/>
  <c r="BI84" i="1" a="1"/>
  <c r="BI84" i="1" s="1"/>
  <c r="BI108" i="1" a="1"/>
  <c r="BI108" i="1" s="1"/>
  <c r="BK19" i="1" a="1"/>
  <c r="BK19" i="1" s="1"/>
  <c r="BK83" i="1" a="1"/>
  <c r="BK83" i="1" s="1"/>
  <c r="BI33" i="1" a="1"/>
  <c r="BI33" i="1" s="1"/>
  <c r="BI89" i="1" a="1"/>
  <c r="BI89" i="1" s="1"/>
  <c r="BL10" i="1" a="1"/>
  <c r="BL10" i="1" s="1"/>
  <c r="BL18" i="1" a="1"/>
  <c r="BL18" i="1" s="1"/>
  <c r="BL26" i="1" a="1"/>
  <c r="BL26" i="1" s="1"/>
  <c r="BL34" i="1" a="1"/>
  <c r="BL34" i="1" s="1"/>
  <c r="BL42" i="1" a="1"/>
  <c r="BL42" i="1" s="1"/>
  <c r="BL49" i="1" a="1"/>
  <c r="BL49" i="1" s="1"/>
  <c r="BL57" i="1" a="1"/>
  <c r="BL57" i="1" s="1"/>
  <c r="BL65" i="1" a="1"/>
  <c r="BL65" i="1" s="1"/>
  <c r="BL73" i="1" a="1"/>
  <c r="BL73" i="1" s="1"/>
  <c r="BL81" i="1" a="1"/>
  <c r="BL81" i="1" s="1"/>
  <c r="BL89" i="1" a="1"/>
  <c r="BL89" i="1" s="1"/>
  <c r="BL97" i="1" a="1"/>
  <c r="BL97" i="1" s="1"/>
  <c r="BL105" i="1" a="1"/>
  <c r="BL105" i="1" s="1"/>
  <c r="BL7" i="1" a="1"/>
  <c r="BL7" i="1" s="1"/>
  <c r="BK15" i="1" a="1"/>
  <c r="BK15" i="1" s="1"/>
  <c r="BK23" i="1" a="1"/>
  <c r="BK23" i="1" s="1"/>
  <c r="BK31" i="1" a="1"/>
  <c r="BK31" i="1" s="1"/>
  <c r="BK39" i="1" a="1"/>
  <c r="BK39" i="1" s="1"/>
  <c r="BK47" i="1" a="1"/>
  <c r="BK47" i="1" s="1"/>
  <c r="BK55" i="1" a="1"/>
  <c r="BK55" i="1" s="1"/>
  <c r="BK63" i="1" a="1"/>
  <c r="BK63" i="1" s="1"/>
  <c r="BK71" i="1" a="1"/>
  <c r="BK71" i="1" s="1"/>
  <c r="BK79" i="1" a="1"/>
  <c r="BK79" i="1" s="1"/>
  <c r="BK87" i="1" a="1"/>
  <c r="BK87" i="1" s="1"/>
  <c r="BK95" i="1" a="1"/>
  <c r="BK95" i="1" s="1"/>
  <c r="BK103" i="1" a="1"/>
  <c r="BK103" i="1" s="1"/>
  <c r="BK111" i="1" a="1"/>
  <c r="BK111" i="1" s="1"/>
  <c r="BI13" i="1" a="1"/>
  <c r="BI13" i="1" s="1"/>
  <c r="BI21" i="1" a="1"/>
  <c r="BI21" i="1" s="1"/>
  <c r="BI29" i="1" a="1"/>
  <c r="BI29" i="1" s="1"/>
  <c r="BI37" i="1" a="1"/>
  <c r="BI37" i="1" s="1"/>
  <c r="BI45" i="1" a="1"/>
  <c r="BI45" i="1" s="1"/>
  <c r="BI53" i="1" a="1"/>
  <c r="BI53" i="1" s="1"/>
  <c r="BI61" i="1" a="1"/>
  <c r="BI61" i="1" s="1"/>
  <c r="BI69" i="1" a="1"/>
  <c r="BI69" i="1" s="1"/>
  <c r="BI77" i="1" a="1"/>
  <c r="BI77" i="1" s="1"/>
  <c r="BI85" i="1" a="1"/>
  <c r="BI85" i="1" s="1"/>
  <c r="BI109" i="1" a="1"/>
  <c r="BI109" i="1" s="1"/>
  <c r="BK67" i="1" a="1"/>
  <c r="BK67" i="1" s="1"/>
  <c r="BI17" i="1" a="1"/>
  <c r="BI17" i="1" s="1"/>
  <c r="BI73" i="1" a="1"/>
  <c r="BI73" i="1" s="1"/>
  <c r="BL11" i="1" a="1"/>
  <c r="BL11" i="1" s="1"/>
  <c r="BL19" i="1" a="1"/>
  <c r="BL19" i="1" s="1"/>
  <c r="BL27" i="1" a="1"/>
  <c r="BL27" i="1" s="1"/>
  <c r="BL35" i="1" a="1"/>
  <c r="BL35" i="1" s="1"/>
  <c r="BL43" i="1" a="1"/>
  <c r="BL43" i="1" s="1"/>
  <c r="BL50" i="1" a="1"/>
  <c r="BL50" i="1" s="1"/>
  <c r="BL58" i="1" a="1"/>
  <c r="BL58" i="1" s="1"/>
  <c r="BL66" i="1" a="1"/>
  <c r="BL66" i="1" s="1"/>
  <c r="BL74" i="1" a="1"/>
  <c r="BL74" i="1" s="1"/>
  <c r="BL82" i="1" a="1"/>
  <c r="BL82" i="1" s="1"/>
  <c r="BL90" i="1" a="1"/>
  <c r="BL90" i="1" s="1"/>
  <c r="BL98" i="1" a="1"/>
  <c r="BL98" i="1" s="1"/>
  <c r="BL106" i="1" a="1"/>
  <c r="BL106" i="1" s="1"/>
  <c r="BK8" i="1" a="1"/>
  <c r="BK8" i="1" s="1"/>
  <c r="BK16" i="1" a="1"/>
  <c r="BK16" i="1" s="1"/>
  <c r="BK24" i="1" a="1"/>
  <c r="BK24" i="1" s="1"/>
  <c r="BK32" i="1" a="1"/>
  <c r="BK32" i="1" s="1"/>
  <c r="BK40" i="1" a="1"/>
  <c r="BK40" i="1" s="1"/>
  <c r="BK48" i="1" a="1"/>
  <c r="BK48" i="1" s="1"/>
  <c r="BK56" i="1" a="1"/>
  <c r="BK56" i="1" s="1"/>
  <c r="BK64" i="1" a="1"/>
  <c r="BK64" i="1" s="1"/>
  <c r="BK72" i="1" a="1"/>
  <c r="BK72" i="1" s="1"/>
  <c r="BK80" i="1" a="1"/>
  <c r="BK80" i="1" s="1"/>
  <c r="BK88" i="1" a="1"/>
  <c r="BK88" i="1" s="1"/>
  <c r="BK96" i="1" a="1"/>
  <c r="BK96" i="1" s="1"/>
  <c r="BK104" i="1" a="1"/>
  <c r="BK104" i="1" s="1"/>
  <c r="BK112" i="1" a="1"/>
  <c r="BK112" i="1" s="1"/>
  <c r="BI14" i="1" a="1"/>
  <c r="BI14" i="1" s="1"/>
  <c r="BI22" i="1" a="1"/>
  <c r="BI22" i="1" s="1"/>
  <c r="BI30" i="1" a="1"/>
  <c r="BI30" i="1" s="1"/>
  <c r="BI38" i="1" a="1"/>
  <c r="BI38" i="1" s="1"/>
  <c r="BI46" i="1" a="1"/>
  <c r="BI46" i="1" s="1"/>
  <c r="BI54" i="1" a="1"/>
  <c r="BI54" i="1" s="1"/>
  <c r="BI62" i="1" a="1"/>
  <c r="BI62" i="1" s="1"/>
  <c r="BI70" i="1" a="1"/>
  <c r="BI70" i="1" s="1"/>
  <c r="BI78" i="1" a="1"/>
  <c r="BI78" i="1" s="1"/>
  <c r="BI86" i="1" a="1"/>
  <c r="BI86" i="1" s="1"/>
  <c r="BI94" i="1" a="1"/>
  <c r="BI94" i="1" s="1"/>
  <c r="BI102" i="1" a="1"/>
  <c r="BI102" i="1" s="1"/>
  <c r="BI110" i="1" a="1"/>
  <c r="BI110" i="1" s="1"/>
  <c r="BI103" i="1" a="1"/>
  <c r="BI103" i="1" s="1"/>
  <c r="BI32" i="1" a="1"/>
  <c r="BI32" i="1" s="1"/>
  <c r="BI56" i="1" a="1"/>
  <c r="BI56" i="1" s="1"/>
  <c r="BI80" i="1" a="1"/>
  <c r="BI80" i="1" s="1"/>
  <c r="BI104" i="1" a="1"/>
  <c r="BI104" i="1" s="1"/>
  <c r="BI112" i="1" a="1"/>
  <c r="BI112" i="1" s="1"/>
  <c r="BL30" i="1" a="1"/>
  <c r="BL30" i="1" s="1"/>
  <c r="BL61" i="1" a="1"/>
  <c r="BL61" i="1" s="1"/>
  <c r="BL85" i="1" a="1"/>
  <c r="BL85" i="1" s="1"/>
  <c r="BL101" i="1" a="1"/>
  <c r="BL101" i="1" s="1"/>
  <c r="BK11" i="1" a="1"/>
  <c r="BK11" i="1" s="1"/>
  <c r="BK51" i="1" a="1"/>
  <c r="BK51" i="1" s="1"/>
  <c r="BK107" i="1" a="1"/>
  <c r="BK107" i="1" s="1"/>
  <c r="BI49" i="1" a="1"/>
  <c r="BI49" i="1" s="1"/>
  <c r="BI105" i="1" a="1"/>
  <c r="BI105" i="1" s="1"/>
  <c r="BL12" i="1" a="1"/>
  <c r="BL12" i="1" s="1"/>
  <c r="BL20" i="1" a="1"/>
  <c r="BL20" i="1" s="1"/>
  <c r="BL28" i="1" a="1"/>
  <c r="BL28" i="1" s="1"/>
  <c r="BL36" i="1" a="1"/>
  <c r="BL36" i="1" s="1"/>
  <c r="BL44" i="1" a="1"/>
  <c r="BL44" i="1" s="1"/>
  <c r="BL51" i="1" a="1"/>
  <c r="BL51" i="1" s="1"/>
  <c r="BL59" i="1" a="1"/>
  <c r="BL59" i="1" s="1"/>
  <c r="BL67" i="1" a="1"/>
  <c r="BL67" i="1" s="1"/>
  <c r="BL75" i="1" a="1"/>
  <c r="BL75" i="1" s="1"/>
  <c r="BL83" i="1" a="1"/>
  <c r="BL83" i="1" s="1"/>
  <c r="BL91" i="1" a="1"/>
  <c r="BL91" i="1" s="1"/>
  <c r="BL99" i="1" a="1"/>
  <c r="BL99" i="1" s="1"/>
  <c r="BL107" i="1" a="1"/>
  <c r="BL107" i="1" s="1"/>
  <c r="BK9" i="1" a="1"/>
  <c r="BK9" i="1" s="1"/>
  <c r="BK17" i="1" a="1"/>
  <c r="BK17" i="1" s="1"/>
  <c r="BK25" i="1" a="1"/>
  <c r="BK25" i="1" s="1"/>
  <c r="BK33" i="1" a="1"/>
  <c r="BK33" i="1" s="1"/>
  <c r="BK41" i="1" a="1"/>
  <c r="BK41" i="1" s="1"/>
  <c r="BK49" i="1" a="1"/>
  <c r="BK49" i="1" s="1"/>
  <c r="BK57" i="1" a="1"/>
  <c r="BK57" i="1" s="1"/>
  <c r="BK65" i="1" a="1"/>
  <c r="BK65" i="1" s="1"/>
  <c r="BK73" i="1" a="1"/>
  <c r="BK73" i="1" s="1"/>
  <c r="BK81" i="1" a="1"/>
  <c r="BK81" i="1" s="1"/>
  <c r="BK89" i="1" a="1"/>
  <c r="BK89" i="1" s="1"/>
  <c r="BK97" i="1" a="1"/>
  <c r="BK97" i="1" s="1"/>
  <c r="BK105" i="1" a="1"/>
  <c r="BK105" i="1" s="1"/>
  <c r="BK7" i="1" a="1"/>
  <c r="BK7" i="1" s="1"/>
  <c r="BI15" i="1" a="1"/>
  <c r="BI15" i="1" s="1"/>
  <c r="BI23" i="1" a="1"/>
  <c r="BI23" i="1" s="1"/>
  <c r="BI31" i="1" a="1"/>
  <c r="BI31" i="1" s="1"/>
  <c r="BI39" i="1" a="1"/>
  <c r="BI39" i="1" s="1"/>
  <c r="BI47" i="1" a="1"/>
  <c r="BI47" i="1" s="1"/>
  <c r="BI55" i="1" a="1"/>
  <c r="BI55" i="1" s="1"/>
  <c r="BI63" i="1" a="1"/>
  <c r="BI63" i="1" s="1"/>
  <c r="BI71" i="1" a="1"/>
  <c r="BI71" i="1" s="1"/>
  <c r="BI79" i="1" a="1"/>
  <c r="BI79" i="1" s="1"/>
  <c r="BI87" i="1" a="1"/>
  <c r="BI87" i="1" s="1"/>
  <c r="BI95" i="1" a="1"/>
  <c r="BI95" i="1" s="1"/>
  <c r="BI111" i="1" a="1"/>
  <c r="BI111" i="1" s="1"/>
  <c r="BI48" i="1" a="1"/>
  <c r="BI48" i="1" s="1"/>
  <c r="BI72" i="1" a="1"/>
  <c r="BI72" i="1" s="1"/>
  <c r="BI96" i="1" a="1"/>
  <c r="BI96" i="1" s="1"/>
  <c r="BL14" i="1" a="1"/>
  <c r="BL14" i="1" s="1"/>
  <c r="BL38" i="1" a="1"/>
  <c r="BL38" i="1" s="1"/>
  <c r="BL69" i="1" a="1"/>
  <c r="BL69" i="1" s="1"/>
  <c r="BL93" i="1" a="1"/>
  <c r="BL93" i="1" s="1"/>
  <c r="BK27" i="1" a="1"/>
  <c r="BK27" i="1" s="1"/>
  <c r="BK75" i="1" a="1"/>
  <c r="BK75" i="1" s="1"/>
  <c r="BI25" i="1" a="1"/>
  <c r="BI25" i="1" s="1"/>
  <c r="BI81" i="1" a="1"/>
  <c r="BI81" i="1" s="1"/>
  <c r="BL13" i="1" a="1"/>
  <c r="BL13" i="1" s="1"/>
  <c r="BL21" i="1" a="1"/>
  <c r="BL21" i="1" s="1"/>
  <c r="BL29" i="1" a="1"/>
  <c r="BL29" i="1" s="1"/>
  <c r="BL37" i="1" a="1"/>
  <c r="BL37" i="1" s="1"/>
  <c r="BL45" i="1" a="1"/>
  <c r="BL45" i="1" s="1"/>
  <c r="BL52" i="1" a="1"/>
  <c r="BL52" i="1" s="1"/>
  <c r="BL60" i="1" a="1"/>
  <c r="BL60" i="1" s="1"/>
  <c r="BL68" i="1" a="1"/>
  <c r="BL68" i="1" s="1"/>
  <c r="BL76" i="1" a="1"/>
  <c r="BL76" i="1" s="1"/>
  <c r="BL84" i="1" a="1"/>
  <c r="BL84" i="1" s="1"/>
  <c r="BL92" i="1" a="1"/>
  <c r="BL92" i="1" s="1"/>
  <c r="BL100" i="1" a="1"/>
  <c r="BL100" i="1" s="1"/>
  <c r="BL108" i="1" a="1"/>
  <c r="BL108" i="1" s="1"/>
  <c r="BK10" i="1" a="1"/>
  <c r="BK10" i="1" s="1"/>
  <c r="BK18" i="1" a="1"/>
  <c r="BK18" i="1" s="1"/>
  <c r="BK26" i="1" a="1"/>
  <c r="BK26" i="1" s="1"/>
  <c r="BK34" i="1" a="1"/>
  <c r="BK34" i="1" s="1"/>
  <c r="BK42" i="1" a="1"/>
  <c r="BK42" i="1" s="1"/>
  <c r="BK50" i="1" a="1"/>
  <c r="BK50" i="1" s="1"/>
  <c r="BK58" i="1" a="1"/>
  <c r="BK58" i="1" s="1"/>
  <c r="BK66" i="1" a="1"/>
  <c r="BK66" i="1" s="1"/>
  <c r="BK74" i="1" a="1"/>
  <c r="BK74" i="1" s="1"/>
  <c r="BK82" i="1" a="1"/>
  <c r="BK82" i="1" s="1"/>
  <c r="BK90" i="1" a="1"/>
  <c r="BK90" i="1" s="1"/>
  <c r="BK98" i="1" a="1"/>
  <c r="BK98" i="1" s="1"/>
  <c r="BK106" i="1" a="1"/>
  <c r="BK106" i="1" s="1"/>
  <c r="BI8" i="1" a="1"/>
  <c r="BI8" i="1" s="1"/>
  <c r="BI16" i="1" a="1"/>
  <c r="BI16" i="1" s="1"/>
  <c r="BI24" i="1" a="1"/>
  <c r="BI24" i="1" s="1"/>
  <c r="BI40" i="1" a="1"/>
  <c r="BI40" i="1" s="1"/>
  <c r="BI64" i="1" a="1"/>
  <c r="BI64" i="1" s="1"/>
  <c r="BI88" i="1" a="1"/>
  <c r="BI88" i="1" s="1"/>
  <c r="BL22" i="1" a="1"/>
  <c r="BL22" i="1" s="1"/>
  <c r="BL53" i="1" a="1"/>
  <c r="BL53" i="1" s="1"/>
  <c r="BL77" i="1" a="1"/>
  <c r="BL77" i="1" s="1"/>
  <c r="BL109" i="1" a="1"/>
  <c r="BL109" i="1" s="1"/>
  <c r="BK35" i="1" a="1"/>
  <c r="BK35" i="1" s="1"/>
  <c r="BK91" i="1" a="1"/>
  <c r="BK91" i="1" s="1"/>
  <c r="BI41" i="1" a="1"/>
  <c r="BI41" i="1" s="1"/>
  <c r="BI97" i="1" a="1"/>
  <c r="BI97" i="1" s="1"/>
  <c r="BL15" i="1" a="1"/>
  <c r="BL15" i="1" s="1"/>
  <c r="BL23" i="1" a="1"/>
  <c r="BL23" i="1" s="1"/>
  <c r="BL31" i="1" a="1"/>
  <c r="BL31" i="1" s="1"/>
  <c r="BL39" i="1" a="1"/>
  <c r="BL39" i="1" s="1"/>
  <c r="BL46" i="1" a="1"/>
  <c r="BL46" i="1" s="1"/>
  <c r="BL54" i="1" a="1"/>
  <c r="BL54" i="1" s="1"/>
  <c r="BL62" i="1" a="1"/>
  <c r="BL62" i="1" s="1"/>
  <c r="BL70" i="1" a="1"/>
  <c r="BL70" i="1" s="1"/>
  <c r="BL78" i="1" a="1"/>
  <c r="BL78" i="1" s="1"/>
  <c r="BL86" i="1" a="1"/>
  <c r="BL86" i="1" s="1"/>
  <c r="BL94" i="1" a="1"/>
  <c r="BL94" i="1" s="1"/>
  <c r="BL102" i="1" a="1"/>
  <c r="BL102" i="1" s="1"/>
  <c r="BL110" i="1" a="1"/>
  <c r="BL110" i="1" s="1"/>
  <c r="BK12" i="1" a="1"/>
  <c r="BK12" i="1" s="1"/>
  <c r="BK20" i="1" a="1"/>
  <c r="BK20" i="1" s="1"/>
  <c r="BK28" i="1" a="1"/>
  <c r="BK28" i="1" s="1"/>
  <c r="BK36" i="1" a="1"/>
  <c r="BK36" i="1" s="1"/>
  <c r="BK44" i="1" a="1"/>
  <c r="BK44" i="1" s="1"/>
  <c r="BK52" i="1" a="1"/>
  <c r="BK52" i="1" s="1"/>
  <c r="BK60" i="1" a="1"/>
  <c r="BK60" i="1" s="1"/>
  <c r="BK68" i="1" a="1"/>
  <c r="BK68" i="1" s="1"/>
  <c r="BK76" i="1" a="1"/>
  <c r="BK76" i="1" s="1"/>
  <c r="BK84" i="1" a="1"/>
  <c r="BK84" i="1" s="1"/>
  <c r="BK92" i="1" a="1"/>
  <c r="BK92" i="1" s="1"/>
  <c r="BK100" i="1" a="1"/>
  <c r="BK100" i="1" s="1"/>
  <c r="BK108" i="1" a="1"/>
  <c r="BK108" i="1" s="1"/>
  <c r="BI10" i="1" a="1"/>
  <c r="BI10" i="1" s="1"/>
  <c r="BI18" i="1" a="1"/>
  <c r="BI18" i="1" s="1"/>
  <c r="BI26" i="1" a="1"/>
  <c r="BI26" i="1" s="1"/>
  <c r="BI34" i="1" a="1"/>
  <c r="BI34" i="1" s="1"/>
  <c r="BI42" i="1" a="1"/>
  <c r="BI42" i="1" s="1"/>
  <c r="BI50" i="1" a="1"/>
  <c r="BI50" i="1" s="1"/>
  <c r="BI58" i="1" a="1"/>
  <c r="BI58" i="1" s="1"/>
  <c r="BI66" i="1" a="1"/>
  <c r="BI66" i="1" s="1"/>
  <c r="BI74" i="1" a="1"/>
  <c r="BI74" i="1" s="1"/>
  <c r="BI82" i="1" a="1"/>
  <c r="BI82" i="1" s="1"/>
  <c r="BI90" i="1" a="1"/>
  <c r="BI90" i="1" s="1"/>
  <c r="BI98" i="1" a="1"/>
  <c r="BI98" i="1" s="1"/>
  <c r="BI106" i="1" a="1"/>
  <c r="BI106" i="1" s="1"/>
  <c r="BI27" i="1" a="1"/>
  <c r="BI27" i="1" s="1"/>
  <c r="BI43" i="1" a="1"/>
  <c r="BI43" i="1" s="1"/>
  <c r="BI59" i="1" a="1"/>
  <c r="BI59" i="1" s="1"/>
  <c r="BI75" i="1" a="1"/>
  <c r="BI75" i="1" s="1"/>
  <c r="BI91" i="1" a="1"/>
  <c r="BI91" i="1" s="1"/>
  <c r="BI107" i="1" a="1"/>
  <c r="BI107" i="1" s="1"/>
  <c r="BI92" i="1" a="1"/>
  <c r="BI92" i="1" s="1"/>
  <c r="BI93" i="1" a="1"/>
  <c r="BI93" i="1" s="1"/>
  <c r="BK43" i="1" a="1"/>
  <c r="BK43" i="1" s="1"/>
  <c r="BK99" i="1" a="1"/>
  <c r="BK99" i="1" s="1"/>
  <c r="BI57" i="1" a="1"/>
  <c r="BI57" i="1" s="1"/>
  <c r="BI7" i="1" a="1"/>
  <c r="BI7" i="1" s="1"/>
  <c r="D64" i="5" a="1"/>
  <c r="D64" i="5" s="1"/>
  <c r="D58" i="5" a="1"/>
  <c r="D58" i="5" s="1"/>
  <c r="H65" i="5" a="1"/>
  <c r="H65" i="5" s="1"/>
  <c r="BB31" i="15"/>
  <c r="AY30" i="15"/>
  <c r="E123" i="10" a="1"/>
  <c r="E123" i="10" s="1"/>
  <c r="C43" i="10" a="1"/>
  <c r="C43" i="10" s="1"/>
  <c r="C123" i="10" a="1"/>
  <c r="C123" i="10" s="1"/>
  <c r="E122" i="10" a="1"/>
  <c r="E122" i="10" s="1"/>
  <c r="C124" i="10" a="1"/>
  <c r="C124" i="10" s="1"/>
  <c r="I77" i="5" a="1"/>
  <c r="I77" i="5" s="1"/>
  <c r="D124" i="10" a="1"/>
  <c r="D124" i="10" s="1"/>
  <c r="H77" i="5" a="1"/>
  <c r="H77" i="5" s="1"/>
  <c r="D122" i="10" a="1"/>
  <c r="D122" i="10" s="1"/>
  <c r="D43" i="10" a="1"/>
  <c r="D43" i="10" s="1"/>
  <c r="I65" i="5" a="1"/>
  <c r="I65" i="5" s="1"/>
  <c r="E124" i="10" a="1"/>
  <c r="E124" i="10" s="1"/>
  <c r="C122" i="10" a="1"/>
  <c r="C122" i="10" s="1"/>
  <c r="H89" i="5" a="1"/>
  <c r="H89" i="5" s="1"/>
  <c r="I89" i="5" a="1"/>
  <c r="I89" i="5" s="1"/>
  <c r="D89" i="5" a="1"/>
  <c r="D89" i="5" s="1"/>
  <c r="BK30" i="15"/>
  <c r="BS30" i="15"/>
  <c r="BT27" i="15"/>
  <c r="BV32" i="15"/>
  <c r="BW29" i="15"/>
  <c r="CB27" i="15"/>
  <c r="BC32" i="15"/>
  <c r="AY32" i="15"/>
  <c r="AZ27" i="15"/>
  <c r="BB30" i="15"/>
  <c r="AX31" i="15"/>
  <c r="H87" i="5" a="1"/>
  <c r="H87" i="5" s="1"/>
  <c r="H75" i="5" a="1"/>
  <c r="H75" i="5" s="1"/>
  <c r="H59" i="5" a="1"/>
  <c r="H59" i="5" s="1"/>
  <c r="H58" i="5" a="1"/>
  <c r="H58" i="5" s="1"/>
  <c r="E43" i="10" a="1"/>
  <c r="E43" i="10" s="1"/>
  <c r="C121" i="10" a="1"/>
  <c r="C121" i="10" s="1"/>
  <c r="H66" i="5" a="1"/>
  <c r="H66" i="5" s="1"/>
  <c r="AW29" i="15"/>
  <c r="BC28" i="15"/>
  <c r="BE30" i="15"/>
  <c r="BF27" i="15"/>
  <c r="BK28" i="15"/>
  <c r="BM30" i="15"/>
  <c r="BN27" i="15"/>
  <c r="BP32" i="15"/>
  <c r="BQ29" i="15"/>
  <c r="BR31" i="15"/>
  <c r="BS28" i="15"/>
  <c r="BU30" i="15"/>
  <c r="BV27" i="15"/>
  <c r="BX32" i="15"/>
  <c r="BY29" i="15"/>
  <c r="BZ31" i="15"/>
  <c r="CA28" i="15"/>
  <c r="AU30" i="15"/>
  <c r="AV27" i="15"/>
  <c r="I76" i="5" a="1"/>
  <c r="I76" i="5" s="1"/>
  <c r="A16" i="7" a="1"/>
  <c r="A16" i="7" s="1"/>
  <c r="AW28" i="15"/>
  <c r="AX29" i="15"/>
  <c r="AZ30" i="15"/>
  <c r="BA27" i="15"/>
  <c r="BC31" i="15"/>
  <c r="BD28" i="15"/>
  <c r="AU31" i="15"/>
  <c r="AV30" i="15"/>
  <c r="BF30" i="15"/>
  <c r="BH27" i="15"/>
  <c r="BK31" i="15"/>
  <c r="BN30" i="15"/>
  <c r="BO27" i="15"/>
  <c r="BQ32" i="15"/>
  <c r="BS31" i="15"/>
  <c r="BW27" i="15"/>
  <c r="BY32" i="15"/>
  <c r="CA31" i="15"/>
  <c r="AV29" i="15"/>
  <c r="AX30" i="15"/>
  <c r="AY28" i="15"/>
  <c r="AZ29" i="15"/>
  <c r="BA31" i="15"/>
  <c r="BB32" i="15"/>
  <c r="BC27" i="15"/>
  <c r="BE32" i="15"/>
  <c r="BJ31" i="15"/>
  <c r="BK27" i="15"/>
  <c r="BM32" i="15"/>
  <c r="BO31" i="15"/>
  <c r="BP28" i="15"/>
  <c r="BR30" i="15"/>
  <c r="BS27" i="15"/>
  <c r="BU32" i="15"/>
  <c r="BW31" i="15"/>
  <c r="BX28" i="15"/>
  <c r="CA27" i="15"/>
  <c r="AV9" i="1" a="1"/>
  <c r="AV9" i="1" s="1"/>
  <c r="AU12" i="1" a="1"/>
  <c r="AU12" i="1" s="1"/>
  <c r="AT15" i="1" a="1"/>
  <c r="AT15" i="1" s="1"/>
  <c r="AV17" i="1" a="1"/>
  <c r="AV17" i="1" s="1"/>
  <c r="AU20" i="1" a="1"/>
  <c r="AU20" i="1" s="1"/>
  <c r="AT23" i="1" a="1"/>
  <c r="AT23" i="1" s="1"/>
  <c r="AV25" i="1" a="1"/>
  <c r="AV25" i="1" s="1"/>
  <c r="AU28" i="1" a="1"/>
  <c r="AU28" i="1" s="1"/>
  <c r="AT31" i="1" a="1"/>
  <c r="AT31" i="1" s="1"/>
  <c r="AV33" i="1" a="1"/>
  <c r="AV33" i="1" s="1"/>
  <c r="AU36" i="1" a="1"/>
  <c r="AU36" i="1" s="1"/>
  <c r="AT39" i="1" a="1"/>
  <c r="AT39" i="1" s="1"/>
  <c r="AV41" i="1" a="1"/>
  <c r="AV41" i="1" s="1"/>
  <c r="AU44" i="1" a="1"/>
  <c r="AU44" i="1" s="1"/>
  <c r="AT47" i="1" a="1"/>
  <c r="AT47" i="1" s="1"/>
  <c r="AV49" i="1" a="1"/>
  <c r="AV49" i="1" s="1"/>
  <c r="AU52" i="1" a="1"/>
  <c r="AU52" i="1" s="1"/>
  <c r="AT55" i="1" a="1"/>
  <c r="AT55" i="1" s="1"/>
  <c r="AV57" i="1" a="1"/>
  <c r="AV57" i="1" s="1"/>
  <c r="AU60" i="1" a="1"/>
  <c r="AU60" i="1" s="1"/>
  <c r="AT63" i="1" a="1"/>
  <c r="AT63" i="1" s="1"/>
  <c r="AV65" i="1" a="1"/>
  <c r="AV65" i="1" s="1"/>
  <c r="AU68" i="1" a="1"/>
  <c r="AU68" i="1" s="1"/>
  <c r="AT71" i="1" a="1"/>
  <c r="AT71" i="1" s="1"/>
  <c r="AV73" i="1" a="1"/>
  <c r="AV73" i="1" s="1"/>
  <c r="AU76" i="1" a="1"/>
  <c r="AU76" i="1" s="1"/>
  <c r="AT79" i="1" a="1"/>
  <c r="AT79" i="1" s="1"/>
  <c r="AV81" i="1" a="1"/>
  <c r="AV81" i="1" s="1"/>
  <c r="AU84" i="1" a="1"/>
  <c r="AU84" i="1" s="1"/>
  <c r="AT87" i="1" a="1"/>
  <c r="AT87" i="1" s="1"/>
  <c r="AV89" i="1" a="1"/>
  <c r="AV89" i="1" s="1"/>
  <c r="AT95" i="1" a="1"/>
  <c r="AT95" i="1" s="1"/>
  <c r="AU100" i="1" a="1"/>
  <c r="AU100" i="1" s="1"/>
  <c r="AV105" i="1" a="1"/>
  <c r="AV105" i="1" s="1"/>
  <c r="AU87" i="1" a="1"/>
  <c r="AU87" i="1" s="1"/>
  <c r="AU95" i="1" a="1"/>
  <c r="AU95" i="1" s="1"/>
  <c r="AU103" i="1" a="1"/>
  <c r="AU103" i="1" s="1"/>
  <c r="AT111" i="1" a="1"/>
  <c r="AT111" i="1" s="1"/>
  <c r="AT14" i="1" a="1"/>
  <c r="AT14" i="1" s="1"/>
  <c r="AT30" i="1" a="1"/>
  <c r="AT30" i="1" s="1"/>
  <c r="AU51" i="1" a="1"/>
  <c r="AU51" i="1" s="1"/>
  <c r="AT70" i="1" a="1"/>
  <c r="AT70" i="1" s="1"/>
  <c r="AV88" i="1" a="1"/>
  <c r="AV88" i="1" s="1"/>
  <c r="AV104" i="1" a="1"/>
  <c r="AV104" i="1" s="1"/>
  <c r="AU7" i="1" a="1"/>
  <c r="AU7" i="1" s="1"/>
  <c r="AT10" i="1" a="1"/>
  <c r="AT10" i="1" s="1"/>
  <c r="AV12" i="1" a="1"/>
  <c r="AV12" i="1" s="1"/>
  <c r="AU15" i="1" a="1"/>
  <c r="AU15" i="1" s="1"/>
  <c r="AT18" i="1" a="1"/>
  <c r="AT18" i="1" s="1"/>
  <c r="AV20" i="1" a="1"/>
  <c r="AV20" i="1" s="1"/>
  <c r="AU23" i="1" a="1"/>
  <c r="AU23" i="1" s="1"/>
  <c r="AT26" i="1" a="1"/>
  <c r="AT26" i="1" s="1"/>
  <c r="AV28" i="1" a="1"/>
  <c r="AV28" i="1" s="1"/>
  <c r="AU31" i="1" a="1"/>
  <c r="AU31" i="1" s="1"/>
  <c r="AT34" i="1" a="1"/>
  <c r="AT34" i="1" s="1"/>
  <c r="AV36" i="1" a="1"/>
  <c r="AV36" i="1" s="1"/>
  <c r="AU39" i="1" a="1"/>
  <c r="AU39" i="1" s="1"/>
  <c r="AT42" i="1" a="1"/>
  <c r="AT42" i="1" s="1"/>
  <c r="AV44" i="1" a="1"/>
  <c r="AV44" i="1" s="1"/>
  <c r="AU47" i="1" a="1"/>
  <c r="AU47" i="1" s="1"/>
  <c r="AT50" i="1" a="1"/>
  <c r="AT50" i="1" s="1"/>
  <c r="AV52" i="1" a="1"/>
  <c r="AV52" i="1" s="1"/>
  <c r="AU55" i="1" a="1"/>
  <c r="AU55" i="1" s="1"/>
  <c r="AT58" i="1" a="1"/>
  <c r="AT58" i="1" s="1"/>
  <c r="AV60" i="1" a="1"/>
  <c r="AV60" i="1" s="1"/>
  <c r="AU63" i="1" a="1"/>
  <c r="AU63" i="1" s="1"/>
  <c r="AT66" i="1" a="1"/>
  <c r="AT66" i="1" s="1"/>
  <c r="AV68" i="1" a="1"/>
  <c r="AV68" i="1" s="1"/>
  <c r="AU71" i="1" a="1"/>
  <c r="AU71" i="1" s="1"/>
  <c r="AT74" i="1" a="1"/>
  <c r="AT74" i="1" s="1"/>
  <c r="AV76" i="1" a="1"/>
  <c r="AV76" i="1" s="1"/>
  <c r="AU79" i="1" a="1"/>
  <c r="AU79" i="1" s="1"/>
  <c r="AT82" i="1" a="1"/>
  <c r="AT82" i="1" s="1"/>
  <c r="AV84" i="1" a="1"/>
  <c r="AV84" i="1" s="1"/>
  <c r="AT90" i="1" a="1"/>
  <c r="AT90" i="1" s="1"/>
  <c r="AV100" i="1" a="1"/>
  <c r="AV100" i="1" s="1"/>
  <c r="AV108" i="1" a="1"/>
  <c r="AV108" i="1" s="1"/>
  <c r="AV109" i="1" a="1"/>
  <c r="AV109" i="1" s="1"/>
  <c r="AU27" i="1" a="1"/>
  <c r="AU27" i="1" s="1"/>
  <c r="AU43" i="1" a="1"/>
  <c r="AU43" i="1" s="1"/>
  <c r="AT62" i="1" a="1"/>
  <c r="AT62" i="1" s="1"/>
  <c r="AT78" i="1" a="1"/>
  <c r="AT78" i="1" s="1"/>
  <c r="AU99" i="1" a="1"/>
  <c r="AU99" i="1" s="1"/>
  <c r="AV7" i="1" a="1"/>
  <c r="AV7" i="1" s="1"/>
  <c r="AU10" i="1" a="1"/>
  <c r="AU10" i="1" s="1"/>
  <c r="AT13" i="1" a="1"/>
  <c r="AT13" i="1" s="1"/>
  <c r="AV15" i="1" a="1"/>
  <c r="AV15" i="1" s="1"/>
  <c r="AU18" i="1" a="1"/>
  <c r="AU18" i="1" s="1"/>
  <c r="AT21" i="1" a="1"/>
  <c r="AT21" i="1" s="1"/>
  <c r="AV23" i="1" a="1"/>
  <c r="AV23" i="1" s="1"/>
  <c r="AU26" i="1" a="1"/>
  <c r="AU26" i="1" s="1"/>
  <c r="AT29" i="1" a="1"/>
  <c r="AT29" i="1" s="1"/>
  <c r="AV31" i="1" a="1"/>
  <c r="AV31" i="1" s="1"/>
  <c r="AU34" i="1" a="1"/>
  <c r="AU34" i="1" s="1"/>
  <c r="AT37" i="1" a="1"/>
  <c r="AT37" i="1" s="1"/>
  <c r="AV39" i="1" a="1"/>
  <c r="AV39" i="1" s="1"/>
  <c r="AU42" i="1" a="1"/>
  <c r="AU42" i="1" s="1"/>
  <c r="AT45" i="1" a="1"/>
  <c r="AT45" i="1" s="1"/>
  <c r="AV47" i="1" a="1"/>
  <c r="AV47" i="1" s="1"/>
  <c r="AU50" i="1" a="1"/>
  <c r="AU50" i="1" s="1"/>
  <c r="AT53" i="1" a="1"/>
  <c r="AT53" i="1" s="1"/>
  <c r="AV55" i="1" a="1"/>
  <c r="AV55" i="1" s="1"/>
  <c r="AU58" i="1" a="1"/>
  <c r="AU58" i="1" s="1"/>
  <c r="AT61" i="1" a="1"/>
  <c r="AT61" i="1" s="1"/>
  <c r="AV63" i="1" a="1"/>
  <c r="AV63" i="1" s="1"/>
  <c r="AU66" i="1" a="1"/>
  <c r="AU66" i="1" s="1"/>
  <c r="AT69" i="1" a="1"/>
  <c r="AT69" i="1" s="1"/>
  <c r="AV71" i="1" a="1"/>
  <c r="AV71" i="1" s="1"/>
  <c r="AU74" i="1" a="1"/>
  <c r="AU74" i="1" s="1"/>
  <c r="AT77" i="1" a="1"/>
  <c r="AT77" i="1" s="1"/>
  <c r="AV79" i="1" a="1"/>
  <c r="AV79" i="1" s="1"/>
  <c r="AU82" i="1" a="1"/>
  <c r="AU82" i="1" s="1"/>
  <c r="AT85" i="1" a="1"/>
  <c r="AT85" i="1" s="1"/>
  <c r="AV87" i="1" a="1"/>
  <c r="AV87" i="1" s="1"/>
  <c r="AU90" i="1" a="1"/>
  <c r="AU90" i="1" s="1"/>
  <c r="AT93" i="1" a="1"/>
  <c r="AT93" i="1" s="1"/>
  <c r="AV95" i="1" a="1"/>
  <c r="AV95" i="1" s="1"/>
  <c r="AU98" i="1" a="1"/>
  <c r="AU98" i="1" s="1"/>
  <c r="AT101" i="1" a="1"/>
  <c r="AT101" i="1" s="1"/>
  <c r="AV103" i="1" a="1"/>
  <c r="AV103" i="1" s="1"/>
  <c r="AU106" i="1" a="1"/>
  <c r="AU106" i="1" s="1"/>
  <c r="AT109" i="1" a="1"/>
  <c r="AT109" i="1" s="1"/>
  <c r="AT112" i="1" a="1"/>
  <c r="AT112" i="1" s="1"/>
  <c r="AT51" i="1" a="1"/>
  <c r="AT51" i="1" s="1"/>
  <c r="AT59" i="1" a="1"/>
  <c r="AT59" i="1" s="1"/>
  <c r="AU64" i="1" a="1"/>
  <c r="AU64" i="1" s="1"/>
  <c r="AV69" i="1" a="1"/>
  <c r="AV69" i="1" s="1"/>
  <c r="AT75" i="1" a="1"/>
  <c r="AT75" i="1" s="1"/>
  <c r="AU80" i="1" a="1"/>
  <c r="AU80" i="1" s="1"/>
  <c r="AU88" i="1" a="1"/>
  <c r="AU88" i="1" s="1"/>
  <c r="AV93" i="1" a="1"/>
  <c r="AV93" i="1" s="1"/>
  <c r="AT99" i="1" a="1"/>
  <c r="AT99" i="1" s="1"/>
  <c r="AU111" i="1" a="1"/>
  <c r="AU111" i="1" s="1"/>
  <c r="AU19" i="1" a="1"/>
  <c r="AU19" i="1" s="1"/>
  <c r="AU35" i="1" a="1"/>
  <c r="AU35" i="1" s="1"/>
  <c r="AV48" i="1" a="1"/>
  <c r="AV48" i="1" s="1"/>
  <c r="AV64" i="1" a="1"/>
  <c r="AV64" i="1" s="1"/>
  <c r="AV80" i="1" a="1"/>
  <c r="AV80" i="1" s="1"/>
  <c r="AT94" i="1" a="1"/>
  <c r="AT94" i="1" s="1"/>
  <c r="AT110" i="1" a="1"/>
  <c r="AT110" i="1" s="1"/>
  <c r="AT8" i="1" a="1"/>
  <c r="AT8" i="1" s="1"/>
  <c r="AV10" i="1" a="1"/>
  <c r="AV10" i="1" s="1"/>
  <c r="AU13" i="1" a="1"/>
  <c r="AU13" i="1" s="1"/>
  <c r="AT16" i="1" a="1"/>
  <c r="AT16" i="1" s="1"/>
  <c r="AV18" i="1" a="1"/>
  <c r="AV18" i="1" s="1"/>
  <c r="AU21" i="1" a="1"/>
  <c r="AU21" i="1" s="1"/>
  <c r="AT24" i="1" a="1"/>
  <c r="AT24" i="1" s="1"/>
  <c r="AV26" i="1" a="1"/>
  <c r="AV26" i="1" s="1"/>
  <c r="AU29" i="1" a="1"/>
  <c r="AU29" i="1" s="1"/>
  <c r="AT32" i="1" a="1"/>
  <c r="AT32" i="1" s="1"/>
  <c r="AV34" i="1" a="1"/>
  <c r="AV34" i="1" s="1"/>
  <c r="AU37" i="1" a="1"/>
  <c r="AU37" i="1" s="1"/>
  <c r="AT40" i="1" a="1"/>
  <c r="AT40" i="1" s="1"/>
  <c r="AV42" i="1" a="1"/>
  <c r="AV42" i="1" s="1"/>
  <c r="AU45" i="1" a="1"/>
  <c r="AU45" i="1" s="1"/>
  <c r="AT48" i="1" a="1"/>
  <c r="AT48" i="1" s="1"/>
  <c r="AV50" i="1" a="1"/>
  <c r="AV50" i="1" s="1"/>
  <c r="AU53" i="1" a="1"/>
  <c r="AU53" i="1" s="1"/>
  <c r="AT56" i="1" a="1"/>
  <c r="AT56" i="1" s="1"/>
  <c r="AV58" i="1" a="1"/>
  <c r="AV58" i="1" s="1"/>
  <c r="AU61" i="1" a="1"/>
  <c r="AU61" i="1" s="1"/>
  <c r="AT64" i="1" a="1"/>
  <c r="AT64" i="1" s="1"/>
  <c r="AV66" i="1" a="1"/>
  <c r="AV66" i="1" s="1"/>
  <c r="AU69" i="1" a="1"/>
  <c r="AU69" i="1" s="1"/>
  <c r="AT72" i="1" a="1"/>
  <c r="AT72" i="1" s="1"/>
  <c r="AV74" i="1" a="1"/>
  <c r="AV74" i="1" s="1"/>
  <c r="AU77" i="1" a="1"/>
  <c r="AU77" i="1" s="1"/>
  <c r="AT80" i="1" a="1"/>
  <c r="AT80" i="1" s="1"/>
  <c r="AV82" i="1" a="1"/>
  <c r="AV82" i="1" s="1"/>
  <c r="AU85" i="1" a="1"/>
  <c r="AU85" i="1" s="1"/>
  <c r="AT88" i="1" a="1"/>
  <c r="AT88" i="1" s="1"/>
  <c r="AV90" i="1" a="1"/>
  <c r="AV90" i="1" s="1"/>
  <c r="AU93" i="1" a="1"/>
  <c r="AU93" i="1" s="1"/>
  <c r="AT96" i="1" a="1"/>
  <c r="AT96" i="1" s="1"/>
  <c r="AV98" i="1" a="1"/>
  <c r="AV98" i="1" s="1"/>
  <c r="AU101" i="1" a="1"/>
  <c r="AU101" i="1" s="1"/>
  <c r="AT104" i="1" a="1"/>
  <c r="AT104" i="1" s="1"/>
  <c r="AV106" i="1" a="1"/>
  <c r="AV106" i="1" s="1"/>
  <c r="AU109" i="1" a="1"/>
  <c r="AU109" i="1" s="1"/>
  <c r="AV45" i="1" a="1"/>
  <c r="AV45" i="1" s="1"/>
  <c r="AU48" i="1" a="1"/>
  <c r="AU48" i="1" s="1"/>
  <c r="AV53" i="1" a="1"/>
  <c r="AV53" i="1" s="1"/>
  <c r="AU56" i="1" a="1"/>
  <c r="AU56" i="1" s="1"/>
  <c r="AV61" i="1" a="1"/>
  <c r="AV61" i="1" s="1"/>
  <c r="AT67" i="1" a="1"/>
  <c r="AT67" i="1" s="1"/>
  <c r="AU72" i="1" a="1"/>
  <c r="AU72" i="1" s="1"/>
  <c r="AV77" i="1" a="1"/>
  <c r="AV77" i="1" s="1"/>
  <c r="AT83" i="1" a="1"/>
  <c r="AT83" i="1" s="1"/>
  <c r="AV85" i="1" a="1"/>
  <c r="AV85" i="1" s="1"/>
  <c r="AT91" i="1" a="1"/>
  <c r="AT91" i="1" s="1"/>
  <c r="AU96" i="1" a="1"/>
  <c r="AU96" i="1" s="1"/>
  <c r="AU104" i="1" a="1"/>
  <c r="AU104" i="1" s="1"/>
  <c r="AT22" i="1" a="1"/>
  <c r="AT22" i="1" s="1"/>
  <c r="AV32" i="1" a="1"/>
  <c r="AV32" i="1" s="1"/>
  <c r="AT46" i="1" a="1"/>
  <c r="AT46" i="1" s="1"/>
  <c r="AU59" i="1" a="1"/>
  <c r="AU59" i="1" s="1"/>
  <c r="AU67" i="1" a="1"/>
  <c r="AU67" i="1" s="1"/>
  <c r="AU83" i="1" a="1"/>
  <c r="AU83" i="1" s="1"/>
  <c r="AU91" i="1" a="1"/>
  <c r="AU91" i="1" s="1"/>
  <c r="AU107" i="1" a="1"/>
  <c r="AU107" i="1" s="1"/>
  <c r="AU8" i="1" a="1"/>
  <c r="AU8" i="1" s="1"/>
  <c r="AV13" i="1" a="1"/>
  <c r="AV13" i="1" s="1"/>
  <c r="AU16" i="1" a="1"/>
  <c r="AU16" i="1" s="1"/>
  <c r="AT19" i="1" a="1"/>
  <c r="AT19" i="1" s="1"/>
  <c r="AV21" i="1" a="1"/>
  <c r="AV21" i="1" s="1"/>
  <c r="AU24" i="1" a="1"/>
  <c r="AU24" i="1" s="1"/>
  <c r="AT27" i="1" a="1"/>
  <c r="AT27" i="1" s="1"/>
  <c r="AV29" i="1" a="1"/>
  <c r="AV29" i="1" s="1"/>
  <c r="AU32" i="1" a="1"/>
  <c r="AU32" i="1" s="1"/>
  <c r="AT35" i="1" a="1"/>
  <c r="AT35" i="1" s="1"/>
  <c r="AV37" i="1" a="1"/>
  <c r="AV37" i="1" s="1"/>
  <c r="AU40" i="1" a="1"/>
  <c r="AU40" i="1" s="1"/>
  <c r="AT43" i="1" a="1"/>
  <c r="AT43" i="1" s="1"/>
  <c r="AT9" i="1" a="1"/>
  <c r="AT9" i="1" s="1"/>
  <c r="AU14" i="1" a="1"/>
  <c r="AU14" i="1" s="1"/>
  <c r="AT17" i="1" a="1"/>
  <c r="AT17" i="1" s="1"/>
  <c r="AV19" i="1" a="1"/>
  <c r="AV19" i="1" s="1"/>
  <c r="AU22" i="1" a="1"/>
  <c r="AU22" i="1" s="1"/>
  <c r="AT25" i="1" a="1"/>
  <c r="AT25" i="1" s="1"/>
  <c r="AV27" i="1" a="1"/>
  <c r="AV27" i="1" s="1"/>
  <c r="AU30" i="1" a="1"/>
  <c r="AU30" i="1" s="1"/>
  <c r="AT33" i="1" a="1"/>
  <c r="AT33" i="1" s="1"/>
  <c r="AV35" i="1" a="1"/>
  <c r="AV35" i="1" s="1"/>
  <c r="AU38" i="1" a="1"/>
  <c r="AU38" i="1" s="1"/>
  <c r="AT41" i="1" a="1"/>
  <c r="AT41" i="1" s="1"/>
  <c r="AV43" i="1" a="1"/>
  <c r="AV43" i="1" s="1"/>
  <c r="AU46" i="1" a="1"/>
  <c r="AU46" i="1" s="1"/>
  <c r="AT49" i="1" a="1"/>
  <c r="AT49" i="1" s="1"/>
  <c r="AV51" i="1" a="1"/>
  <c r="AV51" i="1" s="1"/>
  <c r="AU54" i="1" a="1"/>
  <c r="AU54" i="1" s="1"/>
  <c r="AT57" i="1" a="1"/>
  <c r="AT57" i="1" s="1"/>
  <c r="AV59" i="1" a="1"/>
  <c r="AV59" i="1" s="1"/>
  <c r="AU62" i="1" a="1"/>
  <c r="AU62" i="1" s="1"/>
  <c r="AT65" i="1" a="1"/>
  <c r="AT65" i="1" s="1"/>
  <c r="AV67" i="1" a="1"/>
  <c r="AV67" i="1" s="1"/>
  <c r="AU70" i="1" a="1"/>
  <c r="AU70" i="1" s="1"/>
  <c r="AT73" i="1" a="1"/>
  <c r="AT73" i="1" s="1"/>
  <c r="AV75" i="1" a="1"/>
  <c r="AV75" i="1" s="1"/>
  <c r="AU78" i="1" a="1"/>
  <c r="AU78" i="1" s="1"/>
  <c r="AT81" i="1" a="1"/>
  <c r="AT81" i="1" s="1"/>
  <c r="AV83" i="1" a="1"/>
  <c r="AV83" i="1" s="1"/>
  <c r="AU86" i="1" a="1"/>
  <c r="AU86" i="1" s="1"/>
  <c r="AT89" i="1" a="1"/>
  <c r="AT89" i="1" s="1"/>
  <c r="AV91" i="1" a="1"/>
  <c r="AV91" i="1" s="1"/>
  <c r="AU94" i="1" a="1"/>
  <c r="AU94" i="1" s="1"/>
  <c r="AT97" i="1" a="1"/>
  <c r="AT97" i="1" s="1"/>
  <c r="AV99" i="1" a="1"/>
  <c r="AV99" i="1" s="1"/>
  <c r="AU102" i="1" a="1"/>
  <c r="AU102" i="1" s="1"/>
  <c r="AT105" i="1" a="1"/>
  <c r="AT105" i="1" s="1"/>
  <c r="AV107" i="1" a="1"/>
  <c r="AV107" i="1" s="1"/>
  <c r="AU110" i="1" a="1"/>
  <c r="AU110" i="1" s="1"/>
  <c r="AT107" i="1" a="1"/>
  <c r="AT107" i="1" s="1"/>
  <c r="AV16" i="1" a="1"/>
  <c r="AV16" i="1" s="1"/>
  <c r="AT38" i="1" a="1"/>
  <c r="AT38" i="1" s="1"/>
  <c r="AV56" i="1" a="1"/>
  <c r="AV56" i="1" s="1"/>
  <c r="AU75" i="1" a="1"/>
  <c r="AU75" i="1" s="1"/>
  <c r="AV96" i="1" a="1"/>
  <c r="AV96" i="1" s="1"/>
  <c r="AU9" i="1" a="1"/>
  <c r="AU9" i="1" s="1"/>
  <c r="AT12" i="1" a="1"/>
  <c r="AT12" i="1" s="1"/>
  <c r="AV14" i="1" a="1"/>
  <c r="AV14" i="1" s="1"/>
  <c r="AU17" i="1" a="1"/>
  <c r="AU17" i="1" s="1"/>
  <c r="AT20" i="1" a="1"/>
  <c r="AT20" i="1" s="1"/>
  <c r="AV22" i="1" a="1"/>
  <c r="AV22" i="1" s="1"/>
  <c r="AU25" i="1" a="1"/>
  <c r="AU25" i="1" s="1"/>
  <c r="AT28" i="1" a="1"/>
  <c r="AT28" i="1" s="1"/>
  <c r="AV30" i="1" a="1"/>
  <c r="AV30" i="1" s="1"/>
  <c r="AU33" i="1" a="1"/>
  <c r="AU33" i="1" s="1"/>
  <c r="AT36" i="1" a="1"/>
  <c r="AT36" i="1" s="1"/>
  <c r="AV38" i="1" a="1"/>
  <c r="AV38" i="1" s="1"/>
  <c r="AU41" i="1" a="1"/>
  <c r="AU41" i="1" s="1"/>
  <c r="AT44" i="1" a="1"/>
  <c r="AT44" i="1" s="1"/>
  <c r="AV46" i="1" a="1"/>
  <c r="AV46" i="1" s="1"/>
  <c r="AU49" i="1" a="1"/>
  <c r="AU49" i="1" s="1"/>
  <c r="AT52" i="1" a="1"/>
  <c r="AT52" i="1" s="1"/>
  <c r="AV54" i="1" a="1"/>
  <c r="AV54" i="1" s="1"/>
  <c r="AU57" i="1" a="1"/>
  <c r="AU57" i="1" s="1"/>
  <c r="AT60" i="1" a="1"/>
  <c r="AT60" i="1" s="1"/>
  <c r="AV62" i="1" a="1"/>
  <c r="AV62" i="1" s="1"/>
  <c r="AU65" i="1" a="1"/>
  <c r="AU65" i="1" s="1"/>
  <c r="AT68" i="1" a="1"/>
  <c r="AT68" i="1" s="1"/>
  <c r="AV70" i="1" a="1"/>
  <c r="AV70" i="1" s="1"/>
  <c r="AU73" i="1" a="1"/>
  <c r="AU73" i="1" s="1"/>
  <c r="AT76" i="1" a="1"/>
  <c r="AT76" i="1" s="1"/>
  <c r="AV78" i="1" a="1"/>
  <c r="AV78" i="1" s="1"/>
  <c r="AU81" i="1" a="1"/>
  <c r="AU81" i="1" s="1"/>
  <c r="AT84" i="1" a="1"/>
  <c r="AT84" i="1" s="1"/>
  <c r="AV86" i="1" a="1"/>
  <c r="AV86" i="1" s="1"/>
  <c r="AU89" i="1" a="1"/>
  <c r="AU89" i="1" s="1"/>
  <c r="AT92" i="1" a="1"/>
  <c r="AT92" i="1" s="1"/>
  <c r="AV94" i="1" a="1"/>
  <c r="AV94" i="1" s="1"/>
  <c r="AU97" i="1" a="1"/>
  <c r="AU97" i="1" s="1"/>
  <c r="AT100" i="1" a="1"/>
  <c r="AT100" i="1" s="1"/>
  <c r="AV102" i="1" a="1"/>
  <c r="AV102" i="1" s="1"/>
  <c r="AU105" i="1" a="1"/>
  <c r="AU105" i="1" s="1"/>
  <c r="AT108" i="1" a="1"/>
  <c r="AT108" i="1" s="1"/>
  <c r="AV110" i="1" a="1"/>
  <c r="AV110" i="1" s="1"/>
  <c r="AU92" i="1" a="1"/>
  <c r="AU92" i="1" s="1"/>
  <c r="AV97" i="1" a="1"/>
  <c r="AV97" i="1" s="1"/>
  <c r="AT103" i="1" a="1"/>
  <c r="AT103" i="1" s="1"/>
  <c r="AU108" i="1" a="1"/>
  <c r="AU108" i="1" s="1"/>
  <c r="AV111" i="1" a="1"/>
  <c r="AV111" i="1" s="1"/>
  <c r="AV92" i="1" a="1"/>
  <c r="AV92" i="1" s="1"/>
  <c r="AT98" i="1" a="1"/>
  <c r="AT98" i="1" s="1"/>
  <c r="AT106" i="1" a="1"/>
  <c r="AT106" i="1" s="1"/>
  <c r="AV101" i="1" a="1"/>
  <c r="AV101" i="1" s="1"/>
  <c r="AV8" i="1" a="1"/>
  <c r="AV8" i="1" s="1"/>
  <c r="AV24" i="1" a="1"/>
  <c r="AV24" i="1" s="1"/>
  <c r="AV40" i="1" a="1"/>
  <c r="AV40" i="1" s="1"/>
  <c r="AT54" i="1" a="1"/>
  <c r="AT54" i="1" s="1"/>
  <c r="AV72" i="1" a="1"/>
  <c r="AV72" i="1" s="1"/>
  <c r="AT86" i="1" a="1"/>
  <c r="AT86" i="1" s="1"/>
  <c r="AT102" i="1" a="1"/>
  <c r="AT102" i="1" s="1"/>
  <c r="AU112" i="1" a="1"/>
  <c r="AU112" i="1" s="1"/>
  <c r="AT31" i="15"/>
  <c r="AU28" i="15"/>
  <c r="AW31" i="15"/>
  <c r="AY27" i="15"/>
  <c r="BA30" i="15"/>
  <c r="BC29" i="15"/>
  <c r="BD31" i="15"/>
  <c r="BK29" i="15"/>
  <c r="BL31" i="15"/>
  <c r="BO30" i="15"/>
  <c r="BP27" i="15"/>
  <c r="BR32" i="15"/>
  <c r="BS29" i="15"/>
  <c r="BT31" i="15"/>
  <c r="BX27" i="15"/>
  <c r="BZ32" i="15"/>
  <c r="CA29" i="15"/>
  <c r="CB31" i="15"/>
  <c r="AT30" i="15"/>
  <c r="AU27" i="15"/>
  <c r="AW30" i="15"/>
  <c r="AY29" i="15"/>
  <c r="BA32" i="15"/>
  <c r="BB27" i="15"/>
  <c r="BD30" i="15"/>
  <c r="BE27" i="15"/>
  <c r="BI32" i="15"/>
  <c r="BL30" i="15"/>
  <c r="BM27" i="15"/>
  <c r="BO32" i="15"/>
  <c r="BQ31" i="15"/>
  <c r="BR28" i="15"/>
  <c r="BT30" i="15"/>
  <c r="BU27" i="15"/>
  <c r="BW32" i="15"/>
  <c r="BX29" i="15"/>
  <c r="BY31" i="15"/>
  <c r="BZ28" i="15"/>
  <c r="CB30" i="15"/>
  <c r="AU29" i="15"/>
  <c r="AV31" i="15"/>
  <c r="AW32" i="15"/>
  <c r="AX27" i="15"/>
  <c r="AZ31" i="15"/>
  <c r="BB29" i="15"/>
  <c r="BD32" i="15"/>
  <c r="BE29" i="15"/>
  <c r="BF31" i="15"/>
  <c r="BI28" i="15"/>
  <c r="BL32" i="15"/>
  <c r="BM29" i="15"/>
  <c r="BN31" i="15"/>
  <c r="BO28" i="15"/>
  <c r="BQ30" i="15"/>
  <c r="BR27" i="15"/>
  <c r="BT32" i="15"/>
  <c r="BU29" i="15"/>
  <c r="BV31" i="15"/>
  <c r="BW28" i="15"/>
  <c r="BZ27" i="15"/>
  <c r="CB32" i="15"/>
  <c r="BL28" i="15"/>
  <c r="BT28" i="15"/>
  <c r="CB28" i="15"/>
  <c r="AT27" i="15"/>
  <c r="AV32" i="15"/>
  <c r="AW27" i="15"/>
  <c r="AY31" i="15"/>
  <c r="BA29" i="15"/>
  <c r="BC30" i="15"/>
  <c r="BD27" i="15"/>
  <c r="BF32" i="15"/>
  <c r="BH29" i="15"/>
  <c r="BL27" i="15"/>
  <c r="BN32" i="15"/>
  <c r="BO29" i="15"/>
  <c r="BP31" i="15"/>
  <c r="BX31" i="15"/>
  <c r="AT29" i="15"/>
  <c r="AZ28" i="15"/>
  <c r="BE31" i="15"/>
  <c r="BF28" i="15"/>
  <c r="BK32" i="15"/>
  <c r="BM31" i="15"/>
  <c r="BN28" i="15"/>
  <c r="BP30" i="15"/>
  <c r="BQ27" i="15"/>
  <c r="BS32" i="15"/>
  <c r="BU31" i="15"/>
  <c r="BV28" i="15"/>
  <c r="BY27" i="15"/>
  <c r="CA32" i="15"/>
  <c r="A19" i="7" a="1"/>
  <c r="A19" i="7" s="1"/>
  <c r="CY114" i="9"/>
  <c r="BB114" i="9"/>
  <c r="CY113" i="9"/>
  <c r="BB113" i="9"/>
  <c r="BB102" i="9"/>
  <c r="BB83" i="9"/>
  <c r="F114" i="9"/>
  <c r="F113" i="9"/>
  <c r="BB100" i="9"/>
  <c r="F62" i="9"/>
  <c r="CY91" i="9"/>
  <c r="CY72" i="9"/>
  <c r="CY64" i="9"/>
  <c r="BB75" i="9"/>
  <c r="F86" i="9"/>
  <c r="CY89" i="9"/>
  <c r="BB67" i="9"/>
  <c r="F78" i="9"/>
  <c r="BB30" i="9"/>
  <c r="F54" i="9"/>
  <c r="F70" i="9"/>
  <c r="CY80" i="9"/>
  <c r="CY93" i="9"/>
  <c r="CY19" i="9"/>
  <c r="BB22" i="9"/>
  <c r="F25" i="9"/>
  <c r="CY35" i="9"/>
  <c r="CY40" i="9"/>
  <c r="F33" i="9"/>
  <c r="CY27" i="9"/>
  <c r="F46" i="9"/>
  <c r="F9" i="9"/>
  <c r="CY9" i="9"/>
  <c r="BB10" i="9"/>
  <c r="F11" i="9"/>
  <c r="CY11" i="9"/>
  <c r="BB12" i="9"/>
  <c r="F13" i="9"/>
  <c r="CY13" i="9"/>
  <c r="BB14" i="9"/>
  <c r="F15" i="9"/>
  <c r="CY15" i="9"/>
  <c r="BB16" i="9"/>
  <c r="F17" i="9"/>
  <c r="CY17" i="9"/>
  <c r="BB18" i="9"/>
  <c r="F19" i="9"/>
  <c r="CY21" i="9"/>
  <c r="BB24" i="9"/>
  <c r="F27" i="9"/>
  <c r="CY29" i="9"/>
  <c r="BB32" i="9"/>
  <c r="F35" i="9"/>
  <c r="CY38" i="9"/>
  <c r="F44" i="9"/>
  <c r="CY56" i="9"/>
  <c r="BB104" i="9"/>
  <c r="F111" i="9"/>
  <c r="F21" i="9"/>
  <c r="CY23" i="9"/>
  <c r="BB26" i="9"/>
  <c r="F29" i="9"/>
  <c r="CY31" i="9"/>
  <c r="BB34" i="9"/>
  <c r="F37" i="9"/>
  <c r="F38" i="9"/>
  <c r="BB43" i="9"/>
  <c r="CY48" i="9"/>
  <c r="BB59" i="9"/>
  <c r="BB112" i="9"/>
  <c r="BB9" i="9"/>
  <c r="F10" i="9"/>
  <c r="CY10" i="9"/>
  <c r="BB11" i="9"/>
  <c r="F12" i="9"/>
  <c r="CY12" i="9"/>
  <c r="BB13" i="9"/>
  <c r="F14" i="9"/>
  <c r="CY14" i="9"/>
  <c r="BB15" i="9"/>
  <c r="F16" i="9"/>
  <c r="CY16" i="9"/>
  <c r="BB17" i="9"/>
  <c r="F18" i="9"/>
  <c r="CY18" i="9"/>
  <c r="BB20" i="9"/>
  <c r="F23" i="9"/>
  <c r="CY25" i="9"/>
  <c r="BB28" i="9"/>
  <c r="F31" i="9"/>
  <c r="CY33" i="9"/>
  <c r="BB36" i="9"/>
  <c r="BB41" i="9"/>
  <c r="CY46" i="9"/>
  <c r="BB51" i="9"/>
  <c r="BB49" i="9"/>
  <c r="F52" i="9"/>
  <c r="CY54" i="9"/>
  <c r="BB57" i="9"/>
  <c r="F60" i="9"/>
  <c r="CY62" i="9"/>
  <c r="BB65" i="9"/>
  <c r="F68" i="9"/>
  <c r="CY70" i="9"/>
  <c r="BB73" i="9"/>
  <c r="F76" i="9"/>
  <c r="CY78" i="9"/>
  <c r="BB81" i="9"/>
  <c r="F84" i="9"/>
  <c r="CY86" i="9"/>
  <c r="BB92" i="9"/>
  <c r="BB94" i="9"/>
  <c r="BB96" i="9"/>
  <c r="F103" i="9"/>
  <c r="F105" i="9"/>
  <c r="F107" i="9"/>
  <c r="CY112" i="9"/>
  <c r="CY111" i="9"/>
  <c r="F109" i="9"/>
  <c r="BB106" i="9"/>
  <c r="CY103" i="9"/>
  <c r="F101" i="9"/>
  <c r="BB98" i="9"/>
  <c r="CY95" i="9"/>
  <c r="F93" i="9"/>
  <c r="BB90" i="9"/>
  <c r="CY87" i="9"/>
  <c r="F87" i="9"/>
  <c r="BB86" i="9"/>
  <c r="CY85" i="9"/>
  <c r="F85" i="9"/>
  <c r="BB84" i="9"/>
  <c r="CY83" i="9"/>
  <c r="F83" i="9"/>
  <c r="BB82" i="9"/>
  <c r="CY81" i="9"/>
  <c r="F81" i="9"/>
  <c r="BB80" i="9"/>
  <c r="CY79" i="9"/>
  <c r="F79" i="9"/>
  <c r="BB78" i="9"/>
  <c r="CY77" i="9"/>
  <c r="F77" i="9"/>
  <c r="BB76" i="9"/>
  <c r="CY75" i="9"/>
  <c r="F75" i="9"/>
  <c r="BB74" i="9"/>
  <c r="CY73" i="9"/>
  <c r="F73" i="9"/>
  <c r="BB72" i="9"/>
  <c r="CY71" i="9"/>
  <c r="F71" i="9"/>
  <c r="BB70" i="9"/>
  <c r="CY69" i="9"/>
  <c r="F69" i="9"/>
  <c r="BB68" i="9"/>
  <c r="CY67" i="9"/>
  <c r="F67" i="9"/>
  <c r="BB66" i="9"/>
  <c r="CY65" i="9"/>
  <c r="F65" i="9"/>
  <c r="BB64" i="9"/>
  <c r="CY63" i="9"/>
  <c r="F63" i="9"/>
  <c r="BB62" i="9"/>
  <c r="CY61" i="9"/>
  <c r="F61" i="9"/>
  <c r="BB60" i="9"/>
  <c r="CY59" i="9"/>
  <c r="F59" i="9"/>
  <c r="BB58" i="9"/>
  <c r="CY57" i="9"/>
  <c r="F57" i="9"/>
  <c r="BB56" i="9"/>
  <c r="CY55" i="9"/>
  <c r="F55" i="9"/>
  <c r="BB54" i="9"/>
  <c r="CY53" i="9"/>
  <c r="F53" i="9"/>
  <c r="BB52" i="9"/>
  <c r="CY51" i="9"/>
  <c r="F51" i="9"/>
  <c r="BB50" i="9"/>
  <c r="CY49" i="9"/>
  <c r="F49" i="9"/>
  <c r="BB48" i="9"/>
  <c r="CY47" i="9"/>
  <c r="F47" i="9"/>
  <c r="BB46" i="9"/>
  <c r="CY45" i="9"/>
  <c r="F45" i="9"/>
  <c r="BB44" i="9"/>
  <c r="CY43" i="9"/>
  <c r="F43" i="9"/>
  <c r="BB42" i="9"/>
  <c r="CY41" i="9"/>
  <c r="F41" i="9"/>
  <c r="BB40" i="9"/>
  <c r="CY39" i="9"/>
  <c r="F39" i="9"/>
  <c r="BB38" i="9"/>
  <c r="CY37" i="9"/>
  <c r="BB110" i="9"/>
  <c r="CY20" i="9"/>
  <c r="F22" i="9"/>
  <c r="BB23" i="9"/>
  <c r="BB25" i="9"/>
  <c r="CY26" i="9"/>
  <c r="F28" i="9"/>
  <c r="CY28" i="9"/>
  <c r="F30" i="9"/>
  <c r="CY30" i="9"/>
  <c r="BB31" i="9"/>
  <c r="F32" i="9"/>
  <c r="CY32" i="9"/>
  <c r="BB33" i="9"/>
  <c r="F34" i="9"/>
  <c r="CY34" i="9"/>
  <c r="BB35" i="9"/>
  <c r="F36" i="9"/>
  <c r="CY36" i="9"/>
  <c r="BB37" i="9"/>
  <c r="F40" i="9"/>
  <c r="CY42" i="9"/>
  <c r="BB45" i="9"/>
  <c r="F48" i="9"/>
  <c r="CY50" i="9"/>
  <c r="BB53" i="9"/>
  <c r="F56" i="9"/>
  <c r="CY58" i="9"/>
  <c r="BB61" i="9"/>
  <c r="F64" i="9"/>
  <c r="CY66" i="9"/>
  <c r="BB69" i="9"/>
  <c r="F72" i="9"/>
  <c r="CY74" i="9"/>
  <c r="BB77" i="9"/>
  <c r="F80" i="9"/>
  <c r="CY82" i="9"/>
  <c r="BB85" i="9"/>
  <c r="F89" i="9"/>
  <c r="F91" i="9"/>
  <c r="CY97" i="9"/>
  <c r="CY99" i="9"/>
  <c r="CY101" i="9"/>
  <c r="BB108" i="9"/>
  <c r="BB19" i="9"/>
  <c r="F20" i="9"/>
  <c r="BB21" i="9"/>
  <c r="CY22" i="9"/>
  <c r="F24" i="9"/>
  <c r="CY24" i="9"/>
  <c r="F26" i="9"/>
  <c r="BB27" i="9"/>
  <c r="BB29" i="9"/>
  <c r="BB39" i="9"/>
  <c r="F42" i="9"/>
  <c r="CY44" i="9"/>
  <c r="BB47" i="9"/>
  <c r="F50" i="9"/>
  <c r="CY52" i="9"/>
  <c r="BB55" i="9"/>
  <c r="F58" i="9"/>
  <c r="CY60" i="9"/>
  <c r="BB63" i="9"/>
  <c r="F66" i="9"/>
  <c r="CY68" i="9"/>
  <c r="BB71" i="9"/>
  <c r="F74" i="9"/>
  <c r="CY76" i="9"/>
  <c r="BB79" i="9"/>
  <c r="F82" i="9"/>
  <c r="CY84" i="9"/>
  <c r="BB87" i="9"/>
  <c r="BB88" i="9"/>
  <c r="F95" i="9"/>
  <c r="F97" i="9"/>
  <c r="F99" i="9"/>
  <c r="CY105" i="9"/>
  <c r="CY107" i="9"/>
  <c r="CY109" i="9"/>
  <c r="H70" i="5" a="1"/>
  <c r="H70" i="5" s="1"/>
  <c r="A17" i="7" a="1"/>
  <c r="A17" i="7" s="1"/>
  <c r="A20" i="7" a="1"/>
  <c r="A20" i="7" s="1"/>
  <c r="F88" i="9"/>
  <c r="CY88" i="9"/>
  <c r="BB89" i="9"/>
  <c r="F90" i="9"/>
  <c r="CY90" i="9"/>
  <c r="BB91" i="9"/>
  <c r="F92" i="9"/>
  <c r="CY92" i="9"/>
  <c r="BB93" i="9"/>
  <c r="F94" i="9"/>
  <c r="CY94" i="9"/>
  <c r="BB95" i="9"/>
  <c r="F96" i="9"/>
  <c r="CY96" i="9"/>
  <c r="BB97" i="9"/>
  <c r="F98" i="9"/>
  <c r="CY98" i="9"/>
  <c r="BB99" i="9"/>
  <c r="F100" i="9"/>
  <c r="CY100" i="9"/>
  <c r="BB101" i="9"/>
  <c r="F102" i="9"/>
  <c r="CY102" i="9"/>
  <c r="BB103" i="9"/>
  <c r="F104" i="9"/>
  <c r="CY104" i="9"/>
  <c r="BB105" i="9"/>
  <c r="F106" i="9"/>
  <c r="CY106" i="9"/>
  <c r="BB107" i="9"/>
  <c r="F108" i="9"/>
  <c r="CY108" i="9"/>
  <c r="BB109" i="9"/>
  <c r="F110" i="9"/>
  <c r="CY110" i="9"/>
  <c r="BB111" i="9"/>
  <c r="F112" i="9"/>
  <c r="AF94" i="5"/>
  <c r="B58" i="16"/>
  <c r="B59" i="16" s="1"/>
  <c r="B88" i="16" s="1"/>
  <c r="D82" i="5" a="1"/>
  <c r="D82" i="5" s="1"/>
  <c r="AX28" i="15"/>
  <c r="H82" i="5" a="1"/>
  <c r="H82" i="5" s="1"/>
  <c r="I82" i="5" a="1"/>
  <c r="I82" i="5" s="1"/>
  <c r="I58" i="5" a="1"/>
  <c r="I58" i="5" s="1"/>
  <c r="I70" i="5" a="1"/>
  <c r="I70" i="5" s="1"/>
  <c r="D70" i="5" a="1"/>
  <c r="D70" i="5" s="1"/>
  <c r="BJ28" i="15"/>
  <c r="BI27" i="15"/>
  <c r="BJ32" i="15"/>
  <c r="BG31" i="15"/>
  <c r="AM24" i="15"/>
  <c r="BG32" i="15"/>
  <c r="BH32" i="15"/>
  <c r="BG28" i="15"/>
  <c r="AL24" i="15"/>
  <c r="AM13" i="15"/>
  <c r="AM16" i="15"/>
  <c r="BH28" i="15"/>
  <c r="AM20" i="15"/>
  <c r="AM12" i="15"/>
  <c r="AM17" i="15"/>
  <c r="AM21" i="15"/>
  <c r="BJ27" i="15"/>
  <c r="BH31" i="15"/>
  <c r="AJ36" i="15"/>
  <c r="AL38" i="15"/>
  <c r="AJ40" i="15"/>
  <c r="AJ44" i="15"/>
  <c r="AJ48" i="15"/>
  <c r="AJ52" i="15"/>
  <c r="AJ56" i="15"/>
  <c r="AM10" i="15"/>
  <c r="AM14" i="15"/>
  <c r="BG27" i="15"/>
  <c r="BI31" i="15"/>
  <c r="AL16" i="15"/>
  <c r="AL17" i="15"/>
  <c r="AM18" i="15"/>
  <c r="AM22" i="15"/>
  <c r="AL27" i="15"/>
  <c r="AM9" i="15"/>
  <c r="AM11" i="15"/>
  <c r="AL15" i="15"/>
  <c r="AM19" i="15"/>
  <c r="AL22" i="15"/>
  <c r="AL23" i="15"/>
  <c r="AL25" i="15"/>
  <c r="AV28" i="15"/>
  <c r="AL39" i="15"/>
  <c r="AL55" i="15"/>
  <c r="AM59" i="15"/>
  <c r="AJ6" i="15"/>
  <c r="AL6" i="15"/>
  <c r="AJ7" i="15"/>
  <c r="AL8" i="15"/>
  <c r="AM8" i="15"/>
  <c r="AL20" i="15"/>
  <c r="AL21" i="15"/>
  <c r="AM28" i="15"/>
  <c r="AL30" i="15"/>
  <c r="AL34" i="15"/>
  <c r="AJ38" i="15"/>
  <c r="AL40" i="15"/>
  <c r="AJ42" i="15"/>
  <c r="AJ46" i="15"/>
  <c r="AJ50" i="15"/>
  <c r="AJ54" i="15"/>
  <c r="AJ58" i="15"/>
  <c r="AM6" i="15"/>
  <c r="AL11" i="15"/>
  <c r="AM15" i="15"/>
  <c r="AL18" i="15"/>
  <c r="AL19" i="15"/>
  <c r="AM23" i="15"/>
  <c r="AM26" i="15"/>
  <c r="BE28" i="15"/>
  <c r="BM28" i="15"/>
  <c r="BQ28" i="15"/>
  <c r="BU28" i="15"/>
  <c r="BY28" i="15"/>
  <c r="AJ30" i="15"/>
  <c r="AM30" i="15"/>
  <c r="AL41" i="15"/>
  <c r="D50" i="10"/>
  <c r="EH113" i="9" a="1"/>
  <c r="EH113" i="9" s="1"/>
  <c r="AL9" i="15"/>
  <c r="AJ5" i="15"/>
  <c r="AL7" i="15"/>
  <c r="AM7" i="15"/>
  <c r="AL35" i="15"/>
  <c r="BD29" i="15"/>
  <c r="AL43" i="15"/>
  <c r="BL29" i="15"/>
  <c r="AL47" i="15"/>
  <c r="BP29" i="15"/>
  <c r="AL51" i="15"/>
  <c r="BT29" i="15"/>
  <c r="AM55" i="15"/>
  <c r="BX30" i="15"/>
  <c r="AL59" i="15"/>
  <c r="CB29" i="15"/>
  <c r="AL5" i="15"/>
  <c r="AM5" i="15"/>
  <c r="AJ11" i="15"/>
  <c r="AX32" i="15"/>
  <c r="AM29" i="15"/>
  <c r="AL32" i="15"/>
  <c r="AJ32" i="15"/>
  <c r="BA28" i="15"/>
  <c r="AJ8" i="15"/>
  <c r="AJ9" i="15"/>
  <c r="AZ32" i="15"/>
  <c r="AM31" i="15"/>
  <c r="BF29" i="15"/>
  <c r="AL37" i="15"/>
  <c r="BN29" i="15"/>
  <c r="AL45" i="15"/>
  <c r="BR29" i="15"/>
  <c r="AL49" i="15"/>
  <c r="BV29" i="15"/>
  <c r="AL53" i="15"/>
  <c r="BV30" i="15"/>
  <c r="AM53" i="15"/>
  <c r="BZ29" i="15"/>
  <c r="AL57" i="15"/>
  <c r="BZ30" i="15"/>
  <c r="AM57" i="15"/>
  <c r="B72" i="7"/>
  <c r="AL12" i="15"/>
  <c r="AJ12" i="15"/>
  <c r="AM25" i="15"/>
  <c r="AJ27" i="15"/>
  <c r="AM27" i="15"/>
  <c r="AL28" i="15"/>
  <c r="AL29" i="15"/>
  <c r="AL31" i="15"/>
  <c r="AM32" i="15"/>
  <c r="AJ34" i="15"/>
  <c r="AM34" i="15"/>
  <c r="AM36" i="15"/>
  <c r="AL36" i="15"/>
  <c r="AM38" i="15"/>
  <c r="AM40" i="15"/>
  <c r="AM42" i="15"/>
  <c r="AL42" i="15"/>
  <c r="AM44" i="15"/>
  <c r="AL44" i="15"/>
  <c r="AM46" i="15"/>
  <c r="AL46" i="15"/>
  <c r="AM48" i="15"/>
  <c r="AL48" i="15"/>
  <c r="AM50" i="15"/>
  <c r="AL50" i="15"/>
  <c r="AM52" i="15"/>
  <c r="AL52" i="15"/>
  <c r="AL54" i="15"/>
  <c r="AL56" i="15"/>
  <c r="AL58" i="15"/>
  <c r="AL13" i="15"/>
  <c r="AJ13" i="15"/>
  <c r="AJ29" i="15"/>
  <c r="AJ31" i="15"/>
  <c r="AL33" i="15"/>
  <c r="BB28" i="15"/>
  <c r="AJ33" i="15"/>
  <c r="AJ35" i="15"/>
  <c r="AJ37" i="15"/>
  <c r="BG29" i="15"/>
  <c r="BJ29" i="15"/>
  <c r="BI29" i="15"/>
  <c r="BG30" i="15"/>
  <c r="BJ30" i="15"/>
  <c r="BI30" i="15"/>
  <c r="AJ39" i="15"/>
  <c r="AJ41" i="15"/>
  <c r="AJ43" i="15"/>
  <c r="AJ45" i="15"/>
  <c r="AJ47" i="15"/>
  <c r="AJ49" i="15"/>
  <c r="AJ51" i="15"/>
  <c r="AJ53" i="15"/>
  <c r="BW30" i="15"/>
  <c r="AM54" i="15"/>
  <c r="AJ55" i="15"/>
  <c r="AM56" i="15"/>
  <c r="BY30" i="15"/>
  <c r="AJ57" i="15"/>
  <c r="CA30" i="15"/>
  <c r="AM58" i="15"/>
  <c r="AJ59" i="15"/>
  <c r="AL10" i="15"/>
  <c r="AJ10" i="15"/>
  <c r="AL14" i="15"/>
  <c r="AJ14" i="15"/>
  <c r="AJ15" i="15"/>
  <c r="AJ17" i="15"/>
  <c r="AJ19" i="15"/>
  <c r="AJ21" i="15"/>
  <c r="AJ23" i="15"/>
  <c r="BH30" i="15"/>
  <c r="AM33" i="15"/>
  <c r="AM35" i="15"/>
  <c r="AM37" i="15"/>
  <c r="AM39" i="15"/>
  <c r="AM41" i="15"/>
  <c r="AM43" i="15"/>
  <c r="AM45" i="15"/>
  <c r="AM47" i="15"/>
  <c r="AM49" i="15"/>
  <c r="AM51" i="15"/>
  <c r="AJ16" i="15"/>
  <c r="AJ18" i="15"/>
  <c r="AJ20" i="15"/>
  <c r="AJ22" i="15"/>
  <c r="AJ24" i="15"/>
  <c r="AJ25" i="15"/>
  <c r="AJ26" i="15"/>
  <c r="AJ28" i="15"/>
  <c r="AT28" i="15"/>
  <c r="AL26" i="15"/>
  <c r="B95" i="5"/>
  <c r="AM16" i="14" l="1" a="1"/>
  <c r="AM16" i="14" s="1"/>
  <c r="AQ16" i="14" s="1" a="1"/>
  <c r="AN16" i="14" a="1"/>
  <c r="AN16" i="14" s="1"/>
  <c r="AO16" i="14" a="1"/>
  <c r="AO16" i="14" s="1"/>
  <c r="B67" i="16"/>
  <c r="B86" i="16"/>
  <c r="D27" i="10"/>
  <c r="B20" i="14" a="1"/>
  <c r="B20" i="14" s="1"/>
  <c r="W20" i="14" s="1"/>
  <c r="B16" i="14" a="1"/>
  <c r="B21" i="14" a="1"/>
  <c r="B21" i="14" s="1"/>
  <c r="W21" i="14" s="1"/>
  <c r="B115" i="14" a="1"/>
  <c r="B115" i="14" s="1"/>
  <c r="W115" i="14" s="1"/>
  <c r="B77" i="14" a="1"/>
  <c r="B77" i="14" s="1"/>
  <c r="W77" i="14" s="1"/>
  <c r="B69" i="14" a="1"/>
  <c r="B69" i="14" s="1"/>
  <c r="W69" i="14" s="1"/>
  <c r="B109" i="14" a="1"/>
  <c r="B109" i="14" s="1"/>
  <c r="W109" i="14" s="1"/>
  <c r="B85" i="14" a="1"/>
  <c r="B85" i="14" s="1"/>
  <c r="W85" i="14" s="1"/>
  <c r="B89" i="14" a="1"/>
  <c r="B89" i="14" s="1"/>
  <c r="W89" i="14" s="1"/>
  <c r="B97" i="14" a="1"/>
  <c r="B97" i="14" s="1"/>
  <c r="W97" i="14" s="1"/>
  <c r="B45" i="14" a="1"/>
  <c r="B45" i="14" s="1"/>
  <c r="W45" i="14" s="1"/>
  <c r="B61" i="14" a="1"/>
  <c r="B61" i="14" s="1"/>
  <c r="W61" i="14" s="1"/>
  <c r="B74" i="14" a="1"/>
  <c r="B74" i="14" s="1"/>
  <c r="W74" i="14" s="1"/>
  <c r="B55" i="14" a="1"/>
  <c r="B55" i="14" s="1"/>
  <c r="W55" i="14" s="1"/>
  <c r="B92" i="14" a="1"/>
  <c r="B92" i="14" s="1"/>
  <c r="W92" i="14" s="1"/>
  <c r="B81" i="14" a="1"/>
  <c r="B81" i="14" s="1"/>
  <c r="B68" i="14" a="1"/>
  <c r="B68" i="14" s="1"/>
  <c r="W68" i="14" s="1"/>
  <c r="B62" i="14" a="1"/>
  <c r="B62" i="14" s="1"/>
  <c r="W62" i="14" s="1"/>
  <c r="B72" i="14" a="1"/>
  <c r="B72" i="14" s="1"/>
  <c r="W72" i="14" s="1"/>
  <c r="B111" i="14" a="1"/>
  <c r="B111" i="14" s="1"/>
  <c r="W111" i="14" s="1"/>
  <c r="B107" i="14" a="1"/>
  <c r="B107" i="14" s="1"/>
  <c r="W107" i="14" s="1"/>
  <c r="B53" i="14" a="1"/>
  <c r="B53" i="14" s="1"/>
  <c r="W53" i="14" s="1"/>
  <c r="B114" i="14" a="1"/>
  <c r="B114" i="14" s="1"/>
  <c r="W114" i="14" s="1"/>
  <c r="B73" i="14" a="1"/>
  <c r="B73" i="14" s="1"/>
  <c r="W73" i="14" s="1"/>
  <c r="B63" i="14" a="1"/>
  <c r="B63" i="14" s="1"/>
  <c r="W63" i="14" s="1"/>
  <c r="B112" i="14" a="1"/>
  <c r="B112" i="14" s="1"/>
  <c r="W112" i="14" s="1"/>
  <c r="B98" i="14" a="1"/>
  <c r="B98" i="14" s="1"/>
  <c r="W98" i="14" s="1"/>
  <c r="B34" i="14" a="1"/>
  <c r="B34" i="14" s="1"/>
  <c r="W34" i="14" s="1"/>
  <c r="B28" i="14" a="1"/>
  <c r="B28" i="14" s="1"/>
  <c r="W28" i="14" s="1"/>
  <c r="B105" i="14" a="1"/>
  <c r="B105" i="14" s="1"/>
  <c r="W105" i="14" s="1"/>
  <c r="B41" i="14" a="1"/>
  <c r="B41" i="14" s="1"/>
  <c r="B86" i="14" a="1"/>
  <c r="B86" i="14" s="1"/>
  <c r="W86" i="14" s="1"/>
  <c r="B22" i="14" a="1"/>
  <c r="B22" i="14" s="1"/>
  <c r="W22" i="14" s="1"/>
  <c r="B83" i="14" a="1"/>
  <c r="B83" i="14" s="1"/>
  <c r="W83" i="14" s="1"/>
  <c r="B19" i="14" a="1"/>
  <c r="B19" i="14" s="1"/>
  <c r="W19" i="14" s="1"/>
  <c r="B96" i="14" a="1"/>
  <c r="B96" i="14" s="1"/>
  <c r="W96" i="14" s="1"/>
  <c r="B32" i="14" a="1"/>
  <c r="B32" i="14" s="1"/>
  <c r="W32" i="14" s="1"/>
  <c r="B17" i="14" a="1"/>
  <c r="B17" i="14" s="1"/>
  <c r="B101" i="14" a="1"/>
  <c r="B101" i="14" s="1"/>
  <c r="W101" i="14" s="1"/>
  <c r="B37" i="14" a="1"/>
  <c r="B37" i="14" s="1"/>
  <c r="W37" i="14" s="1"/>
  <c r="B50" i="14" a="1"/>
  <c r="B50" i="14" s="1"/>
  <c r="W50" i="14" s="1"/>
  <c r="B44" i="14" a="1"/>
  <c r="B44" i="14" s="1"/>
  <c r="W44" i="14" s="1"/>
  <c r="B57" i="14" a="1"/>
  <c r="B57" i="14" s="1"/>
  <c r="W57" i="14" s="1"/>
  <c r="B119" i="14" a="1"/>
  <c r="B119" i="14" s="1"/>
  <c r="W119" i="14" s="1"/>
  <c r="B108" i="14" a="1"/>
  <c r="B108" i="14" s="1"/>
  <c r="W108" i="14" s="1"/>
  <c r="B60" i="14" a="1"/>
  <c r="B60" i="14" s="1"/>
  <c r="W60" i="14" s="1"/>
  <c r="B102" i="14" a="1"/>
  <c r="B102" i="14" s="1"/>
  <c r="W102" i="14" s="1"/>
  <c r="B38" i="14" a="1"/>
  <c r="B38" i="14" s="1"/>
  <c r="W38" i="14" s="1"/>
  <c r="B35" i="14" a="1"/>
  <c r="B35" i="14" s="1"/>
  <c r="W35" i="14" s="1"/>
  <c r="B48" i="14" a="1"/>
  <c r="B48" i="14" s="1"/>
  <c r="W48" i="14" s="1"/>
  <c r="B90" i="14" a="1"/>
  <c r="B90" i="14" s="1"/>
  <c r="W90" i="14" s="1"/>
  <c r="B26" i="14" a="1"/>
  <c r="B26" i="14" s="1"/>
  <c r="W26" i="14" s="1"/>
  <c r="B31" i="14" a="1"/>
  <c r="B31" i="14" s="1"/>
  <c r="W31" i="14" s="1"/>
  <c r="B33" i="14" a="1"/>
  <c r="B33" i="14" s="1"/>
  <c r="W33" i="14" s="1"/>
  <c r="B103" i="14" a="1"/>
  <c r="B103" i="14" s="1"/>
  <c r="W103" i="14" s="1"/>
  <c r="B78" i="14" a="1"/>
  <c r="B78" i="14" s="1"/>
  <c r="W78" i="14" s="1"/>
  <c r="B99" i="14" a="1"/>
  <c r="B99" i="14" s="1"/>
  <c r="W99" i="14" s="1"/>
  <c r="B75" i="14" a="1"/>
  <c r="B75" i="14" s="1"/>
  <c r="W75" i="14" s="1"/>
  <c r="B88" i="14" a="1"/>
  <c r="B88" i="14" s="1"/>
  <c r="W88" i="14" s="1"/>
  <c r="B24" i="14" a="1"/>
  <c r="B24" i="14" s="1"/>
  <c r="W24" i="14" s="1"/>
  <c r="B95" i="14" a="1"/>
  <c r="B95" i="14" s="1"/>
  <c r="W95" i="14" s="1"/>
  <c r="B117" i="14" a="1"/>
  <c r="B117" i="14" s="1"/>
  <c r="W117" i="14" s="1"/>
  <c r="B66" i="14" a="1"/>
  <c r="B66" i="14" s="1"/>
  <c r="W66" i="14" s="1"/>
  <c r="B76" i="14" a="1"/>
  <c r="B76" i="14" s="1"/>
  <c r="W76" i="14" s="1"/>
  <c r="B118" i="14" a="1"/>
  <c r="B118" i="14" s="1"/>
  <c r="B54" i="14" a="1"/>
  <c r="B54" i="14" s="1"/>
  <c r="W54" i="14" s="1"/>
  <c r="B87" i="14" a="1"/>
  <c r="B87" i="14" s="1"/>
  <c r="W87" i="14" s="1"/>
  <c r="B51" i="14" a="1"/>
  <c r="B51" i="14" s="1"/>
  <c r="W51" i="14" s="1"/>
  <c r="B79" i="14" a="1"/>
  <c r="B79" i="14" s="1"/>
  <c r="W79" i="14" s="1"/>
  <c r="B64" i="14" a="1"/>
  <c r="B64" i="14" s="1"/>
  <c r="W64" i="14" s="1"/>
  <c r="B59" i="14" a="1"/>
  <c r="B59" i="14" s="1"/>
  <c r="W59" i="14" s="1"/>
  <c r="B93" i="14" a="1"/>
  <c r="B93" i="14" s="1"/>
  <c r="W93" i="14" s="1"/>
  <c r="B29" i="14" a="1"/>
  <c r="B29" i="14" s="1"/>
  <c r="W29" i="14" s="1"/>
  <c r="B47" i="14" a="1"/>
  <c r="B47" i="14" s="1"/>
  <c r="W47" i="14" s="1"/>
  <c r="B106" i="14" a="1"/>
  <c r="B106" i="14" s="1"/>
  <c r="W106" i="14" s="1"/>
  <c r="B42" i="14" a="1"/>
  <c r="B42" i="14" s="1"/>
  <c r="W42" i="14" s="1"/>
  <c r="B36" i="14" a="1"/>
  <c r="B36" i="14" s="1"/>
  <c r="W36" i="14" s="1"/>
  <c r="B113" i="14" a="1"/>
  <c r="B113" i="14" s="1"/>
  <c r="W113" i="14" s="1"/>
  <c r="B49" i="14" a="1"/>
  <c r="B49" i="14" s="1"/>
  <c r="W49" i="14" s="1"/>
  <c r="B94" i="14" a="1"/>
  <c r="B94" i="14" s="1"/>
  <c r="W94" i="14" s="1"/>
  <c r="B30" i="14" a="1"/>
  <c r="B30" i="14" s="1"/>
  <c r="W30" i="14" s="1"/>
  <c r="B71" i="14" a="1"/>
  <c r="B71" i="14" s="1"/>
  <c r="W71" i="14" s="1"/>
  <c r="B91" i="14" a="1"/>
  <c r="B91" i="14" s="1"/>
  <c r="W91" i="14" s="1"/>
  <c r="B27" i="14" a="1"/>
  <c r="B27" i="14" s="1"/>
  <c r="W27" i="14" s="1"/>
  <c r="B40" i="14" a="1"/>
  <c r="B40" i="14" s="1"/>
  <c r="W40" i="14" s="1"/>
  <c r="B82" i="14" a="1"/>
  <c r="B82" i="14" s="1"/>
  <c r="W82" i="14" s="1"/>
  <c r="B18" i="14" a="1"/>
  <c r="B18" i="14" s="1"/>
  <c r="W18" i="14" s="1"/>
  <c r="B25" i="14" a="1"/>
  <c r="B25" i="14" s="1"/>
  <c r="W25" i="14" s="1"/>
  <c r="B84" i="14" a="1"/>
  <c r="B84" i="14" s="1"/>
  <c r="W84" i="14" s="1"/>
  <c r="B70" i="14" a="1"/>
  <c r="B70" i="14" s="1"/>
  <c r="W70" i="14" s="1"/>
  <c r="B67" i="14" a="1"/>
  <c r="B67" i="14" s="1"/>
  <c r="W67" i="14" s="1"/>
  <c r="B39" i="14" a="1"/>
  <c r="B39" i="14" s="1"/>
  <c r="W39" i="14" s="1"/>
  <c r="B104" i="14" a="1"/>
  <c r="B104" i="14" s="1"/>
  <c r="W104" i="14" s="1"/>
  <c r="B80" i="14" a="1"/>
  <c r="B80" i="14" s="1"/>
  <c r="W80" i="14" s="1"/>
  <c r="B116" i="14" a="1"/>
  <c r="B116" i="14" s="1"/>
  <c r="W116" i="14" s="1"/>
  <c r="B58" i="14" a="1"/>
  <c r="B58" i="14" s="1"/>
  <c r="W58" i="14" s="1"/>
  <c r="B52" i="14" a="1"/>
  <c r="B52" i="14" s="1"/>
  <c r="W52" i="14" s="1"/>
  <c r="B100" i="14" a="1"/>
  <c r="B100" i="14" s="1"/>
  <c r="W100" i="14" s="1"/>
  <c r="B65" i="14" a="1"/>
  <c r="B65" i="14" s="1"/>
  <c r="W65" i="14" s="1"/>
  <c r="B110" i="14" a="1"/>
  <c r="B110" i="14" s="1"/>
  <c r="W110" i="14" s="1"/>
  <c r="B46" i="14" a="1"/>
  <c r="B46" i="14" s="1"/>
  <c r="W46" i="14" s="1"/>
  <c r="B43" i="14" a="1"/>
  <c r="B43" i="14" s="1"/>
  <c r="W43" i="14" s="1"/>
  <c r="B23" i="14" a="1"/>
  <c r="B23" i="14" s="1"/>
  <c r="W23" i="14" s="1"/>
  <c r="B56" i="14" a="1"/>
  <c r="B56" i="14" s="1"/>
  <c r="W56" i="14" s="1"/>
  <c r="I94" i="5"/>
  <c r="B92" i="16" a="1"/>
  <c r="B92" i="16" s="1"/>
  <c r="AG95" i="5"/>
  <c r="A45" i="7" a="1"/>
  <c r="A45" i="7" s="1"/>
  <c r="BR34" i="15"/>
  <c r="BU34" i="15"/>
  <c r="BK34" i="15"/>
  <c r="AU34" i="15"/>
  <c r="BC34" i="15"/>
  <c r="BO34" i="15"/>
  <c r="BP34" i="15"/>
  <c r="BQ34" i="15"/>
  <c r="BF34" i="15"/>
  <c r="BS34" i="15"/>
  <c r="AV34" i="15"/>
  <c r="AY34" i="15"/>
  <c r="CA34" i="15"/>
  <c r="BB34" i="15"/>
  <c r="AW34" i="15"/>
  <c r="BN34" i="15"/>
  <c r="BL34" i="15"/>
  <c r="AZ34" i="15"/>
  <c r="BW34" i="15"/>
  <c r="CB34" i="15"/>
  <c r="BE34" i="15"/>
  <c r="BX34" i="15"/>
  <c r="BD34" i="15"/>
  <c r="BT34" i="15"/>
  <c r="AO113" i="9" a="1"/>
  <c r="AO113" i="9" s="1"/>
  <c r="DB113" i="9"/>
  <c r="I114" i="9"/>
  <c r="AO114" i="9" a="1"/>
  <c r="AO114" i="9" s="1"/>
  <c r="CK113" i="9" a="1"/>
  <c r="CK113" i="9" s="1"/>
  <c r="BE113" i="9"/>
  <c r="I113" i="9"/>
  <c r="DB114" i="9"/>
  <c r="EH114" i="9" a="1"/>
  <c r="EH114" i="9" s="1"/>
  <c r="BE114" i="9"/>
  <c r="CK114" i="9" a="1"/>
  <c r="CK114" i="9" s="1"/>
  <c r="A35" i="7" a="1"/>
  <c r="A35" i="7" s="1"/>
  <c r="B81" i="16" a="1"/>
  <c r="B81" i="16" s="1"/>
  <c r="B75" i="16" a="1"/>
  <c r="B75" i="16" s="1"/>
  <c r="B72" i="16" a="1"/>
  <c r="B72" i="16" s="1"/>
  <c r="A48" i="7" a="1"/>
  <c r="A48" i="7" s="1"/>
  <c r="A38" i="7" a="1"/>
  <c r="A38" i="7" s="1"/>
  <c r="AX34" i="15"/>
  <c r="EE13" i="9" a="1"/>
  <c r="EE13" i="9" s="1"/>
  <c r="EE108" i="9" a="1"/>
  <c r="EE108" i="9" s="1"/>
  <c r="EE17" i="9" a="1"/>
  <c r="EE17" i="9" s="1"/>
  <c r="EE10" i="9" a="1"/>
  <c r="EE10" i="9" s="1"/>
  <c r="EE41" i="9" a="1"/>
  <c r="EE41" i="9" s="1"/>
  <c r="EE11" i="9" a="1"/>
  <c r="EE11" i="9" s="1"/>
  <c r="EE35" i="9" a="1"/>
  <c r="EE35" i="9" s="1"/>
  <c r="EE21" i="9" a="1"/>
  <c r="EE21" i="9" s="1"/>
  <c r="EE47" i="9" a="1"/>
  <c r="EE47" i="9" s="1"/>
  <c r="EE55" i="9" a="1"/>
  <c r="EE55" i="9" s="1"/>
  <c r="EE63" i="9" a="1"/>
  <c r="EE63" i="9" s="1"/>
  <c r="EE71" i="9" a="1"/>
  <c r="EE71" i="9" s="1"/>
  <c r="EE79" i="9" a="1"/>
  <c r="EE79" i="9" s="1"/>
  <c r="EE87" i="9" a="1"/>
  <c r="EE87" i="9" s="1"/>
  <c r="EE95" i="9" a="1"/>
  <c r="EE95" i="9" s="1"/>
  <c r="EE103" i="9" a="1"/>
  <c r="EE103" i="9" s="1"/>
  <c r="EE111" i="9" a="1"/>
  <c r="EE111" i="9" s="1"/>
  <c r="EE26" i="9" a="1"/>
  <c r="EE26" i="9" s="1"/>
  <c r="EE40" i="9" a="1"/>
  <c r="EE40" i="9" s="1"/>
  <c r="EE52" i="9" a="1"/>
  <c r="EE52" i="9" s="1"/>
  <c r="EE66" i="9" a="1"/>
  <c r="EE66" i="9" s="1"/>
  <c r="EE76" i="9" a="1"/>
  <c r="EE76" i="9" s="1"/>
  <c r="EE98" i="9" a="1"/>
  <c r="EE98" i="9" s="1"/>
  <c r="EE110" i="9" a="1"/>
  <c r="EE110" i="9" s="1"/>
  <c r="EE38" i="9" a="1"/>
  <c r="EE38" i="9" s="1"/>
  <c r="EE58" i="9" a="1"/>
  <c r="EE58" i="9" s="1"/>
  <c r="EE90" i="9" a="1"/>
  <c r="EE90" i="9" s="1"/>
  <c r="EE18" i="9" a="1"/>
  <c r="EE18" i="9" s="1"/>
  <c r="EE15" i="9" a="1"/>
  <c r="EE15" i="9" s="1"/>
  <c r="EE43" i="9" a="1"/>
  <c r="EE43" i="9" s="1"/>
  <c r="EE29" i="9" a="1"/>
  <c r="EE29" i="9" s="1"/>
  <c r="EE49" i="9" a="1"/>
  <c r="EE49" i="9" s="1"/>
  <c r="EE57" i="9" a="1"/>
  <c r="EE57" i="9" s="1"/>
  <c r="EE73" i="9" a="1"/>
  <c r="EE73" i="9" s="1"/>
  <c r="EE81" i="9" a="1"/>
  <c r="EE81" i="9" s="1"/>
  <c r="EE89" i="9" a="1"/>
  <c r="EE89" i="9" s="1"/>
  <c r="EE97" i="9" a="1"/>
  <c r="EE97" i="9" s="1"/>
  <c r="EE105" i="9" a="1"/>
  <c r="EE105" i="9" s="1"/>
  <c r="EE20" i="9" a="1"/>
  <c r="EE20" i="9" s="1"/>
  <c r="EE28" i="9" a="1"/>
  <c r="EE28" i="9" s="1"/>
  <c r="EE42" i="9" a="1"/>
  <c r="EE42" i="9" s="1"/>
  <c r="EE56" i="9" a="1"/>
  <c r="EE56" i="9" s="1"/>
  <c r="EE70" i="9" a="1"/>
  <c r="EE70" i="9" s="1"/>
  <c r="EE78" i="9" a="1"/>
  <c r="EE78" i="9" s="1"/>
  <c r="EE88" i="9" a="1"/>
  <c r="EE88" i="9" s="1"/>
  <c r="EE100" i="9" a="1"/>
  <c r="EE100" i="9" s="1"/>
  <c r="EE112" i="9" a="1"/>
  <c r="EE112" i="9" s="1"/>
  <c r="EE44" i="9" a="1"/>
  <c r="EE44" i="9" s="1"/>
  <c r="EE64" i="9" a="1"/>
  <c r="EE64" i="9" s="1"/>
  <c r="EE96" i="9" a="1"/>
  <c r="EE96" i="9" s="1"/>
  <c r="EE39" i="9" a="1"/>
  <c r="EE39" i="9" s="1"/>
  <c r="EE25" i="9" a="1"/>
  <c r="EE25" i="9" s="1"/>
  <c r="EE23" i="9" a="1"/>
  <c r="EE23" i="9" s="1"/>
  <c r="EE19" i="9" a="1"/>
  <c r="EE19" i="9" s="1"/>
  <c r="EE12" i="9" a="1"/>
  <c r="EE12" i="9" s="1"/>
  <c r="EE37" i="9" a="1"/>
  <c r="EE37" i="9" s="1"/>
  <c r="EE51" i="9" a="1"/>
  <c r="EE51" i="9" s="1"/>
  <c r="EE59" i="9" a="1"/>
  <c r="EE59" i="9" s="1"/>
  <c r="EE67" i="9" a="1"/>
  <c r="EE67" i="9" s="1"/>
  <c r="EE75" i="9" a="1"/>
  <c r="EE75" i="9" s="1"/>
  <c r="EE91" i="9" a="1"/>
  <c r="EE91" i="9" s="1"/>
  <c r="EE99" i="9" a="1"/>
  <c r="EE99" i="9" s="1"/>
  <c r="EE107" i="9" a="1"/>
  <c r="EE107" i="9" s="1"/>
  <c r="EE22" i="9" a="1"/>
  <c r="EE22" i="9" s="1"/>
  <c r="EE46" i="9" a="1"/>
  <c r="EE46" i="9" s="1"/>
  <c r="EE60" i="9" a="1"/>
  <c r="EE60" i="9" s="1"/>
  <c r="EE72" i="9" a="1"/>
  <c r="EE72" i="9" s="1"/>
  <c r="EE80" i="9" a="1"/>
  <c r="EE80" i="9" s="1"/>
  <c r="EE92" i="9" a="1"/>
  <c r="EE92" i="9" s="1"/>
  <c r="EE104" i="9" a="1"/>
  <c r="EE104" i="9" s="1"/>
  <c r="EE50" i="9" a="1"/>
  <c r="EE50" i="9" s="1"/>
  <c r="EE68" i="9" a="1"/>
  <c r="EE68" i="9" s="1"/>
  <c r="EE102" i="9" a="1"/>
  <c r="EE102" i="9" s="1"/>
  <c r="EE14" i="9" a="1"/>
  <c r="EE14" i="9" s="1"/>
  <c r="EE27" i="9" a="1"/>
  <c r="EE27" i="9" s="1"/>
  <c r="EE16" i="9" a="1"/>
  <c r="EE16" i="9" s="1"/>
  <c r="EE45" i="9" a="1"/>
  <c r="EE45" i="9" s="1"/>
  <c r="EE53" i="9" a="1"/>
  <c r="EE53" i="9" s="1"/>
  <c r="EE61" i="9" a="1"/>
  <c r="EE61" i="9" s="1"/>
  <c r="EE69" i="9" a="1"/>
  <c r="EE69" i="9" s="1"/>
  <c r="EE77" i="9" a="1"/>
  <c r="EE77" i="9" s="1"/>
  <c r="EE93" i="9" a="1"/>
  <c r="EE93" i="9" s="1"/>
  <c r="EE101" i="9" a="1"/>
  <c r="EE101" i="9" s="1"/>
  <c r="EE109" i="9" a="1"/>
  <c r="EE109" i="9" s="1"/>
  <c r="EE24" i="9" a="1"/>
  <c r="EE24" i="9" s="1"/>
  <c r="EE36" i="9" a="1"/>
  <c r="EE36" i="9" s="1"/>
  <c r="EE48" i="9" a="1"/>
  <c r="EE48" i="9" s="1"/>
  <c r="EE62" i="9" a="1"/>
  <c r="EE62" i="9" s="1"/>
  <c r="EE74" i="9" a="1"/>
  <c r="EE74" i="9" s="1"/>
  <c r="EE94" i="9" a="1"/>
  <c r="EE94" i="9" s="1"/>
  <c r="EE106" i="9" a="1"/>
  <c r="EE106" i="9" s="1"/>
  <c r="EE34" i="9" a="1"/>
  <c r="EE34" i="9" s="1"/>
  <c r="EE54" i="9" a="1"/>
  <c r="EE54" i="9" s="1"/>
  <c r="EE86" i="9" a="1"/>
  <c r="EE86" i="9" s="1"/>
  <c r="CH106" i="9" a="1"/>
  <c r="CH106" i="9" s="1"/>
  <c r="CH39" i="9" a="1"/>
  <c r="CH39" i="9" s="1"/>
  <c r="CH77" i="9" a="1"/>
  <c r="CH77" i="9" s="1"/>
  <c r="CH41" i="9" a="1"/>
  <c r="CH41" i="9" s="1"/>
  <c r="CH11" i="9" a="1"/>
  <c r="CH11" i="9" s="1"/>
  <c r="CH27" i="9" a="1"/>
  <c r="CH27" i="9" s="1"/>
  <c r="CH45" i="9" a="1"/>
  <c r="CH45" i="9" s="1"/>
  <c r="CH63" i="9" a="1"/>
  <c r="CH63" i="9" s="1"/>
  <c r="CH81" i="9" a="1"/>
  <c r="CH81" i="9" s="1"/>
  <c r="CH13" i="9" a="1"/>
  <c r="CH13" i="9" s="1"/>
  <c r="CH29" i="9" a="1"/>
  <c r="CH29" i="9" s="1"/>
  <c r="CH43" i="9" a="1"/>
  <c r="CH43" i="9" s="1"/>
  <c r="CH57" i="9" a="1"/>
  <c r="CH57" i="9" s="1"/>
  <c r="CH73" i="9" a="1"/>
  <c r="CH73" i="9" s="1"/>
  <c r="CH87" i="9" a="1"/>
  <c r="CH87" i="9" s="1"/>
  <c r="CH99" i="9" a="1"/>
  <c r="CH99" i="9" s="1"/>
  <c r="CH107" i="9" a="1"/>
  <c r="CH107" i="9" s="1"/>
  <c r="CH14" i="9" a="1"/>
  <c r="CH14" i="9" s="1"/>
  <c r="CH28" i="9" a="1"/>
  <c r="CH28" i="9" s="1"/>
  <c r="CH44" i="9" a="1"/>
  <c r="CH44" i="9" s="1"/>
  <c r="CH58" i="9" a="1"/>
  <c r="CH58" i="9" s="1"/>
  <c r="CH72" i="9" a="1"/>
  <c r="CH72" i="9" s="1"/>
  <c r="CH86" i="9" a="1"/>
  <c r="CH86" i="9" s="1"/>
  <c r="CH100" i="9" a="1"/>
  <c r="CH100" i="9" s="1"/>
  <c r="CH112" i="9" a="1"/>
  <c r="CH112" i="9" s="1"/>
  <c r="CH20" i="9" a="1"/>
  <c r="CH20" i="9" s="1"/>
  <c r="CH38" i="9" a="1"/>
  <c r="CH38" i="9" s="1"/>
  <c r="CH56" i="9" a="1"/>
  <c r="CH56" i="9" s="1"/>
  <c r="CH74" i="9" a="1"/>
  <c r="CH74" i="9" s="1"/>
  <c r="CH94" i="9" a="1"/>
  <c r="CH94" i="9" s="1"/>
  <c r="CH23" i="9" a="1"/>
  <c r="CH23" i="9" s="1"/>
  <c r="CH59" i="9" a="1"/>
  <c r="CH59" i="9" s="1"/>
  <c r="CH95" i="9" a="1"/>
  <c r="CH95" i="9" s="1"/>
  <c r="CH55" i="9" a="1"/>
  <c r="CH55" i="9" s="1"/>
  <c r="CH15" i="9" a="1"/>
  <c r="CH15" i="9" s="1"/>
  <c r="CH49" i="9" a="1"/>
  <c r="CH49" i="9" s="1"/>
  <c r="CH67" i="9" a="1"/>
  <c r="CH67" i="9" s="1"/>
  <c r="CH17" i="9" a="1"/>
  <c r="CH17" i="9" s="1"/>
  <c r="CH47" i="9" a="1"/>
  <c r="CH47" i="9" s="1"/>
  <c r="CH61" i="9" a="1"/>
  <c r="CH61" i="9" s="1"/>
  <c r="CH75" i="9" a="1"/>
  <c r="CH75" i="9" s="1"/>
  <c r="CH91" i="9" a="1"/>
  <c r="CH91" i="9" s="1"/>
  <c r="CH101" i="9" a="1"/>
  <c r="CH101" i="9" s="1"/>
  <c r="CH109" i="9" a="1"/>
  <c r="CH109" i="9" s="1"/>
  <c r="CH18" i="9" a="1"/>
  <c r="CH18" i="9" s="1"/>
  <c r="CH48" i="9" a="1"/>
  <c r="CH48" i="9" s="1"/>
  <c r="CH62" i="9" a="1"/>
  <c r="CH62" i="9" s="1"/>
  <c r="CH76" i="9" a="1"/>
  <c r="CH76" i="9" s="1"/>
  <c r="CH90" i="9" a="1"/>
  <c r="CH90" i="9" s="1"/>
  <c r="CH104" i="9" a="1"/>
  <c r="CH104" i="9" s="1"/>
  <c r="CH24" i="9" a="1"/>
  <c r="CH24" i="9" s="1"/>
  <c r="CH42" i="9" a="1"/>
  <c r="CH42" i="9" s="1"/>
  <c r="CH60" i="9" a="1"/>
  <c r="CH60" i="9" s="1"/>
  <c r="CH78" i="9" a="1"/>
  <c r="CH78" i="9" s="1"/>
  <c r="CH98" i="9" a="1"/>
  <c r="CH98" i="9" s="1"/>
  <c r="CH19" i="9" a="1"/>
  <c r="CH19" i="9" s="1"/>
  <c r="CH35" i="9" a="1"/>
  <c r="CH35" i="9" s="1"/>
  <c r="CH53" i="9" a="1"/>
  <c r="CH53" i="9" s="1"/>
  <c r="CH71" i="9" a="1"/>
  <c r="CH71" i="9" s="1"/>
  <c r="CH89" i="9" a="1"/>
  <c r="CH89" i="9" s="1"/>
  <c r="CH21" i="9" a="1"/>
  <c r="CH21" i="9" s="1"/>
  <c r="CH37" i="9" a="1"/>
  <c r="CH37" i="9" s="1"/>
  <c r="CH51" i="9" a="1"/>
  <c r="CH51" i="9" s="1"/>
  <c r="CH79" i="9" a="1"/>
  <c r="CH79" i="9" s="1"/>
  <c r="CH93" i="9" a="1"/>
  <c r="CH93" i="9" s="1"/>
  <c r="CH103" i="9" a="1"/>
  <c r="CH103" i="9" s="1"/>
  <c r="CH111" i="9" a="1"/>
  <c r="CH111" i="9" s="1"/>
  <c r="CH22" i="9" a="1"/>
  <c r="CH22" i="9" s="1"/>
  <c r="CH36" i="9" a="1"/>
  <c r="CH36" i="9" s="1"/>
  <c r="CH50" i="9" a="1"/>
  <c r="CH50" i="9" s="1"/>
  <c r="CH64" i="9" a="1"/>
  <c r="CH64" i="9" s="1"/>
  <c r="CH80" i="9" a="1"/>
  <c r="CH80" i="9" s="1"/>
  <c r="CH92" i="9" a="1"/>
  <c r="CH92" i="9" s="1"/>
  <c r="CH108" i="9" a="1"/>
  <c r="CH108" i="9" s="1"/>
  <c r="CH12" i="9" a="1"/>
  <c r="CH12" i="9" s="1"/>
  <c r="CH46" i="9" a="1"/>
  <c r="CH46" i="9" s="1"/>
  <c r="CH66" i="9" a="1"/>
  <c r="CH66" i="9" s="1"/>
  <c r="CH102" i="9" a="1"/>
  <c r="CH102" i="9" s="1"/>
  <c r="CH25" i="9" a="1"/>
  <c r="CH25" i="9" s="1"/>
  <c r="CH69" i="9" a="1"/>
  <c r="CH69" i="9" s="1"/>
  <c r="CH97" i="9" a="1"/>
  <c r="CH97" i="9" s="1"/>
  <c r="CH105" i="9" a="1"/>
  <c r="CH105" i="9" s="1"/>
  <c r="CH10" i="9" a="1"/>
  <c r="CH10" i="9" s="1"/>
  <c r="CH26" i="9" a="1"/>
  <c r="CH26" i="9" s="1"/>
  <c r="CH40" i="9" a="1"/>
  <c r="CH40" i="9" s="1"/>
  <c r="CH54" i="9" a="1"/>
  <c r="CH54" i="9" s="1"/>
  <c r="CH68" i="9" a="1"/>
  <c r="CH68" i="9" s="1"/>
  <c r="CH96" i="9" a="1"/>
  <c r="CH96" i="9" s="1"/>
  <c r="CH110" i="9" a="1"/>
  <c r="CH110" i="9" s="1"/>
  <c r="CH16" i="9" a="1"/>
  <c r="CH16" i="9" s="1"/>
  <c r="CH34" i="9" a="1"/>
  <c r="CH34" i="9" s="1"/>
  <c r="CH52" i="9" a="1"/>
  <c r="CH52" i="9" s="1"/>
  <c r="CH70" i="9" a="1"/>
  <c r="CH70" i="9" s="1"/>
  <c r="CH88" i="9" a="1"/>
  <c r="CH88" i="9" s="1"/>
  <c r="AL92" i="9" a="1"/>
  <c r="AL92" i="9" s="1"/>
  <c r="AL51" i="9" a="1"/>
  <c r="AL51" i="9" s="1"/>
  <c r="AL36" i="9" a="1"/>
  <c r="AL36" i="9" s="1"/>
  <c r="AL24" i="9" a="1"/>
  <c r="AL24" i="9" s="1"/>
  <c r="AL17" i="9" a="1"/>
  <c r="AL17" i="9" s="1"/>
  <c r="AL16" i="9" a="1"/>
  <c r="AL16" i="9" s="1"/>
  <c r="AL18" i="9" a="1"/>
  <c r="AL18" i="9" s="1"/>
  <c r="AL34" i="9" a="1"/>
  <c r="AL34" i="9" s="1"/>
  <c r="AL20" i="9" a="1"/>
  <c r="AL20" i="9" s="1"/>
  <c r="AL23" i="9" a="1"/>
  <c r="AL23" i="9" s="1"/>
  <c r="AL39" i="9" a="1"/>
  <c r="AL39" i="9" s="1"/>
  <c r="AL49" i="9" a="1"/>
  <c r="AL49" i="9" s="1"/>
  <c r="AL57" i="9" a="1"/>
  <c r="AL57" i="9" s="1"/>
  <c r="AL73" i="9" a="1"/>
  <c r="AL73" i="9" s="1"/>
  <c r="AL81" i="9" a="1"/>
  <c r="AL81" i="9" s="1"/>
  <c r="AL89" i="9" a="1"/>
  <c r="AL89" i="9" s="1"/>
  <c r="AL97" i="9" a="1"/>
  <c r="AL97" i="9" s="1"/>
  <c r="AL105" i="9" a="1"/>
  <c r="AL105" i="9" s="1"/>
  <c r="AL52" i="9" a="1"/>
  <c r="AL52" i="9" s="1"/>
  <c r="AL62" i="9" a="1"/>
  <c r="AL62" i="9" s="1"/>
  <c r="AL78" i="9" a="1"/>
  <c r="AL78" i="9" s="1"/>
  <c r="AL98" i="9" a="1"/>
  <c r="AL98" i="9" s="1"/>
  <c r="AL106" i="9" a="1"/>
  <c r="AL106" i="9" s="1"/>
  <c r="AL50" i="9" a="1"/>
  <c r="AL50" i="9" s="1"/>
  <c r="AL72" i="9" a="1"/>
  <c r="AL72" i="9" s="1"/>
  <c r="AL40" i="9" a="1"/>
  <c r="AL40" i="9" s="1"/>
  <c r="AL21" i="9" a="1"/>
  <c r="AL21" i="9" s="1"/>
  <c r="AL37" i="9" a="1"/>
  <c r="AL37" i="9" s="1"/>
  <c r="AL28" i="9" a="1"/>
  <c r="AL28" i="9" s="1"/>
  <c r="AL22" i="9" a="1"/>
  <c r="AL22" i="9" s="1"/>
  <c r="AL38" i="9" a="1"/>
  <c r="AL38" i="9" s="1"/>
  <c r="AL11" i="9" a="1"/>
  <c r="AL11" i="9" s="1"/>
  <c r="AL27" i="9" a="1"/>
  <c r="AL27" i="9" s="1"/>
  <c r="AL43" i="9" a="1"/>
  <c r="AL43" i="9" s="1"/>
  <c r="AL59" i="9" a="1"/>
  <c r="AL59" i="9" s="1"/>
  <c r="AL67" i="9" a="1"/>
  <c r="AL67" i="9" s="1"/>
  <c r="AL75" i="9" a="1"/>
  <c r="AL75" i="9" s="1"/>
  <c r="AL91" i="9" a="1"/>
  <c r="AL91" i="9" s="1"/>
  <c r="AL99" i="9" a="1"/>
  <c r="AL99" i="9" s="1"/>
  <c r="AL107" i="9" a="1"/>
  <c r="AL107" i="9" s="1"/>
  <c r="AL54" i="9" a="1"/>
  <c r="AL54" i="9" s="1"/>
  <c r="AL66" i="9" a="1"/>
  <c r="AL66" i="9" s="1"/>
  <c r="AL90" i="9" a="1"/>
  <c r="AL90" i="9" s="1"/>
  <c r="AL100" i="9" a="1"/>
  <c r="AL100" i="9" s="1"/>
  <c r="AL108" i="9" a="1"/>
  <c r="AL108" i="9" s="1"/>
  <c r="AL56" i="9" a="1"/>
  <c r="AL56" i="9" s="1"/>
  <c r="AL76" i="9" a="1"/>
  <c r="AL76" i="9" s="1"/>
  <c r="AL86" i="9" a="1"/>
  <c r="AL86" i="9" s="1"/>
  <c r="AL44" i="9" a="1"/>
  <c r="AL44" i="9" s="1"/>
  <c r="AL25" i="9" a="1"/>
  <c r="AL25" i="9" s="1"/>
  <c r="AL41" i="9" a="1"/>
  <c r="AL41" i="9" s="1"/>
  <c r="AL10" i="9" a="1"/>
  <c r="AL10" i="9" s="1"/>
  <c r="AL26" i="9" a="1"/>
  <c r="AL26" i="9" s="1"/>
  <c r="AL42" i="9" a="1"/>
  <c r="AL42" i="9" s="1"/>
  <c r="AL15" i="9" a="1"/>
  <c r="AL15" i="9" s="1"/>
  <c r="AL48" i="9" a="1"/>
  <c r="AL48" i="9" s="1"/>
  <c r="AL53" i="9" a="1"/>
  <c r="AL53" i="9" s="1"/>
  <c r="AL61" i="9" a="1"/>
  <c r="AL61" i="9" s="1"/>
  <c r="AL69" i="9" a="1"/>
  <c r="AL69" i="9" s="1"/>
  <c r="AL77" i="9" a="1"/>
  <c r="AL77" i="9" s="1"/>
  <c r="AL93" i="9" a="1"/>
  <c r="AL93" i="9" s="1"/>
  <c r="AL101" i="9" a="1"/>
  <c r="AL101" i="9" s="1"/>
  <c r="AL109" i="9" a="1"/>
  <c r="AL109" i="9" s="1"/>
  <c r="AL58" i="9" a="1"/>
  <c r="AL58" i="9" s="1"/>
  <c r="AL70" i="9" a="1"/>
  <c r="AL70" i="9" s="1"/>
  <c r="AL94" i="9" a="1"/>
  <c r="AL94" i="9" s="1"/>
  <c r="AL102" i="9" a="1"/>
  <c r="AL102" i="9" s="1"/>
  <c r="AL110" i="9" a="1"/>
  <c r="AL110" i="9" s="1"/>
  <c r="AL64" i="9" a="1"/>
  <c r="AL64" i="9" s="1"/>
  <c r="AL80" i="9" a="1"/>
  <c r="AL80" i="9" s="1"/>
  <c r="AL88" i="9" a="1"/>
  <c r="AL88" i="9" s="1"/>
  <c r="AL12" i="9" a="1"/>
  <c r="AL12" i="9" s="1"/>
  <c r="AL13" i="9" a="1"/>
  <c r="AL13" i="9" s="1"/>
  <c r="AL29" i="9" a="1"/>
  <c r="AL29" i="9" s="1"/>
  <c r="AL45" i="9" a="1"/>
  <c r="AL45" i="9" s="1"/>
  <c r="AL14" i="9" a="1"/>
  <c r="AL14" i="9" s="1"/>
  <c r="AL46" i="9" a="1"/>
  <c r="AL46" i="9" s="1"/>
  <c r="AL19" i="9" a="1"/>
  <c r="AL19" i="9" s="1"/>
  <c r="AL35" i="9" a="1"/>
  <c r="AL35" i="9" s="1"/>
  <c r="AL47" i="9" a="1"/>
  <c r="AL47" i="9" s="1"/>
  <c r="AL55" i="9" a="1"/>
  <c r="AL55" i="9" s="1"/>
  <c r="AL63" i="9" a="1"/>
  <c r="AL63" i="9" s="1"/>
  <c r="AL71" i="9" a="1"/>
  <c r="AL71" i="9" s="1"/>
  <c r="AL79" i="9" a="1"/>
  <c r="AL79" i="9" s="1"/>
  <c r="AL87" i="9" a="1"/>
  <c r="AL87" i="9" s="1"/>
  <c r="AL95" i="9" a="1"/>
  <c r="AL95" i="9" s="1"/>
  <c r="AL103" i="9" a="1"/>
  <c r="AL103" i="9" s="1"/>
  <c r="AL111" i="9" a="1"/>
  <c r="AL111" i="9" s="1"/>
  <c r="AL60" i="9" a="1"/>
  <c r="AL60" i="9" s="1"/>
  <c r="AL74" i="9" a="1"/>
  <c r="AL74" i="9" s="1"/>
  <c r="AL96" i="9" a="1"/>
  <c r="AL96" i="9" s="1"/>
  <c r="AL104" i="9" a="1"/>
  <c r="AL104" i="9" s="1"/>
  <c r="AL112" i="9" a="1"/>
  <c r="AL112" i="9" s="1"/>
  <c r="AL68" i="9" a="1"/>
  <c r="AL68" i="9" s="1"/>
  <c r="B77" i="16" a="1"/>
  <c r="B77" i="16" s="1"/>
  <c r="B76" i="16" a="1"/>
  <c r="B76" i="16" s="1"/>
  <c r="B74" i="16" a="1"/>
  <c r="B74" i="16" s="1"/>
  <c r="B73" i="16" a="1"/>
  <c r="B73" i="16" s="1"/>
  <c r="AF95" i="5"/>
  <c r="R94" i="5"/>
  <c r="AD94" i="5"/>
  <c r="AC94" i="5"/>
  <c r="AB94" i="5"/>
  <c r="AA94" i="5"/>
  <c r="U94" i="5"/>
  <c r="T94" i="5"/>
  <c r="S94" i="5"/>
  <c r="L94" i="5"/>
  <c r="K94" i="5"/>
  <c r="J94" i="5"/>
  <c r="BY34" i="15"/>
  <c r="AE95" i="5"/>
  <c r="B96" i="5"/>
  <c r="A29" i="7" a="1"/>
  <c r="A29" i="7" s="1"/>
  <c r="A39" i="7" a="1"/>
  <c r="A39" i="7" s="1"/>
  <c r="AT34" i="15"/>
  <c r="A28" i="7" a="1"/>
  <c r="A28" i="7" s="1"/>
  <c r="A46" i="7" a="1"/>
  <c r="A46" i="7" s="1"/>
  <c r="A49" i="7" a="1"/>
  <c r="A49" i="7" s="1"/>
  <c r="A25" i="7" a="1"/>
  <c r="A25" i="7" s="1"/>
  <c r="A40" i="7" a="1"/>
  <c r="A40" i="7" s="1"/>
  <c r="BH34" i="15"/>
  <c r="A47" i="7" a="1"/>
  <c r="A47" i="7" s="1"/>
  <c r="A36" i="7" a="1"/>
  <c r="A36" i="7" s="1"/>
  <c r="A50" i="7" a="1"/>
  <c r="A50" i="7" s="1"/>
  <c r="A26" i="7" a="1"/>
  <c r="A26" i="7" s="1"/>
  <c r="BM34" i="15"/>
  <c r="A37" i="7" a="1"/>
  <c r="A37" i="7" s="1"/>
  <c r="A27" i="7" a="1"/>
  <c r="A27" i="7" s="1"/>
  <c r="BZ34" i="15"/>
  <c r="C95" i="5"/>
  <c r="BG34" i="15"/>
  <c r="BV34" i="15"/>
  <c r="BI34" i="15"/>
  <c r="A30" i="7" a="1"/>
  <c r="A30" i="7" s="1"/>
  <c r="BJ34" i="15"/>
  <c r="CG55" i="9" a="1"/>
  <c r="CG55" i="9" s="1"/>
  <c r="AK29" i="9" a="1"/>
  <c r="AK29" i="9" s="1"/>
  <c r="AK20" i="9" a="1"/>
  <c r="AK20" i="9" s="1"/>
  <c r="AK18" i="9" a="1"/>
  <c r="AK18" i="9" s="1"/>
  <c r="AK15" i="9" a="1"/>
  <c r="AK15" i="9" s="1"/>
  <c r="AK12" i="9" a="1"/>
  <c r="AK12" i="9" s="1"/>
  <c r="EH111" i="9" a="1"/>
  <c r="EH111" i="9" s="1"/>
  <c r="DB111" i="9"/>
  <c r="DB110" i="9"/>
  <c r="EH109" i="9" a="1"/>
  <c r="EH109" i="9" s="1"/>
  <c r="EH108" i="9" a="1"/>
  <c r="EH108" i="9" s="1"/>
  <c r="DB108" i="9"/>
  <c r="DB107" i="9"/>
  <c r="EH106" i="9" a="1"/>
  <c r="EH106" i="9" s="1"/>
  <c r="EH105" i="9" a="1"/>
  <c r="EH105" i="9" s="1"/>
  <c r="EH110" i="9" a="1"/>
  <c r="EH110" i="9" s="1"/>
  <c r="EH107" i="9" a="1"/>
  <c r="EH107" i="9" s="1"/>
  <c r="DB100" i="9"/>
  <c r="DB104" i="9"/>
  <c r="DB102" i="9"/>
  <c r="EH101" i="9" a="1"/>
  <c r="EH101" i="9" s="1"/>
  <c r="DB101" i="9"/>
  <c r="EH100" i="9" a="1"/>
  <c r="EH100" i="9" s="1"/>
  <c r="EH99" i="9" a="1"/>
  <c r="EH99" i="9" s="1"/>
  <c r="EH98" i="9" a="1"/>
  <c r="EH98" i="9" s="1"/>
  <c r="EH112" i="9" a="1"/>
  <c r="EH112" i="9" s="1"/>
  <c r="DB112" i="9"/>
  <c r="DB109" i="9"/>
  <c r="DB106" i="9"/>
  <c r="DB105" i="9"/>
  <c r="EH104" i="9" a="1"/>
  <c r="EH104" i="9" s="1"/>
  <c r="EH103" i="9" a="1"/>
  <c r="EH103" i="9" s="1"/>
  <c r="DB103" i="9"/>
  <c r="EH102" i="9" a="1"/>
  <c r="EH102" i="9" s="1"/>
  <c r="DB97" i="9"/>
  <c r="EH94" i="9" a="1"/>
  <c r="EH94" i="9" s="1"/>
  <c r="DB89" i="9"/>
  <c r="DB87" i="9"/>
  <c r="DB98" i="9"/>
  <c r="EH96" i="9" a="1"/>
  <c r="EH96" i="9" s="1"/>
  <c r="EH95" i="9" a="1"/>
  <c r="EH95" i="9" s="1"/>
  <c r="DB94" i="9"/>
  <c r="EH93" i="9" a="1"/>
  <c r="EH93" i="9" s="1"/>
  <c r="DB93" i="9"/>
  <c r="DB92" i="9"/>
  <c r="EH91" i="9" a="1"/>
  <c r="EH91" i="9" s="1"/>
  <c r="DB91" i="9"/>
  <c r="DB90" i="9"/>
  <c r="EH89" i="9" a="1"/>
  <c r="EH89" i="9" s="1"/>
  <c r="EH88" i="9" a="1"/>
  <c r="EH88" i="9" s="1"/>
  <c r="DB88" i="9"/>
  <c r="EH87" i="9" a="1"/>
  <c r="EH87" i="9" s="1"/>
  <c r="EH86" i="9" a="1"/>
  <c r="EH86" i="9" s="1"/>
  <c r="DB86" i="9"/>
  <c r="DB85" i="9"/>
  <c r="EH84" i="9" a="1"/>
  <c r="EH84" i="9" s="1"/>
  <c r="DB84" i="9"/>
  <c r="DB83" i="9"/>
  <c r="DB99" i="9"/>
  <c r="EH97" i="9" a="1"/>
  <c r="EH97" i="9" s="1"/>
  <c r="DB96" i="9"/>
  <c r="DB95" i="9"/>
  <c r="EH92" i="9" a="1"/>
  <c r="EH92" i="9" s="1"/>
  <c r="EH90" i="9" a="1"/>
  <c r="EH90" i="9" s="1"/>
  <c r="EH85" i="9" a="1"/>
  <c r="EH85" i="9" s="1"/>
  <c r="EH83" i="9" a="1"/>
  <c r="EH83" i="9" s="1"/>
  <c r="EH82" i="9" a="1"/>
  <c r="EH82" i="9" s="1"/>
  <c r="DB82" i="9"/>
  <c r="DB81" i="9"/>
  <c r="DB80" i="9"/>
  <c r="EH79" i="9" a="1"/>
  <c r="EH79" i="9" s="1"/>
  <c r="EH81" i="9" a="1"/>
  <c r="EH81" i="9" s="1"/>
  <c r="EH80" i="9" a="1"/>
  <c r="EH80" i="9" s="1"/>
  <c r="DB77" i="9"/>
  <c r="EH78" i="9" a="1"/>
  <c r="EH78" i="9" s="1"/>
  <c r="DB75" i="9"/>
  <c r="EH74" i="9" a="1"/>
  <c r="EH74" i="9" s="1"/>
  <c r="DB74" i="9"/>
  <c r="DB73" i="9"/>
  <c r="EH72" i="9" a="1"/>
  <c r="EH72" i="9" s="1"/>
  <c r="EH71" i="9" a="1"/>
  <c r="EH71" i="9" s="1"/>
  <c r="DB71" i="9"/>
  <c r="EH70" i="9" a="1"/>
  <c r="EH70" i="9" s="1"/>
  <c r="EH68" i="9" a="1"/>
  <c r="EH68" i="9" s="1"/>
  <c r="DB62" i="9"/>
  <c r="DB61" i="9"/>
  <c r="DB78" i="9"/>
  <c r="EH77" i="9" a="1"/>
  <c r="EH77" i="9" s="1"/>
  <c r="DB76" i="9"/>
  <c r="EH75" i="9" a="1"/>
  <c r="EH75" i="9" s="1"/>
  <c r="EH73" i="9" a="1"/>
  <c r="EH73" i="9" s="1"/>
  <c r="DB64" i="9"/>
  <c r="DB63" i="9"/>
  <c r="EH62" i="9" a="1"/>
  <c r="EH62" i="9" s="1"/>
  <c r="EH61" i="9" a="1"/>
  <c r="EH61" i="9" s="1"/>
  <c r="DB60" i="9"/>
  <c r="EH59" i="9" a="1"/>
  <c r="EH59" i="9" s="1"/>
  <c r="DB59" i="9"/>
  <c r="EH76" i="9" a="1"/>
  <c r="EH76" i="9" s="1"/>
  <c r="DB69" i="9"/>
  <c r="DB67" i="9"/>
  <c r="DB65" i="9"/>
  <c r="EH64" i="9" a="1"/>
  <c r="EH64" i="9" s="1"/>
  <c r="EH63" i="9" a="1"/>
  <c r="EH63" i="9" s="1"/>
  <c r="DB79" i="9"/>
  <c r="DB72" i="9"/>
  <c r="DB70" i="9"/>
  <c r="EH69" i="9" a="1"/>
  <c r="EH69" i="9" s="1"/>
  <c r="DB68" i="9"/>
  <c r="EH67" i="9" a="1"/>
  <c r="EH67" i="9" s="1"/>
  <c r="EH66" i="9" a="1"/>
  <c r="EH66" i="9" s="1"/>
  <c r="DB66" i="9"/>
  <c r="EH65" i="9" a="1"/>
  <c r="EH65" i="9" s="1"/>
  <c r="DB57" i="9"/>
  <c r="EH56" i="9" a="1"/>
  <c r="EH56" i="9" s="1"/>
  <c r="DB52" i="9"/>
  <c r="EH51" i="9" a="1"/>
  <c r="EH51" i="9" s="1"/>
  <c r="DB48" i="9"/>
  <c r="EH47" i="9" a="1"/>
  <c r="EH47" i="9" s="1"/>
  <c r="EH46" i="9" a="1"/>
  <c r="EH46" i="9" s="1"/>
  <c r="EH45" i="9" a="1"/>
  <c r="EH45" i="9" s="1"/>
  <c r="DB42" i="9"/>
  <c r="EH41" i="9" a="1"/>
  <c r="EH41" i="9" s="1"/>
  <c r="DB41" i="9"/>
  <c r="DB40" i="9"/>
  <c r="DB58" i="9"/>
  <c r="EH57" i="9" a="1"/>
  <c r="EH57" i="9" s="1"/>
  <c r="DB53" i="9"/>
  <c r="EH52" i="9" a="1"/>
  <c r="EH52" i="9" s="1"/>
  <c r="DB49" i="9"/>
  <c r="EH48" i="9" a="1"/>
  <c r="EH48" i="9" s="1"/>
  <c r="DB43" i="9"/>
  <c r="EH42" i="9" a="1"/>
  <c r="EH42" i="9" s="1"/>
  <c r="EH40" i="9" a="1"/>
  <c r="EH40" i="9" s="1"/>
  <c r="EH60" i="9" a="1"/>
  <c r="EH60" i="9" s="1"/>
  <c r="EH58" i="9" a="1"/>
  <c r="EH58" i="9" s="1"/>
  <c r="DB54" i="9"/>
  <c r="EH53" i="9" a="1"/>
  <c r="EH53" i="9" s="1"/>
  <c r="DB50" i="9"/>
  <c r="EH49" i="9" a="1"/>
  <c r="EH49" i="9" s="1"/>
  <c r="DB44" i="9"/>
  <c r="EH43" i="9" a="1"/>
  <c r="EH43" i="9" s="1"/>
  <c r="DB56" i="9"/>
  <c r="EH55" i="9" a="1"/>
  <c r="EH55" i="9" s="1"/>
  <c r="DB55" i="9"/>
  <c r="EH54" i="9" a="1"/>
  <c r="EH54" i="9" s="1"/>
  <c r="DB51" i="9"/>
  <c r="EH50" i="9" a="1"/>
  <c r="EH50" i="9" s="1"/>
  <c r="DB47" i="9"/>
  <c r="DB46" i="9"/>
  <c r="DB45" i="9"/>
  <c r="EH44" i="9" a="1"/>
  <c r="EH44" i="9" s="1"/>
  <c r="EH39" i="9" a="1"/>
  <c r="EH39" i="9" s="1"/>
  <c r="DB36" i="9"/>
  <c r="EH35" i="9" a="1"/>
  <c r="EH35" i="9" s="1"/>
  <c r="DB32" i="9"/>
  <c r="EH31" i="9" a="1"/>
  <c r="EH31" i="9" s="1"/>
  <c r="DB23" i="9"/>
  <c r="EH22" i="9" a="1"/>
  <c r="EH22" i="9" s="1"/>
  <c r="EH20" i="9" a="1"/>
  <c r="EH20" i="9" s="1"/>
  <c r="EH15" i="9" a="1"/>
  <c r="EH15" i="9" s="1"/>
  <c r="EH13" i="9" a="1"/>
  <c r="EH13" i="9" s="1"/>
  <c r="EH9" i="9" a="1"/>
  <c r="EH9" i="9" s="1"/>
  <c r="E121" i="10" a="1"/>
  <c r="E121" i="10" s="1"/>
  <c r="E50" i="10"/>
  <c r="E182" i="2"/>
  <c r="DB37" i="9"/>
  <c r="EH36" i="9" a="1"/>
  <c r="EH36" i="9" s="1"/>
  <c r="DB33" i="9"/>
  <c r="EH32" i="9" a="1"/>
  <c r="EH32" i="9" s="1"/>
  <c r="EH23" i="9" a="1"/>
  <c r="EH23" i="9" s="1"/>
  <c r="E178" i="10" a="1"/>
  <c r="E178" i="10" s="1"/>
  <c r="E176" i="10" a="1"/>
  <c r="E176" i="10" s="1"/>
  <c r="D182" i="2"/>
  <c r="DB38" i="9"/>
  <c r="EH37" i="9" a="1"/>
  <c r="EH37" i="9" s="1"/>
  <c r="DB34" i="9"/>
  <c r="EH33" i="9" a="1"/>
  <c r="EH33" i="9" s="1"/>
  <c r="DB30" i="9"/>
  <c r="DB28" i="9"/>
  <c r="EH27" i="9" a="1"/>
  <c r="EH27" i="9" s="1"/>
  <c r="DB27" i="9"/>
  <c r="DB25" i="9"/>
  <c r="DB19" i="9"/>
  <c r="DB17" i="9"/>
  <c r="DB16" i="9"/>
  <c r="DB14" i="9"/>
  <c r="DB11" i="9"/>
  <c r="DB39" i="9"/>
  <c r="EH38" i="9" a="1"/>
  <c r="EH38" i="9" s="1"/>
  <c r="DB35" i="9"/>
  <c r="EH34" i="9" a="1"/>
  <c r="EH34" i="9" s="1"/>
  <c r="DB31" i="9"/>
  <c r="EH30" i="9" a="1"/>
  <c r="EH30" i="9" s="1"/>
  <c r="EH29" i="9" a="1"/>
  <c r="EH29" i="9" s="1"/>
  <c r="DB29" i="9"/>
  <c r="EH28" i="9" a="1"/>
  <c r="EH28" i="9" s="1"/>
  <c r="EH26" i="9" a="1"/>
  <c r="EH26" i="9" s="1"/>
  <c r="DB26" i="9"/>
  <c r="EH25" i="9" a="1"/>
  <c r="EH25" i="9" s="1"/>
  <c r="EH24" i="9" a="1"/>
  <c r="EH24" i="9" s="1"/>
  <c r="DB24" i="9"/>
  <c r="DB22" i="9"/>
  <c r="EH21" i="9" a="1"/>
  <c r="EH21" i="9" s="1"/>
  <c r="DB21" i="9"/>
  <c r="DB20" i="9"/>
  <c r="EH19" i="9" a="1"/>
  <c r="EH19" i="9" s="1"/>
  <c r="EH18" i="9" a="1"/>
  <c r="EH18" i="9" s="1"/>
  <c r="DB18" i="9"/>
  <c r="EH17" i="9" a="1"/>
  <c r="EH17" i="9" s="1"/>
  <c r="EH16" i="9" a="1"/>
  <c r="EH16" i="9" s="1"/>
  <c r="DB15" i="9"/>
  <c r="EH14" i="9" a="1"/>
  <c r="EH14" i="9" s="1"/>
  <c r="DB13" i="9"/>
  <c r="EH12" i="9" a="1"/>
  <c r="EH12" i="9" s="1"/>
  <c r="DB12" i="9"/>
  <c r="EH11" i="9" a="1"/>
  <c r="EH11" i="9" s="1"/>
  <c r="EH10" i="9" a="1"/>
  <c r="EH10" i="9" s="1"/>
  <c r="DB10" i="9"/>
  <c r="DB9" i="9"/>
  <c r="E179" i="10" a="1"/>
  <c r="E179" i="10" s="1"/>
  <c r="E177" i="10" a="1"/>
  <c r="E177" i="10" s="1"/>
  <c r="E175" i="10" a="1"/>
  <c r="E175" i="10" s="1"/>
  <c r="AK59" i="9" a="1"/>
  <c r="AK59" i="9" s="1"/>
  <c r="ED55" i="9" a="1"/>
  <c r="ED55" i="9" s="1"/>
  <c r="CG58" i="9" a="1"/>
  <c r="CG58" i="9" s="1"/>
  <c r="AK55" i="9" a="1"/>
  <c r="AK55" i="9" s="1"/>
  <c r="ED38" i="9" a="1"/>
  <c r="ED38" i="9" s="1"/>
  <c r="ED19" i="9" a="1"/>
  <c r="ED19" i="9" s="1"/>
  <c r="ED16" i="9" a="1"/>
  <c r="ED16" i="9" s="1"/>
  <c r="AK14" i="9" a="1"/>
  <c r="AK14" i="9" s="1"/>
  <c r="CG38" i="9" a="1"/>
  <c r="CG38" i="9" s="1"/>
  <c r="CG25" i="9" a="1"/>
  <c r="CG25" i="9" s="1"/>
  <c r="ED22" i="9" a="1"/>
  <c r="ED22" i="9" s="1"/>
  <c r="ED20" i="9" a="1"/>
  <c r="ED20" i="9" s="1"/>
  <c r="ED12" i="9" a="1"/>
  <c r="ED12" i="9" s="1"/>
  <c r="BE109" i="9"/>
  <c r="BE105" i="9"/>
  <c r="CK104" i="9" a="1"/>
  <c r="CK104" i="9" s="1"/>
  <c r="BE104" i="9"/>
  <c r="BE103" i="9"/>
  <c r="CK102" i="9" a="1"/>
  <c r="CK102" i="9" s="1"/>
  <c r="CK101" i="9" a="1"/>
  <c r="CK101" i="9" s="1"/>
  <c r="CK112" i="9" a="1"/>
  <c r="CK112" i="9" s="1"/>
  <c r="BE112" i="9"/>
  <c r="BE111" i="9"/>
  <c r="BE110" i="9"/>
  <c r="CK109" i="9" a="1"/>
  <c r="CK109" i="9" s="1"/>
  <c r="BE107" i="9"/>
  <c r="CK106" i="9" a="1"/>
  <c r="CK106" i="9" s="1"/>
  <c r="BE106" i="9"/>
  <c r="CK105" i="9" a="1"/>
  <c r="CK105" i="9" s="1"/>
  <c r="CK103" i="9" a="1"/>
  <c r="CK103" i="9" s="1"/>
  <c r="CK111" i="9" a="1"/>
  <c r="CK111" i="9" s="1"/>
  <c r="CK110" i="9" a="1"/>
  <c r="CK110" i="9" s="1"/>
  <c r="CK108" i="9" a="1"/>
  <c r="CK108" i="9" s="1"/>
  <c r="BE108" i="9"/>
  <c r="CK107" i="9" a="1"/>
  <c r="CK107" i="9" s="1"/>
  <c r="BE99" i="9"/>
  <c r="BE98" i="9"/>
  <c r="BE97" i="9"/>
  <c r="CK96" i="9" a="1"/>
  <c r="CK96" i="9" s="1"/>
  <c r="BE96" i="9"/>
  <c r="CK95" i="9" a="1"/>
  <c r="CK95" i="9" s="1"/>
  <c r="BE102" i="9"/>
  <c r="BE101" i="9"/>
  <c r="CK100" i="9" a="1"/>
  <c r="CK100" i="9" s="1"/>
  <c r="BE100" i="9"/>
  <c r="CK99" i="9" a="1"/>
  <c r="CK99" i="9" s="1"/>
  <c r="CK98" i="9" a="1"/>
  <c r="CK98" i="9" s="1"/>
  <c r="CK97" i="9" a="1"/>
  <c r="CK97" i="9" s="1"/>
  <c r="CK94" i="9" a="1"/>
  <c r="CK94" i="9" s="1"/>
  <c r="CK82" i="9" a="1"/>
  <c r="CK82" i="9" s="1"/>
  <c r="CK81" i="9" a="1"/>
  <c r="CK81" i="9" s="1"/>
  <c r="BE81" i="9"/>
  <c r="BE89" i="9"/>
  <c r="BE87" i="9"/>
  <c r="BE95" i="9"/>
  <c r="BE94" i="9"/>
  <c r="BE93" i="9"/>
  <c r="BE92" i="9"/>
  <c r="BE90" i="9"/>
  <c r="CK89" i="9" a="1"/>
  <c r="CK89" i="9" s="1"/>
  <c r="BE88" i="9"/>
  <c r="CK87" i="9" a="1"/>
  <c r="CK87" i="9" s="1"/>
  <c r="BE85" i="9"/>
  <c r="BE84" i="9"/>
  <c r="BE79" i="9"/>
  <c r="CK78" i="9" a="1"/>
  <c r="CK78" i="9" s="1"/>
  <c r="CK93" i="9" a="1"/>
  <c r="CK93" i="9" s="1"/>
  <c r="CK92" i="9" a="1"/>
  <c r="CK92" i="9" s="1"/>
  <c r="CK91" i="9" a="1"/>
  <c r="CK91" i="9" s="1"/>
  <c r="BE91" i="9"/>
  <c r="CK90" i="9" a="1"/>
  <c r="CK90" i="9" s="1"/>
  <c r="CK88" i="9" a="1"/>
  <c r="CK88" i="9" s="1"/>
  <c r="CK86" i="9" a="1"/>
  <c r="CK86" i="9" s="1"/>
  <c r="BE86" i="9"/>
  <c r="CK85" i="9" a="1"/>
  <c r="CK85" i="9" s="1"/>
  <c r="CK84" i="9" a="1"/>
  <c r="CK84" i="9" s="1"/>
  <c r="CK83" i="9" a="1"/>
  <c r="CK83" i="9" s="1"/>
  <c r="BE83" i="9"/>
  <c r="BE82" i="9"/>
  <c r="BE80" i="9"/>
  <c r="CK79" i="9" a="1"/>
  <c r="CK79" i="9" s="1"/>
  <c r="BE72" i="9"/>
  <c r="BE70" i="9"/>
  <c r="CK69" i="9" a="1"/>
  <c r="CK69" i="9" s="1"/>
  <c r="BE69" i="9"/>
  <c r="BE68" i="9"/>
  <c r="CK67" i="9" a="1"/>
  <c r="CK67" i="9" s="1"/>
  <c r="BE67" i="9"/>
  <c r="BE66" i="9"/>
  <c r="CK65" i="9" a="1"/>
  <c r="CK65" i="9" s="1"/>
  <c r="CK80" i="9" a="1"/>
  <c r="CK80" i="9" s="1"/>
  <c r="BE78" i="9"/>
  <c r="BE75" i="9"/>
  <c r="BE73" i="9"/>
  <c r="CK72" i="9" a="1"/>
  <c r="CK72" i="9" s="1"/>
  <c r="BE71" i="9"/>
  <c r="CK70" i="9" a="1"/>
  <c r="CK70" i="9" s="1"/>
  <c r="CK68" i="9" a="1"/>
  <c r="CK68" i="9" s="1"/>
  <c r="CK66" i="9" a="1"/>
  <c r="CK66" i="9" s="1"/>
  <c r="BE62" i="9"/>
  <c r="CK77" i="9" a="1"/>
  <c r="CK77" i="9" s="1"/>
  <c r="BE76" i="9"/>
  <c r="CK75" i="9" a="1"/>
  <c r="CK75" i="9" s="1"/>
  <c r="CK74" i="9" a="1"/>
  <c r="CK74" i="9" s="1"/>
  <c r="BE74" i="9"/>
  <c r="CK73" i="9" a="1"/>
  <c r="CK73" i="9" s="1"/>
  <c r="CK71" i="9" a="1"/>
  <c r="CK71" i="9" s="1"/>
  <c r="BE64" i="9"/>
  <c r="BE63" i="9"/>
  <c r="CK62" i="9" a="1"/>
  <c r="CK62" i="9" s="1"/>
  <c r="BE77" i="9"/>
  <c r="CK76" i="9" a="1"/>
  <c r="CK76" i="9" s="1"/>
  <c r="BE65" i="9"/>
  <c r="CK64" i="9" a="1"/>
  <c r="CK64" i="9" s="1"/>
  <c r="CK63" i="9" a="1"/>
  <c r="CK63" i="9" s="1"/>
  <c r="CK60" i="9" a="1"/>
  <c r="CK60" i="9" s="1"/>
  <c r="CK61" i="9" a="1"/>
  <c r="CK61" i="9" s="1"/>
  <c r="BE56" i="9"/>
  <c r="BE55" i="9"/>
  <c r="CK54" i="9" a="1"/>
  <c r="CK54" i="9" s="1"/>
  <c r="BE51" i="9"/>
  <c r="CK50" i="9" a="1"/>
  <c r="CK50" i="9" s="1"/>
  <c r="BE46" i="9"/>
  <c r="BE45" i="9"/>
  <c r="CK44" i="9" a="1"/>
  <c r="CK44" i="9" s="1"/>
  <c r="BE61" i="9"/>
  <c r="CK59" i="9" a="1"/>
  <c r="CK59" i="9" s="1"/>
  <c r="BE57" i="9"/>
  <c r="CK56" i="9" a="1"/>
  <c r="CK56" i="9" s="1"/>
  <c r="CK55" i="9" a="1"/>
  <c r="CK55" i="9" s="1"/>
  <c r="BE52" i="9"/>
  <c r="CK51" i="9" a="1"/>
  <c r="CK51" i="9" s="1"/>
  <c r="BE48" i="9"/>
  <c r="CK47" i="9" a="1"/>
  <c r="CK47" i="9" s="1"/>
  <c r="BE47" i="9"/>
  <c r="CK46" i="9" a="1"/>
  <c r="CK46" i="9" s="1"/>
  <c r="CK45" i="9" a="1"/>
  <c r="CK45" i="9" s="1"/>
  <c r="BE42" i="9"/>
  <c r="BE41" i="9"/>
  <c r="BE40" i="9"/>
  <c r="BE58" i="9"/>
  <c r="CK57" i="9" a="1"/>
  <c r="CK57" i="9" s="1"/>
  <c r="BE53" i="9"/>
  <c r="CK52" i="9" a="1"/>
  <c r="CK52" i="9" s="1"/>
  <c r="BE49" i="9"/>
  <c r="CK48" i="9" a="1"/>
  <c r="CK48" i="9" s="1"/>
  <c r="BE43" i="9"/>
  <c r="CK42" i="9" a="1"/>
  <c r="CK42" i="9" s="1"/>
  <c r="BE60" i="9"/>
  <c r="BE59" i="9"/>
  <c r="CK58" i="9" a="1"/>
  <c r="CK58" i="9" s="1"/>
  <c r="BE54" i="9"/>
  <c r="CK53" i="9" a="1"/>
  <c r="CK53" i="9" s="1"/>
  <c r="BE50" i="9"/>
  <c r="CK49" i="9" a="1"/>
  <c r="CK49" i="9" s="1"/>
  <c r="BE44" i="9"/>
  <c r="CK43" i="9" a="1"/>
  <c r="CK43" i="9" s="1"/>
  <c r="BE39" i="9"/>
  <c r="CK38" i="9" a="1"/>
  <c r="CK38" i="9" s="1"/>
  <c r="BE35" i="9"/>
  <c r="CK34" i="9" a="1"/>
  <c r="CK34" i="9" s="1"/>
  <c r="BE31" i="9"/>
  <c r="CK30" i="9" a="1"/>
  <c r="CK30" i="9" s="1"/>
  <c r="BE30" i="9"/>
  <c r="BE29" i="9"/>
  <c r="CK28" i="9" a="1"/>
  <c r="CK28" i="9" s="1"/>
  <c r="CK27" i="9" a="1"/>
  <c r="CK27" i="9" s="1"/>
  <c r="BE26" i="9"/>
  <c r="CK25" i="9" a="1"/>
  <c r="CK25" i="9" s="1"/>
  <c r="BE22" i="9"/>
  <c r="BE20" i="9"/>
  <c r="CK19" i="9" a="1"/>
  <c r="CK19" i="9" s="1"/>
  <c r="BE18" i="9"/>
  <c r="CK17" i="9" a="1"/>
  <c r="CK17" i="9" s="1"/>
  <c r="CK16" i="9" a="1"/>
  <c r="CK16" i="9" s="1"/>
  <c r="BE16" i="9"/>
  <c r="BE15" i="9"/>
  <c r="CK14" i="9" a="1"/>
  <c r="CK14" i="9" s="1"/>
  <c r="BE14" i="9"/>
  <c r="BE13" i="9"/>
  <c r="BE12" i="9"/>
  <c r="CK11" i="9" a="1"/>
  <c r="CK11" i="9" s="1"/>
  <c r="BE11" i="9"/>
  <c r="BE10" i="9"/>
  <c r="BE9" i="9"/>
  <c r="CK41" i="9" a="1"/>
  <c r="CK41" i="9" s="1"/>
  <c r="CK39" i="9" a="1"/>
  <c r="CK39" i="9" s="1"/>
  <c r="BE36" i="9"/>
  <c r="CK35" i="9" a="1"/>
  <c r="CK35" i="9" s="1"/>
  <c r="BE32" i="9"/>
  <c r="CK31" i="9" a="1"/>
  <c r="CK31" i="9" s="1"/>
  <c r="CK29" i="9" a="1"/>
  <c r="CK29" i="9" s="1"/>
  <c r="CK26" i="9" a="1"/>
  <c r="CK26" i="9" s="1"/>
  <c r="CK24" i="9" a="1"/>
  <c r="CK24" i="9" s="1"/>
  <c r="BE24" i="9"/>
  <c r="BE23" i="9"/>
  <c r="CK22" i="9" a="1"/>
  <c r="CK22" i="9" s="1"/>
  <c r="CK21" i="9" a="1"/>
  <c r="CK21" i="9" s="1"/>
  <c r="BE21" i="9"/>
  <c r="CK20" i="9" a="1"/>
  <c r="CK20" i="9" s="1"/>
  <c r="CK18" i="9" a="1"/>
  <c r="CK18" i="9" s="1"/>
  <c r="CK15" i="9" a="1"/>
  <c r="CK15" i="9" s="1"/>
  <c r="CK13" i="9" a="1"/>
  <c r="CK13" i="9" s="1"/>
  <c r="CK12" i="9" a="1"/>
  <c r="CK12" i="9" s="1"/>
  <c r="CK10" i="9" a="1"/>
  <c r="CK10" i="9" s="1"/>
  <c r="CK9" i="9" a="1"/>
  <c r="CK9" i="9" s="1"/>
  <c r="D179" i="10" a="1"/>
  <c r="D179" i="10" s="1"/>
  <c r="D177" i="10" a="1"/>
  <c r="D177" i="10" s="1"/>
  <c r="D175" i="10" a="1"/>
  <c r="D175" i="10" s="1"/>
  <c r="E172" i="2"/>
  <c r="CK40" i="9" a="1"/>
  <c r="CK40" i="9" s="1"/>
  <c r="BE37" i="9"/>
  <c r="CK36" i="9" a="1"/>
  <c r="CK36" i="9" s="1"/>
  <c r="BE33" i="9"/>
  <c r="CK32" i="9" a="1"/>
  <c r="CK32" i="9" s="1"/>
  <c r="CK23" i="9" a="1"/>
  <c r="CK23" i="9" s="1"/>
  <c r="D172" i="2"/>
  <c r="BE38" i="9"/>
  <c r="CK37" i="9" a="1"/>
  <c r="CK37" i="9" s="1"/>
  <c r="BE34" i="9"/>
  <c r="CK33" i="9" a="1"/>
  <c r="CK33" i="9" s="1"/>
  <c r="BE28" i="9"/>
  <c r="BE27" i="9"/>
  <c r="BE25" i="9"/>
  <c r="BE19" i="9"/>
  <c r="BE17" i="9"/>
  <c r="D178" i="10" a="1"/>
  <c r="D178" i="10" s="1"/>
  <c r="D176" i="10" a="1"/>
  <c r="D176" i="10" s="1"/>
  <c r="AK38" i="9" a="1"/>
  <c r="AK38" i="9" s="1"/>
  <c r="CG29" i="9" a="1"/>
  <c r="CG29" i="9" s="1"/>
  <c r="CG26" i="9" a="1"/>
  <c r="CG26" i="9" s="1"/>
  <c r="ED23" i="9" a="1"/>
  <c r="ED23" i="9" s="1"/>
  <c r="CG20" i="9" a="1"/>
  <c r="CG20" i="9" s="1"/>
  <c r="CG15" i="9" a="1"/>
  <c r="CG15" i="9" s="1"/>
  <c r="AK35" i="9" a="1"/>
  <c r="AK35" i="9" s="1"/>
  <c r="AK26" i="9" a="1"/>
  <c r="AK26" i="9" s="1"/>
  <c r="CG24" i="9" a="1"/>
  <c r="CG24" i="9" s="1"/>
  <c r="AK22" i="9" a="1"/>
  <c r="AK22" i="9" s="1"/>
  <c r="AO108" i="9" a="1"/>
  <c r="AO108" i="9" s="1"/>
  <c r="I102" i="9"/>
  <c r="I101" i="9"/>
  <c r="I100" i="9"/>
  <c r="I105" i="9"/>
  <c r="I104" i="9"/>
  <c r="I103" i="9"/>
  <c r="AO102" i="9" a="1"/>
  <c r="AO102" i="9" s="1"/>
  <c r="AO101" i="9" a="1"/>
  <c r="AO101" i="9" s="1"/>
  <c r="AO100" i="9" a="1"/>
  <c r="AO100" i="9" s="1"/>
  <c r="I112" i="9"/>
  <c r="I110" i="9"/>
  <c r="AO109" i="9" a="1"/>
  <c r="AO109" i="9" s="1"/>
  <c r="I109" i="9"/>
  <c r="I107" i="9"/>
  <c r="I106" i="9"/>
  <c r="AO105" i="9" a="1"/>
  <c r="AO105" i="9" s="1"/>
  <c r="AO104" i="9" a="1"/>
  <c r="AO104" i="9" s="1"/>
  <c r="AO103" i="9" a="1"/>
  <c r="AO103" i="9" s="1"/>
  <c r="AO112" i="9" a="1"/>
  <c r="AO112" i="9" s="1"/>
  <c r="AO111" i="9" a="1"/>
  <c r="AO111" i="9" s="1"/>
  <c r="I111" i="9"/>
  <c r="AO110" i="9" a="1"/>
  <c r="AO110" i="9" s="1"/>
  <c r="I108" i="9"/>
  <c r="AO107" i="9" a="1"/>
  <c r="AO107" i="9" s="1"/>
  <c r="AO106" i="9" a="1"/>
  <c r="AO106" i="9" s="1"/>
  <c r="I98" i="9"/>
  <c r="I97" i="9"/>
  <c r="I96" i="9"/>
  <c r="AO95" i="9" a="1"/>
  <c r="AO95" i="9" s="1"/>
  <c r="I95" i="9"/>
  <c r="AO97" i="9" a="1"/>
  <c r="AO97" i="9" s="1"/>
  <c r="AO96" i="9" a="1"/>
  <c r="AO96" i="9" s="1"/>
  <c r="AO94" i="9" a="1"/>
  <c r="AO94" i="9" s="1"/>
  <c r="AO93" i="9" a="1"/>
  <c r="AO93" i="9" s="1"/>
  <c r="I93" i="9"/>
  <c r="AO92" i="9" a="1"/>
  <c r="AO92" i="9" s="1"/>
  <c r="I91" i="9"/>
  <c r="AO90" i="9" a="1"/>
  <c r="AO90" i="9" s="1"/>
  <c r="AO88" i="9" a="1"/>
  <c r="AO88" i="9" s="1"/>
  <c r="I86" i="9"/>
  <c r="AO85" i="9" a="1"/>
  <c r="AO85" i="9" s="1"/>
  <c r="AO84" i="9" a="1"/>
  <c r="AO84" i="9" s="1"/>
  <c r="I84" i="9"/>
  <c r="I83" i="9"/>
  <c r="I99" i="9"/>
  <c r="AO98" i="9" a="1"/>
  <c r="AO98" i="9" s="1"/>
  <c r="AO91" i="9" a="1"/>
  <c r="AO91" i="9" s="1"/>
  <c r="AO86" i="9" a="1"/>
  <c r="AO86" i="9" s="1"/>
  <c r="AO83" i="9" a="1"/>
  <c r="AO83" i="9" s="1"/>
  <c r="AO81" i="9" a="1"/>
  <c r="AO81" i="9" s="1"/>
  <c r="I78" i="9"/>
  <c r="AO99" i="9" a="1"/>
  <c r="AO99" i="9" s="1"/>
  <c r="I94" i="9"/>
  <c r="I92" i="9"/>
  <c r="I90" i="9"/>
  <c r="AO89" i="9" a="1"/>
  <c r="AO89" i="9" s="1"/>
  <c r="I89" i="9"/>
  <c r="I88" i="9"/>
  <c r="AO87" i="9" a="1"/>
  <c r="AO87" i="9" s="1"/>
  <c r="I87" i="9"/>
  <c r="I85" i="9"/>
  <c r="I79" i="9"/>
  <c r="AO78" i="9" a="1"/>
  <c r="AO78" i="9" s="1"/>
  <c r="AO82" i="9" a="1"/>
  <c r="AO82" i="9" s="1"/>
  <c r="I77" i="9"/>
  <c r="AO76" i="9" a="1"/>
  <c r="AO76" i="9" s="1"/>
  <c r="AO74" i="9" a="1"/>
  <c r="AO74" i="9" s="1"/>
  <c r="I65" i="9"/>
  <c r="AO64" i="9" a="1"/>
  <c r="AO64" i="9" s="1"/>
  <c r="I64" i="9"/>
  <c r="AO63" i="9" a="1"/>
  <c r="AO63" i="9" s="1"/>
  <c r="AO61" i="9" a="1"/>
  <c r="AO61" i="9" s="1"/>
  <c r="I61" i="9"/>
  <c r="I82" i="9"/>
  <c r="AO77" i="9" a="1"/>
  <c r="AO77" i="9" s="1"/>
  <c r="I70" i="9"/>
  <c r="I68" i="9"/>
  <c r="I67" i="9"/>
  <c r="I66" i="9"/>
  <c r="AO65" i="9" a="1"/>
  <c r="AO65" i="9" s="1"/>
  <c r="AO80" i="9" a="1"/>
  <c r="AO80" i="9" s="1"/>
  <c r="I75" i="9"/>
  <c r="I73" i="9"/>
  <c r="AO72" i="9" a="1"/>
  <c r="AO72" i="9" s="1"/>
  <c r="I72" i="9"/>
  <c r="I71" i="9"/>
  <c r="AO70" i="9" a="1"/>
  <c r="AO70" i="9" s="1"/>
  <c r="AO69" i="9" a="1"/>
  <c r="AO69" i="9" s="1"/>
  <c r="I69" i="9"/>
  <c r="AO68" i="9" a="1"/>
  <c r="AO68" i="9" s="1"/>
  <c r="AO67" i="9" a="1"/>
  <c r="AO67" i="9" s="1"/>
  <c r="AO66" i="9" a="1"/>
  <c r="AO66" i="9" s="1"/>
  <c r="I81" i="9"/>
  <c r="I80" i="9"/>
  <c r="AO79" i="9" a="1"/>
  <c r="AO79" i="9" s="1"/>
  <c r="I76" i="9"/>
  <c r="AO75" i="9" a="1"/>
  <c r="AO75" i="9" s="1"/>
  <c r="I74" i="9"/>
  <c r="AO73" i="9" a="1"/>
  <c r="AO73" i="9" s="1"/>
  <c r="AO71" i="9" a="1"/>
  <c r="AO71" i="9" s="1"/>
  <c r="I63" i="9"/>
  <c r="AO62" i="9" a="1"/>
  <c r="AO62" i="9" s="1"/>
  <c r="I62" i="9"/>
  <c r="AO60" i="9" a="1"/>
  <c r="AO60" i="9" s="1"/>
  <c r="AO59" i="9" a="1"/>
  <c r="AO59" i="9" s="1"/>
  <c r="I59" i="9"/>
  <c r="AO58" i="9" a="1"/>
  <c r="AO58" i="9" s="1"/>
  <c r="I54" i="9"/>
  <c r="AO53" i="9" a="1"/>
  <c r="AO53" i="9" s="1"/>
  <c r="I50" i="9"/>
  <c r="AO49" i="9" a="1"/>
  <c r="AO49" i="9" s="1"/>
  <c r="I44" i="9"/>
  <c r="AO43" i="9" a="1"/>
  <c r="AO43" i="9" s="1"/>
  <c r="I56" i="9"/>
  <c r="I55" i="9"/>
  <c r="AO54" i="9" a="1"/>
  <c r="AO54" i="9" s="1"/>
  <c r="I51" i="9"/>
  <c r="AO50" i="9" a="1"/>
  <c r="AO50" i="9" s="1"/>
  <c r="I45" i="9"/>
  <c r="AO44" i="9" a="1"/>
  <c r="AO44" i="9" s="1"/>
  <c r="I60" i="9"/>
  <c r="I57" i="9"/>
  <c r="AO56" i="9" a="1"/>
  <c r="AO56" i="9" s="1"/>
  <c r="AO55" i="9" a="1"/>
  <c r="AO55" i="9" s="1"/>
  <c r="I52" i="9"/>
  <c r="AO51" i="9" a="1"/>
  <c r="AO51" i="9" s="1"/>
  <c r="I48" i="9"/>
  <c r="I47" i="9"/>
  <c r="AO46" i="9" a="1"/>
  <c r="AO46" i="9" s="1"/>
  <c r="I46" i="9"/>
  <c r="AO45" i="9" a="1"/>
  <c r="AO45" i="9" s="1"/>
  <c r="I42" i="9"/>
  <c r="I58" i="9"/>
  <c r="AO57" i="9" a="1"/>
  <c r="AO57" i="9" s="1"/>
  <c r="I53" i="9"/>
  <c r="AO52" i="9" a="1"/>
  <c r="AO52" i="9" s="1"/>
  <c r="I49" i="9"/>
  <c r="AO48" i="9" a="1"/>
  <c r="AO48" i="9" s="1"/>
  <c r="AO47" i="9" a="1"/>
  <c r="AO47" i="9" s="1"/>
  <c r="I43" i="9"/>
  <c r="AO42" i="9" a="1"/>
  <c r="AO42" i="9" s="1"/>
  <c r="AO41" i="9" a="1"/>
  <c r="AO41" i="9" s="1"/>
  <c r="I38" i="9"/>
  <c r="AO37" i="9" a="1"/>
  <c r="AO37" i="9" s="1"/>
  <c r="I34" i="9"/>
  <c r="AO33" i="9" a="1"/>
  <c r="AO33" i="9" s="1"/>
  <c r="I28" i="9"/>
  <c r="E162" i="2"/>
  <c r="I39" i="9"/>
  <c r="AO38" i="9" a="1"/>
  <c r="AO38" i="9" s="1"/>
  <c r="I35" i="9"/>
  <c r="AO34" i="9" a="1"/>
  <c r="AO34" i="9" s="1"/>
  <c r="I31" i="9"/>
  <c r="I30" i="9"/>
  <c r="I29" i="9"/>
  <c r="AO28" i="9" a="1"/>
  <c r="AO28" i="9" s="1"/>
  <c r="AO27" i="9" a="1"/>
  <c r="AO27" i="9" s="1"/>
  <c r="I27" i="9"/>
  <c r="I26" i="9"/>
  <c r="AO25" i="9" a="1"/>
  <c r="AO25" i="9" s="1"/>
  <c r="I25" i="9"/>
  <c r="I22" i="9"/>
  <c r="I20" i="9"/>
  <c r="AO19" i="9" a="1"/>
  <c r="AO19" i="9" s="1"/>
  <c r="I19" i="9"/>
  <c r="I18" i="9"/>
  <c r="AO17" i="9" a="1"/>
  <c r="AO17" i="9" s="1"/>
  <c r="I17" i="9"/>
  <c r="I15" i="9"/>
  <c r="I13" i="9"/>
  <c r="I12" i="9"/>
  <c r="I11" i="9"/>
  <c r="I9" i="9"/>
  <c r="C178" i="10" a="1"/>
  <c r="C178" i="10" s="1"/>
  <c r="C176" i="10" a="1"/>
  <c r="C176" i="10" s="1"/>
  <c r="I41" i="9"/>
  <c r="I40" i="9"/>
  <c r="AO39" i="9" a="1"/>
  <c r="AO39" i="9" s="1"/>
  <c r="I36" i="9"/>
  <c r="AO35" i="9" a="1"/>
  <c r="AO35" i="9" s="1"/>
  <c r="I32" i="9"/>
  <c r="AO31" i="9" a="1"/>
  <c r="AO31" i="9" s="1"/>
  <c r="AO30" i="9" a="1"/>
  <c r="AO30" i="9" s="1"/>
  <c r="AO29" i="9" a="1"/>
  <c r="AO29" i="9" s="1"/>
  <c r="AO26" i="9" a="1"/>
  <c r="AO26" i="9" s="1"/>
  <c r="I23" i="9"/>
  <c r="AO22" i="9" a="1"/>
  <c r="AO22" i="9" s="1"/>
  <c r="I21" i="9"/>
  <c r="AO20" i="9" a="1"/>
  <c r="AO20" i="9" s="1"/>
  <c r="AO18" i="9" a="1"/>
  <c r="AO18" i="9" s="1"/>
  <c r="AO16" i="9" a="1"/>
  <c r="AO16" i="9" s="1"/>
  <c r="I16" i="9"/>
  <c r="AO15" i="9" a="1"/>
  <c r="AO15" i="9" s="1"/>
  <c r="AO14" i="9" a="1"/>
  <c r="AO14" i="9" s="1"/>
  <c r="I14" i="9"/>
  <c r="AO13" i="9" a="1"/>
  <c r="AO13" i="9" s="1"/>
  <c r="AO12" i="9" a="1"/>
  <c r="AO12" i="9" s="1"/>
  <c r="AO11" i="9" a="1"/>
  <c r="AO11" i="9" s="1"/>
  <c r="AO10" i="9" a="1"/>
  <c r="AO10" i="9" s="1"/>
  <c r="I10" i="9"/>
  <c r="AO9" i="9" a="1"/>
  <c r="AO9" i="9" s="1"/>
  <c r="AO40" i="9" a="1"/>
  <c r="AO40" i="9" s="1"/>
  <c r="I37" i="9"/>
  <c r="AO36" i="9" a="1"/>
  <c r="AO36" i="9" s="1"/>
  <c r="I33" i="9"/>
  <c r="AO32" i="9" a="1"/>
  <c r="AO32" i="9" s="1"/>
  <c r="AO24" i="9" a="1"/>
  <c r="AO24" i="9" s="1"/>
  <c r="I24" i="9"/>
  <c r="AO23" i="9" a="1"/>
  <c r="AO23" i="9" s="1"/>
  <c r="AO21" i="9" a="1"/>
  <c r="AO21" i="9" s="1"/>
  <c r="C179" i="10" a="1"/>
  <c r="C179" i="10" s="1"/>
  <c r="C177" i="10" a="1"/>
  <c r="C177" i="10" s="1"/>
  <c r="C175" i="10" a="1"/>
  <c r="C175" i="10" s="1"/>
  <c r="F162" i="2"/>
  <c r="ED41" i="9" a="1"/>
  <c r="ED41" i="9" s="1"/>
  <c r="AK58" i="9" a="1"/>
  <c r="AK58" i="9" s="1"/>
  <c r="CG40" i="9" a="1"/>
  <c r="CG40" i="9" s="1"/>
  <c r="ED58" i="9" a="1"/>
  <c r="ED58" i="9" s="1"/>
  <c r="ED28" i="9" a="1"/>
  <c r="ED28" i="9" s="1"/>
  <c r="ED25" i="9" a="1"/>
  <c r="ED25" i="9" s="1"/>
  <c r="AK16" i="9" a="1"/>
  <c r="AK16" i="9" s="1"/>
  <c r="AK10" i="9" a="1"/>
  <c r="AK10" i="9" s="1"/>
  <c r="ED29" i="9" a="1"/>
  <c r="ED29" i="9" s="1"/>
  <c r="CG27" i="9" a="1"/>
  <c r="CG27" i="9" s="1"/>
  <c r="ED24" i="9" a="1"/>
  <c r="ED24" i="9" s="1"/>
  <c r="CG17" i="9" a="1"/>
  <c r="CG17" i="9" s="1"/>
  <c r="CG12" i="9" a="1"/>
  <c r="CG12" i="9" s="1"/>
  <c r="CG10" i="9" a="1"/>
  <c r="CG10" i="9" s="1"/>
  <c r="BA34" i="15"/>
  <c r="ED40" i="9" a="1"/>
  <c r="ED40" i="9" s="1"/>
  <c r="ED37" i="9" a="1"/>
  <c r="ED37" i="9" s="1"/>
  <c r="CG21" i="9" a="1"/>
  <c r="CG21" i="9" s="1"/>
  <c r="AK19" i="9" a="1"/>
  <c r="AK19" i="9" s="1"/>
  <c r="AK17" i="9" a="1"/>
  <c r="AK17" i="9" s="1"/>
  <c r="AK11" i="9" a="1"/>
  <c r="AK11" i="9" s="1"/>
  <c r="CG46" i="9" a="1"/>
  <c r="CG46" i="9" s="1"/>
  <c r="ED46" i="9" a="1"/>
  <c r="ED46" i="9" s="1"/>
  <c r="AK46" i="9" a="1"/>
  <c r="AK46" i="9" s="1"/>
  <c r="CG41" i="9" a="1"/>
  <c r="CG41" i="9" s="1"/>
  <c r="ED59" i="9" a="1"/>
  <c r="ED59" i="9" s="1"/>
  <c r="CG59" i="9" a="1"/>
  <c r="CG59" i="9" s="1"/>
  <c r="CG37" i="9" a="1"/>
  <c r="CG37" i="9" s="1"/>
  <c r="AK21" i="9" a="1"/>
  <c r="AK21" i="9" s="1"/>
  <c r="ED17" i="9" a="1"/>
  <c r="ED17" i="9" s="1"/>
  <c r="AK37" i="9" a="1"/>
  <c r="AK37" i="9" s="1"/>
  <c r="ED26" i="9" a="1"/>
  <c r="ED26" i="9" s="1"/>
  <c r="AK24" i="9" a="1"/>
  <c r="AK24" i="9" s="1"/>
  <c r="ED21" i="9" a="1"/>
  <c r="ED21" i="9" s="1"/>
  <c r="CG19" i="9" a="1"/>
  <c r="CG19" i="9" s="1"/>
  <c r="ED13" i="9" a="1"/>
  <c r="ED13" i="9" s="1"/>
  <c r="AK28" i="9" a="1"/>
  <c r="AK28" i="9" s="1"/>
  <c r="CG22" i="9" a="1"/>
  <c r="CG22" i="9" s="1"/>
  <c r="CG16" i="9" a="1"/>
  <c r="CG16" i="9" s="1"/>
  <c r="CG14" i="9" a="1"/>
  <c r="CG14" i="9" s="1"/>
  <c r="AK41" i="9" a="1"/>
  <c r="AK41" i="9" s="1"/>
  <c r="AK27" i="9" a="1"/>
  <c r="AK27" i="9" s="1"/>
  <c r="AK25" i="9" a="1"/>
  <c r="AK25" i="9" s="1"/>
  <c r="CG23" i="9" a="1"/>
  <c r="CG23" i="9" s="1"/>
  <c r="AK13" i="9" a="1"/>
  <c r="AK13" i="9" s="1"/>
  <c r="ED47" i="9" a="1"/>
  <c r="ED47" i="9" s="1"/>
  <c r="AK47" i="9" a="1"/>
  <c r="AK47" i="9" s="1"/>
  <c r="CG47" i="9" a="1"/>
  <c r="CG47" i="9" s="1"/>
  <c r="AK40" i="9" a="1"/>
  <c r="AK40" i="9" s="1"/>
  <c r="ED27" i="9" a="1"/>
  <c r="ED27" i="9" s="1"/>
  <c r="AK23" i="9" a="1"/>
  <c r="AK23" i="9" s="1"/>
  <c r="ED14" i="9" a="1"/>
  <c r="ED14" i="9" s="1"/>
  <c r="ED11" i="9" a="1"/>
  <c r="ED11" i="9" s="1"/>
  <c r="ED35" i="9" a="1"/>
  <c r="ED35" i="9" s="1"/>
  <c r="CG28" i="9" a="1"/>
  <c r="CG28" i="9" s="1"/>
  <c r="ED18" i="9" a="1"/>
  <c r="ED18" i="9" s="1"/>
  <c r="ED15" i="9" a="1"/>
  <c r="ED15" i="9" s="1"/>
  <c r="ED10" i="9" a="1"/>
  <c r="ED10" i="9" s="1"/>
  <c r="CG35" i="9" a="1"/>
  <c r="CG35" i="9" s="1"/>
  <c r="CG18" i="9" a="1"/>
  <c r="CG18" i="9" s="1"/>
  <c r="CG13" i="9" a="1"/>
  <c r="CG13" i="9" s="1"/>
  <c r="CG11" i="9" a="1"/>
  <c r="CG11" i="9" s="1"/>
  <c r="R20" i="14" l="1"/>
  <c r="AQ16" i="14"/>
  <c r="V81" i="14"/>
  <c r="BG72" i="1" s="1"/>
  <c r="W81" i="14"/>
  <c r="AA72" i="1" s="1"/>
  <c r="V41" i="14"/>
  <c r="BG32" i="1" s="1"/>
  <c r="W41" i="14"/>
  <c r="V17" i="14"/>
  <c r="BG8" i="1" s="1"/>
  <c r="W17" i="14"/>
  <c r="AA8" i="1" s="1"/>
  <c r="V118" i="14"/>
  <c r="BG109" i="1" s="1"/>
  <c r="W118" i="14"/>
  <c r="AA109" i="1" s="1"/>
  <c r="V56" i="14"/>
  <c r="BG47" i="1" s="1"/>
  <c r="V58" i="14"/>
  <c r="BG49" i="1" s="1"/>
  <c r="V25" i="14"/>
  <c r="BG16" i="1" s="1"/>
  <c r="V94" i="14"/>
  <c r="BG85" i="1" s="1"/>
  <c r="V93" i="14"/>
  <c r="BG84" i="1" s="1"/>
  <c r="V76" i="14"/>
  <c r="BG67" i="1" s="1"/>
  <c r="V78" i="14"/>
  <c r="BG69" i="1" s="1"/>
  <c r="V38" i="14"/>
  <c r="BG29" i="1" s="1"/>
  <c r="V37" i="14"/>
  <c r="BG28" i="1" s="1"/>
  <c r="V86" i="14"/>
  <c r="BG77" i="1" s="1"/>
  <c r="V73" i="14"/>
  <c r="BG64" i="1" s="1"/>
  <c r="V85" i="14"/>
  <c r="BG76" i="1" s="1"/>
  <c r="V23" i="14"/>
  <c r="BG14" i="1" s="1"/>
  <c r="V116" i="14"/>
  <c r="BG107" i="1" s="1"/>
  <c r="V18" i="14"/>
  <c r="BG9" i="1" s="1"/>
  <c r="V49" i="14"/>
  <c r="BG40" i="1" s="1"/>
  <c r="V59" i="14"/>
  <c r="BG50" i="1" s="1"/>
  <c r="V66" i="14"/>
  <c r="BG57" i="1" s="1"/>
  <c r="V103" i="14"/>
  <c r="BG94" i="1" s="1"/>
  <c r="V102" i="14"/>
  <c r="BG93" i="1" s="1"/>
  <c r="V101" i="14"/>
  <c r="BG92" i="1" s="1"/>
  <c r="V114" i="14"/>
  <c r="BG105" i="1" s="1"/>
  <c r="V92" i="14"/>
  <c r="BG83" i="1" s="1"/>
  <c r="V109" i="14"/>
  <c r="BG100" i="1" s="1"/>
  <c r="V43" i="14"/>
  <c r="BG34" i="1" s="1"/>
  <c r="V80" i="14"/>
  <c r="BG71" i="1" s="1"/>
  <c r="V82" i="14"/>
  <c r="BG73" i="1" s="1"/>
  <c r="V113" i="14"/>
  <c r="BG104" i="1" s="1"/>
  <c r="V64" i="14"/>
  <c r="BG55" i="1" s="1"/>
  <c r="V117" i="14"/>
  <c r="BG108" i="1" s="1"/>
  <c r="V33" i="14"/>
  <c r="BG24" i="1" s="1"/>
  <c r="V60" i="14"/>
  <c r="BG51" i="1" s="1"/>
  <c r="V105" i="14"/>
  <c r="BG96" i="1" s="1"/>
  <c r="V53" i="14"/>
  <c r="BG44" i="1" s="1"/>
  <c r="V55" i="14"/>
  <c r="BG46" i="1" s="1"/>
  <c r="V69" i="14"/>
  <c r="BG60" i="1" s="1"/>
  <c r="V46" i="14"/>
  <c r="BG37" i="1" s="1"/>
  <c r="V104" i="14"/>
  <c r="BG95" i="1" s="1"/>
  <c r="V40" i="14"/>
  <c r="BG31" i="1" s="1"/>
  <c r="V36" i="14"/>
  <c r="BG27" i="1" s="1"/>
  <c r="V79" i="14"/>
  <c r="BG70" i="1" s="1"/>
  <c r="V95" i="14"/>
  <c r="BG86" i="1" s="1"/>
  <c r="V31" i="14"/>
  <c r="BG22" i="1" s="1"/>
  <c r="V108" i="14"/>
  <c r="BG99" i="1" s="1"/>
  <c r="V32" i="14"/>
  <c r="BG23" i="1" s="1"/>
  <c r="V28" i="14"/>
  <c r="BG19" i="1" s="1"/>
  <c r="V107" i="14"/>
  <c r="BG98" i="1" s="1"/>
  <c r="V74" i="14"/>
  <c r="BG65" i="1" s="1"/>
  <c r="V77" i="14"/>
  <c r="BG68" i="1" s="1"/>
  <c r="V110" i="14"/>
  <c r="BG101" i="1" s="1"/>
  <c r="V39" i="14"/>
  <c r="BG30" i="1" s="1"/>
  <c r="V27" i="14"/>
  <c r="BG18" i="1" s="1"/>
  <c r="V42" i="14"/>
  <c r="BG33" i="1" s="1"/>
  <c r="V51" i="14"/>
  <c r="BG42" i="1" s="1"/>
  <c r="V24" i="14"/>
  <c r="BG15" i="1" s="1"/>
  <c r="V26" i="14"/>
  <c r="BG17" i="1" s="1"/>
  <c r="V119" i="14"/>
  <c r="BG110" i="1" s="1"/>
  <c r="V96" i="14"/>
  <c r="BG87" i="1" s="1"/>
  <c r="V34" i="14"/>
  <c r="BG25" i="1" s="1"/>
  <c r="V111" i="14"/>
  <c r="BG102" i="1" s="1"/>
  <c r="V61" i="14"/>
  <c r="BG52" i="1" s="1"/>
  <c r="V115" i="14"/>
  <c r="BG106" i="1" s="1"/>
  <c r="V65" i="14"/>
  <c r="BG56" i="1" s="1"/>
  <c r="V67" i="14"/>
  <c r="BG58" i="1" s="1"/>
  <c r="V91" i="14"/>
  <c r="BG82" i="1" s="1"/>
  <c r="V106" i="14"/>
  <c r="BG97" i="1" s="1"/>
  <c r="V87" i="14"/>
  <c r="BG78" i="1" s="1"/>
  <c r="V88" i="14"/>
  <c r="BG79" i="1" s="1"/>
  <c r="V90" i="14"/>
  <c r="BG81" i="1" s="1"/>
  <c r="V57" i="14"/>
  <c r="BG48" i="1" s="1"/>
  <c r="V19" i="14"/>
  <c r="BG10" i="1" s="1"/>
  <c r="V98" i="14"/>
  <c r="BG89" i="1" s="1"/>
  <c r="V72" i="14"/>
  <c r="BG63" i="1" s="1"/>
  <c r="V45" i="14"/>
  <c r="BG36" i="1" s="1"/>
  <c r="V21" i="14"/>
  <c r="BG12" i="1" s="1"/>
  <c r="V100" i="14"/>
  <c r="BG91" i="1" s="1"/>
  <c r="V70" i="14"/>
  <c r="BG61" i="1" s="1"/>
  <c r="V71" i="14"/>
  <c r="BG62" i="1" s="1"/>
  <c r="V47" i="14"/>
  <c r="BG38" i="1" s="1"/>
  <c r="V54" i="14"/>
  <c r="BG45" i="1" s="1"/>
  <c r="V75" i="14"/>
  <c r="BG66" i="1" s="1"/>
  <c r="V48" i="14"/>
  <c r="BG39" i="1" s="1"/>
  <c r="V44" i="14"/>
  <c r="BG35" i="1" s="1"/>
  <c r="V83" i="14"/>
  <c r="BG74" i="1" s="1"/>
  <c r="V112" i="14"/>
  <c r="BG103" i="1" s="1"/>
  <c r="V62" i="14"/>
  <c r="BG53" i="1" s="1"/>
  <c r="V97" i="14"/>
  <c r="BG88" i="1" s="1"/>
  <c r="V52" i="14"/>
  <c r="BG43" i="1" s="1"/>
  <c r="V84" i="14"/>
  <c r="BG75" i="1" s="1"/>
  <c r="V30" i="14"/>
  <c r="BG21" i="1" s="1"/>
  <c r="V29" i="14"/>
  <c r="BG20" i="1" s="1"/>
  <c r="V99" i="14"/>
  <c r="BG90" i="1" s="1"/>
  <c r="V35" i="14"/>
  <c r="BG26" i="1" s="1"/>
  <c r="V50" i="14"/>
  <c r="BG41" i="1" s="1"/>
  <c r="V22" i="14"/>
  <c r="BG13" i="1" s="1"/>
  <c r="V63" i="14"/>
  <c r="BG54" i="1" s="1"/>
  <c r="V68" i="14"/>
  <c r="BG59" i="1" s="1"/>
  <c r="V89" i="14"/>
  <c r="BG80" i="1" s="1"/>
  <c r="P20" i="14"/>
  <c r="AR11" i="1" s="1"/>
  <c r="V20" i="14"/>
  <c r="BG11" i="1" s="1"/>
  <c r="P81" i="14"/>
  <c r="AR72" i="1" s="1"/>
  <c r="P41" i="14"/>
  <c r="AR32" i="1" s="1"/>
  <c r="P17" i="14"/>
  <c r="AR8" i="1" s="1"/>
  <c r="P118" i="14"/>
  <c r="AR109" i="1" s="1"/>
  <c r="O56" i="14"/>
  <c r="AQ47" i="1" s="1"/>
  <c r="P56" i="14"/>
  <c r="AR47" i="1" s="1"/>
  <c r="O58" i="14"/>
  <c r="AQ49" i="1" s="1"/>
  <c r="P58" i="14"/>
  <c r="AR49" i="1" s="1"/>
  <c r="O25" i="14"/>
  <c r="AQ16" i="1" s="1"/>
  <c r="P25" i="14"/>
  <c r="AR16" i="1" s="1"/>
  <c r="O94" i="14"/>
  <c r="AQ85" i="1" s="1"/>
  <c r="P94" i="14"/>
  <c r="AR85" i="1" s="1"/>
  <c r="O93" i="14"/>
  <c r="AQ84" i="1" s="1"/>
  <c r="P93" i="14"/>
  <c r="AR84" i="1" s="1"/>
  <c r="O76" i="14"/>
  <c r="AQ67" i="1" s="1"/>
  <c r="P76" i="14"/>
  <c r="AR67" i="1" s="1"/>
  <c r="O78" i="14"/>
  <c r="AQ69" i="1" s="1"/>
  <c r="P78" i="14"/>
  <c r="AR69" i="1" s="1"/>
  <c r="O38" i="14"/>
  <c r="AQ29" i="1" s="1"/>
  <c r="P38" i="14"/>
  <c r="AR29" i="1" s="1"/>
  <c r="O37" i="14"/>
  <c r="AQ28" i="1" s="1"/>
  <c r="P37" i="14"/>
  <c r="AR28" i="1" s="1"/>
  <c r="O86" i="14"/>
  <c r="AQ77" i="1" s="1"/>
  <c r="P86" i="14"/>
  <c r="AR77" i="1" s="1"/>
  <c r="O73" i="14"/>
  <c r="AQ64" i="1" s="1"/>
  <c r="P73" i="14"/>
  <c r="AR64" i="1" s="1"/>
  <c r="O85" i="14"/>
  <c r="AQ76" i="1" s="1"/>
  <c r="P85" i="14"/>
  <c r="AR76" i="1" s="1"/>
  <c r="O23" i="14"/>
  <c r="AQ14" i="1" s="1"/>
  <c r="P23" i="14"/>
  <c r="AR14" i="1" s="1"/>
  <c r="O116" i="14"/>
  <c r="AQ107" i="1" s="1"/>
  <c r="P116" i="14"/>
  <c r="AR107" i="1" s="1"/>
  <c r="O18" i="14"/>
  <c r="AQ9" i="1" s="1"/>
  <c r="P18" i="14"/>
  <c r="AR9" i="1" s="1"/>
  <c r="O49" i="14"/>
  <c r="AQ40" i="1" s="1"/>
  <c r="P49" i="14"/>
  <c r="AR40" i="1" s="1"/>
  <c r="O59" i="14"/>
  <c r="AQ50" i="1" s="1"/>
  <c r="P59" i="14"/>
  <c r="AR50" i="1" s="1"/>
  <c r="O66" i="14"/>
  <c r="AQ57" i="1" s="1"/>
  <c r="P66" i="14"/>
  <c r="AR57" i="1" s="1"/>
  <c r="O103" i="14"/>
  <c r="AQ94" i="1" s="1"/>
  <c r="P103" i="14"/>
  <c r="AR94" i="1" s="1"/>
  <c r="O102" i="14"/>
  <c r="AQ93" i="1" s="1"/>
  <c r="P102" i="14"/>
  <c r="AR93" i="1" s="1"/>
  <c r="O101" i="14"/>
  <c r="AQ92" i="1" s="1"/>
  <c r="P101" i="14"/>
  <c r="AR92" i="1" s="1"/>
  <c r="O114" i="14"/>
  <c r="AQ105" i="1" s="1"/>
  <c r="P114" i="14"/>
  <c r="AR105" i="1" s="1"/>
  <c r="O92" i="14"/>
  <c r="AQ83" i="1" s="1"/>
  <c r="P92" i="14"/>
  <c r="AR83" i="1" s="1"/>
  <c r="O109" i="14"/>
  <c r="AQ100" i="1" s="1"/>
  <c r="P109" i="14"/>
  <c r="AR100" i="1" s="1"/>
  <c r="O82" i="14"/>
  <c r="AQ73" i="1" s="1"/>
  <c r="P82" i="14"/>
  <c r="AR73" i="1" s="1"/>
  <c r="O60" i="14"/>
  <c r="AQ51" i="1" s="1"/>
  <c r="P60" i="14"/>
  <c r="AR51" i="1" s="1"/>
  <c r="O46" i="14"/>
  <c r="AQ37" i="1" s="1"/>
  <c r="P46" i="14"/>
  <c r="AR37" i="1" s="1"/>
  <c r="O104" i="14"/>
  <c r="AQ95" i="1" s="1"/>
  <c r="P104" i="14"/>
  <c r="AR95" i="1" s="1"/>
  <c r="O40" i="14"/>
  <c r="AQ31" i="1" s="1"/>
  <c r="P40" i="14"/>
  <c r="AR31" i="1" s="1"/>
  <c r="O36" i="14"/>
  <c r="AQ27" i="1" s="1"/>
  <c r="P36" i="14"/>
  <c r="AR27" i="1" s="1"/>
  <c r="O79" i="14"/>
  <c r="AQ70" i="1" s="1"/>
  <c r="P79" i="14"/>
  <c r="AR70" i="1" s="1"/>
  <c r="O95" i="14"/>
  <c r="AQ86" i="1" s="1"/>
  <c r="P95" i="14"/>
  <c r="AR86" i="1" s="1"/>
  <c r="O31" i="14"/>
  <c r="AQ22" i="1" s="1"/>
  <c r="P31" i="14"/>
  <c r="AR22" i="1" s="1"/>
  <c r="O108" i="14"/>
  <c r="AQ99" i="1" s="1"/>
  <c r="P108" i="14"/>
  <c r="AR99" i="1" s="1"/>
  <c r="O32" i="14"/>
  <c r="AQ23" i="1" s="1"/>
  <c r="P32" i="14"/>
  <c r="AR23" i="1" s="1"/>
  <c r="O28" i="14"/>
  <c r="AQ19" i="1" s="1"/>
  <c r="P28" i="14"/>
  <c r="AR19" i="1" s="1"/>
  <c r="O107" i="14"/>
  <c r="AQ98" i="1" s="1"/>
  <c r="P107" i="14"/>
  <c r="AR98" i="1" s="1"/>
  <c r="O74" i="14"/>
  <c r="AQ65" i="1" s="1"/>
  <c r="P74" i="14"/>
  <c r="AR65" i="1" s="1"/>
  <c r="O77" i="14"/>
  <c r="AQ68" i="1" s="1"/>
  <c r="P77" i="14"/>
  <c r="AR68" i="1" s="1"/>
  <c r="O80" i="14"/>
  <c r="AQ71" i="1" s="1"/>
  <c r="P80" i="14"/>
  <c r="AR71" i="1" s="1"/>
  <c r="O64" i="14"/>
  <c r="AQ55" i="1" s="1"/>
  <c r="P64" i="14"/>
  <c r="AR55" i="1" s="1"/>
  <c r="O53" i="14"/>
  <c r="AQ44" i="1" s="1"/>
  <c r="P53" i="14"/>
  <c r="AR44" i="1" s="1"/>
  <c r="O69" i="14"/>
  <c r="AQ60" i="1" s="1"/>
  <c r="P69" i="14"/>
  <c r="AR60" i="1" s="1"/>
  <c r="O110" i="14"/>
  <c r="AQ101" i="1" s="1"/>
  <c r="P110" i="14"/>
  <c r="AR101" i="1" s="1"/>
  <c r="O39" i="14"/>
  <c r="AQ30" i="1" s="1"/>
  <c r="P39" i="14"/>
  <c r="AR30" i="1" s="1"/>
  <c r="O27" i="14"/>
  <c r="AQ18" i="1" s="1"/>
  <c r="P27" i="14"/>
  <c r="AR18" i="1" s="1"/>
  <c r="O42" i="14"/>
  <c r="AQ33" i="1" s="1"/>
  <c r="P42" i="14"/>
  <c r="AR33" i="1" s="1"/>
  <c r="O51" i="14"/>
  <c r="AQ42" i="1" s="1"/>
  <c r="P51" i="14"/>
  <c r="AR42" i="1" s="1"/>
  <c r="O24" i="14"/>
  <c r="AQ15" i="1" s="1"/>
  <c r="P24" i="14"/>
  <c r="AR15" i="1" s="1"/>
  <c r="O26" i="14"/>
  <c r="AQ17" i="1" s="1"/>
  <c r="P26" i="14"/>
  <c r="AR17" i="1" s="1"/>
  <c r="O119" i="14"/>
  <c r="AQ110" i="1" s="1"/>
  <c r="P119" i="14"/>
  <c r="AR110" i="1" s="1"/>
  <c r="O96" i="14"/>
  <c r="AQ87" i="1" s="1"/>
  <c r="P96" i="14"/>
  <c r="AR87" i="1" s="1"/>
  <c r="O34" i="14"/>
  <c r="AQ25" i="1" s="1"/>
  <c r="P34" i="14"/>
  <c r="AR25" i="1" s="1"/>
  <c r="O111" i="14"/>
  <c r="AQ102" i="1" s="1"/>
  <c r="P111" i="14"/>
  <c r="AR102" i="1" s="1"/>
  <c r="O61" i="14"/>
  <c r="AQ52" i="1" s="1"/>
  <c r="P61" i="14"/>
  <c r="AR52" i="1" s="1"/>
  <c r="O115" i="14"/>
  <c r="AQ106" i="1" s="1"/>
  <c r="P115" i="14"/>
  <c r="AR106" i="1" s="1"/>
  <c r="O33" i="14"/>
  <c r="AQ24" i="1" s="1"/>
  <c r="P33" i="14"/>
  <c r="AR24" i="1" s="1"/>
  <c r="O65" i="14"/>
  <c r="AQ56" i="1" s="1"/>
  <c r="P65" i="14"/>
  <c r="AR56" i="1" s="1"/>
  <c r="O67" i="14"/>
  <c r="AQ58" i="1" s="1"/>
  <c r="P67" i="14"/>
  <c r="AR58" i="1" s="1"/>
  <c r="O91" i="14"/>
  <c r="AQ82" i="1" s="1"/>
  <c r="P91" i="14"/>
  <c r="AR82" i="1" s="1"/>
  <c r="O106" i="14"/>
  <c r="AQ97" i="1" s="1"/>
  <c r="P106" i="14"/>
  <c r="AR97" i="1" s="1"/>
  <c r="O87" i="14"/>
  <c r="AQ78" i="1" s="1"/>
  <c r="P87" i="14"/>
  <c r="AR78" i="1" s="1"/>
  <c r="O88" i="14"/>
  <c r="AQ79" i="1" s="1"/>
  <c r="P88" i="14"/>
  <c r="AR79" i="1" s="1"/>
  <c r="O90" i="14"/>
  <c r="AQ81" i="1" s="1"/>
  <c r="P90" i="14"/>
  <c r="AR81" i="1" s="1"/>
  <c r="O57" i="14"/>
  <c r="AQ48" i="1" s="1"/>
  <c r="P57" i="14"/>
  <c r="AR48" i="1" s="1"/>
  <c r="O19" i="14"/>
  <c r="AQ10" i="1" s="1"/>
  <c r="P19" i="14"/>
  <c r="AR10" i="1" s="1"/>
  <c r="O98" i="14"/>
  <c r="AQ89" i="1" s="1"/>
  <c r="P98" i="14"/>
  <c r="AR89" i="1" s="1"/>
  <c r="O72" i="14"/>
  <c r="AQ63" i="1" s="1"/>
  <c r="P72" i="14"/>
  <c r="AR63" i="1" s="1"/>
  <c r="O45" i="14"/>
  <c r="AQ36" i="1" s="1"/>
  <c r="P45" i="14"/>
  <c r="AR36" i="1" s="1"/>
  <c r="O21" i="14"/>
  <c r="AQ12" i="1" s="1"/>
  <c r="P21" i="14"/>
  <c r="AR12" i="1" s="1"/>
  <c r="O113" i="14"/>
  <c r="AQ104" i="1" s="1"/>
  <c r="P113" i="14"/>
  <c r="AR104" i="1" s="1"/>
  <c r="O117" i="14"/>
  <c r="AQ108" i="1" s="1"/>
  <c r="P117" i="14"/>
  <c r="AR108" i="1" s="1"/>
  <c r="O105" i="14"/>
  <c r="AQ96" i="1" s="1"/>
  <c r="P105" i="14"/>
  <c r="AR96" i="1" s="1"/>
  <c r="O55" i="14"/>
  <c r="AQ46" i="1" s="1"/>
  <c r="P55" i="14"/>
  <c r="AR46" i="1" s="1"/>
  <c r="O100" i="14"/>
  <c r="AQ91" i="1" s="1"/>
  <c r="P100" i="14"/>
  <c r="AR91" i="1" s="1"/>
  <c r="O70" i="14"/>
  <c r="AQ61" i="1" s="1"/>
  <c r="P70" i="14"/>
  <c r="AR61" i="1" s="1"/>
  <c r="O71" i="14"/>
  <c r="AQ62" i="1" s="1"/>
  <c r="P71" i="14"/>
  <c r="AR62" i="1" s="1"/>
  <c r="O47" i="14"/>
  <c r="AQ38" i="1" s="1"/>
  <c r="P47" i="14"/>
  <c r="AR38" i="1" s="1"/>
  <c r="O54" i="14"/>
  <c r="AQ45" i="1" s="1"/>
  <c r="P54" i="14"/>
  <c r="AR45" i="1" s="1"/>
  <c r="O75" i="14"/>
  <c r="AQ66" i="1" s="1"/>
  <c r="P75" i="14"/>
  <c r="AR66" i="1" s="1"/>
  <c r="O48" i="14"/>
  <c r="AQ39" i="1" s="1"/>
  <c r="P48" i="14"/>
  <c r="AR39" i="1" s="1"/>
  <c r="O44" i="14"/>
  <c r="AQ35" i="1" s="1"/>
  <c r="P44" i="14"/>
  <c r="AR35" i="1" s="1"/>
  <c r="O83" i="14"/>
  <c r="AQ74" i="1" s="1"/>
  <c r="P83" i="14"/>
  <c r="AR74" i="1" s="1"/>
  <c r="O112" i="14"/>
  <c r="AQ103" i="1" s="1"/>
  <c r="P112" i="14"/>
  <c r="AR103" i="1" s="1"/>
  <c r="O62" i="14"/>
  <c r="AQ53" i="1" s="1"/>
  <c r="P62" i="14"/>
  <c r="AR53" i="1" s="1"/>
  <c r="O97" i="14"/>
  <c r="AQ88" i="1" s="1"/>
  <c r="P97" i="14"/>
  <c r="AR88" i="1" s="1"/>
  <c r="O43" i="14"/>
  <c r="AQ34" i="1" s="1"/>
  <c r="P43" i="14"/>
  <c r="AR34" i="1" s="1"/>
  <c r="O52" i="14"/>
  <c r="AQ43" i="1" s="1"/>
  <c r="P52" i="14"/>
  <c r="AR43" i="1" s="1"/>
  <c r="O84" i="14"/>
  <c r="AQ75" i="1" s="1"/>
  <c r="P84" i="14"/>
  <c r="AR75" i="1" s="1"/>
  <c r="O30" i="14"/>
  <c r="AQ21" i="1" s="1"/>
  <c r="P30" i="14"/>
  <c r="AR21" i="1" s="1"/>
  <c r="O29" i="14"/>
  <c r="AQ20" i="1" s="1"/>
  <c r="P29" i="14"/>
  <c r="AR20" i="1" s="1"/>
  <c r="O99" i="14"/>
  <c r="AQ90" i="1" s="1"/>
  <c r="P99" i="14"/>
  <c r="AR90" i="1" s="1"/>
  <c r="O35" i="14"/>
  <c r="AQ26" i="1" s="1"/>
  <c r="P35" i="14"/>
  <c r="AR26" i="1" s="1"/>
  <c r="O50" i="14"/>
  <c r="AQ41" i="1" s="1"/>
  <c r="P50" i="14"/>
  <c r="AR41" i="1" s="1"/>
  <c r="O22" i="14"/>
  <c r="AQ13" i="1" s="1"/>
  <c r="P22" i="14"/>
  <c r="AR13" i="1" s="1"/>
  <c r="O63" i="14"/>
  <c r="AQ54" i="1" s="1"/>
  <c r="P63" i="14"/>
  <c r="AR54" i="1" s="1"/>
  <c r="O68" i="14"/>
  <c r="AQ59" i="1" s="1"/>
  <c r="P68" i="14"/>
  <c r="AR59" i="1" s="1"/>
  <c r="O89" i="14"/>
  <c r="AQ80" i="1" s="1"/>
  <c r="P89" i="14"/>
  <c r="AR80" i="1" s="1"/>
  <c r="O81" i="14"/>
  <c r="AQ72" i="1" s="1"/>
  <c r="O41" i="14"/>
  <c r="AQ32" i="1" s="1"/>
  <c r="O17" i="14"/>
  <c r="AQ8" i="1" s="1"/>
  <c r="O118" i="14"/>
  <c r="AQ109" i="1" s="1"/>
  <c r="O20" i="14"/>
  <c r="AQ11" i="1" s="1"/>
  <c r="AA84" i="1"/>
  <c r="AA107" i="1"/>
  <c r="AA9" i="1"/>
  <c r="AA40" i="1"/>
  <c r="AA57" i="1"/>
  <c r="AA94" i="1"/>
  <c r="AA105" i="1"/>
  <c r="AA83" i="1"/>
  <c r="AA100" i="1"/>
  <c r="AA85" i="1"/>
  <c r="AA71" i="1"/>
  <c r="AA73" i="1"/>
  <c r="AA104" i="1"/>
  <c r="AA55" i="1"/>
  <c r="AA108" i="1"/>
  <c r="AA24" i="1"/>
  <c r="AA96" i="1"/>
  <c r="AA44" i="1"/>
  <c r="AA16" i="1"/>
  <c r="AA69" i="1"/>
  <c r="AA28" i="1"/>
  <c r="AA64" i="1"/>
  <c r="AA76" i="1"/>
  <c r="AA37" i="1"/>
  <c r="AA95" i="1"/>
  <c r="AA27" i="1"/>
  <c r="AA70" i="1"/>
  <c r="AA86" i="1"/>
  <c r="AA99" i="1"/>
  <c r="AA23" i="1"/>
  <c r="AA19" i="1"/>
  <c r="AA98" i="1"/>
  <c r="AA65" i="1"/>
  <c r="AA68" i="1"/>
  <c r="AA47" i="1"/>
  <c r="AA67" i="1"/>
  <c r="AA29" i="1"/>
  <c r="AA77" i="1"/>
  <c r="AA30" i="1"/>
  <c r="AA18" i="1"/>
  <c r="AA15" i="1"/>
  <c r="AA17" i="1"/>
  <c r="AA87" i="1"/>
  <c r="AA25" i="1"/>
  <c r="AA102" i="1"/>
  <c r="AA52" i="1"/>
  <c r="AA106" i="1"/>
  <c r="AA56" i="1"/>
  <c r="AA58" i="1"/>
  <c r="AA78" i="1"/>
  <c r="AA79" i="1"/>
  <c r="AA81" i="1"/>
  <c r="AA10" i="1"/>
  <c r="AA89" i="1"/>
  <c r="AA63" i="1"/>
  <c r="AA12" i="1"/>
  <c r="AA91" i="1"/>
  <c r="AA61" i="1"/>
  <c r="AA62" i="1"/>
  <c r="AA38" i="1"/>
  <c r="AA45" i="1"/>
  <c r="AA66" i="1"/>
  <c r="AA39" i="1"/>
  <c r="AA74" i="1"/>
  <c r="AA103" i="1"/>
  <c r="AA53" i="1"/>
  <c r="AA88" i="1"/>
  <c r="AA43" i="1"/>
  <c r="AA75" i="1"/>
  <c r="AA21" i="1"/>
  <c r="AA20" i="1"/>
  <c r="AA90" i="1"/>
  <c r="AA26" i="1"/>
  <c r="AA41" i="1"/>
  <c r="AA13" i="1"/>
  <c r="AA54" i="1"/>
  <c r="AA59" i="1"/>
  <c r="B16" i="14"/>
  <c r="AA110" i="1"/>
  <c r="AA49" i="1"/>
  <c r="AA14" i="1"/>
  <c r="AA11" i="1"/>
  <c r="AA50" i="1"/>
  <c r="AA93" i="1"/>
  <c r="AA92" i="1"/>
  <c r="AA80" i="1"/>
  <c r="AA51" i="1"/>
  <c r="AA101" i="1"/>
  <c r="AA22" i="1"/>
  <c r="AA42" i="1"/>
  <c r="AA60" i="1"/>
  <c r="AA82" i="1"/>
  <c r="AA97" i="1"/>
  <c r="AA48" i="1"/>
  <c r="I95" i="5"/>
  <c r="AG96" i="5"/>
  <c r="AP116" i="9"/>
  <c r="I116" i="9"/>
  <c r="AF96" i="5"/>
  <c r="AB95" i="5"/>
  <c r="AD95" i="5"/>
  <c r="AC95" i="5"/>
  <c r="AA95" i="5"/>
  <c r="U95" i="5"/>
  <c r="T95" i="5"/>
  <c r="S95" i="5"/>
  <c r="R95" i="5"/>
  <c r="K95" i="5"/>
  <c r="L95" i="5"/>
  <c r="J95" i="5"/>
  <c r="B97" i="5"/>
  <c r="AE96" i="5"/>
  <c r="C96" i="5"/>
  <c r="AO2" i="9"/>
  <c r="AO3" i="9" s="1"/>
  <c r="I2" i="9"/>
  <c r="I3" i="9" s="1"/>
  <c r="F22" i="10"/>
  <c r="AO4" i="9"/>
  <c r="E22" i="10"/>
  <c r="H22" i="10"/>
  <c r="D22" i="10"/>
  <c r="I4" i="9"/>
  <c r="G22" i="10"/>
  <c r="T16" i="14" l="1"/>
  <c r="X7" i="1" s="1"/>
  <c r="R16" i="14"/>
  <c r="W7" i="1" s="1"/>
  <c r="S16" i="14"/>
  <c r="Z7" i="1" s="1"/>
  <c r="U16" i="14"/>
  <c r="Y7" i="1" s="1"/>
  <c r="Q16" i="14"/>
  <c r="V7" i="1" s="1"/>
  <c r="U17" i="14"/>
  <c r="Y8" i="1" s="1"/>
  <c r="U25" i="14"/>
  <c r="Y16" i="1" s="1"/>
  <c r="U33" i="14"/>
  <c r="Y24" i="1" s="1"/>
  <c r="U41" i="14"/>
  <c r="Y32" i="1" s="1"/>
  <c r="U49" i="14"/>
  <c r="Y40" i="1" s="1"/>
  <c r="U57" i="14"/>
  <c r="Y48" i="1" s="1"/>
  <c r="U65" i="14"/>
  <c r="Y56" i="1" s="1"/>
  <c r="U73" i="14"/>
  <c r="Y64" i="1" s="1"/>
  <c r="U81" i="14"/>
  <c r="Y72" i="1" s="1"/>
  <c r="U89" i="14"/>
  <c r="Y80" i="1" s="1"/>
  <c r="U97" i="14"/>
  <c r="Y88" i="1" s="1"/>
  <c r="U105" i="14"/>
  <c r="Y96" i="1" s="1"/>
  <c r="U113" i="14"/>
  <c r="Y104" i="1" s="1"/>
  <c r="U36" i="14"/>
  <c r="Y27" i="1" s="1"/>
  <c r="U60" i="14"/>
  <c r="Y51" i="1" s="1"/>
  <c r="U76" i="14"/>
  <c r="Y67" i="1" s="1"/>
  <c r="U108" i="14"/>
  <c r="Y99" i="1" s="1"/>
  <c r="U110" i="14"/>
  <c r="Y101" i="1" s="1"/>
  <c r="U103" i="14"/>
  <c r="Y94" i="1" s="1"/>
  <c r="U40" i="14"/>
  <c r="Y31" i="1" s="1"/>
  <c r="U64" i="14"/>
  <c r="Y55" i="1" s="1"/>
  <c r="U104" i="14"/>
  <c r="Y95" i="1" s="1"/>
  <c r="U18" i="14"/>
  <c r="Y9" i="1" s="1"/>
  <c r="U26" i="14"/>
  <c r="Y17" i="1" s="1"/>
  <c r="U34" i="14"/>
  <c r="Y25" i="1" s="1"/>
  <c r="U42" i="14"/>
  <c r="Y33" i="1" s="1"/>
  <c r="U50" i="14"/>
  <c r="Y41" i="1" s="1"/>
  <c r="U58" i="14"/>
  <c r="Y49" i="1" s="1"/>
  <c r="U66" i="14"/>
  <c r="Y57" i="1" s="1"/>
  <c r="U74" i="14"/>
  <c r="Y65" i="1" s="1"/>
  <c r="U82" i="14"/>
  <c r="Y73" i="1" s="1"/>
  <c r="U90" i="14"/>
  <c r="Y81" i="1" s="1"/>
  <c r="U98" i="14"/>
  <c r="Y89" i="1" s="1"/>
  <c r="U106" i="14"/>
  <c r="Y97" i="1" s="1"/>
  <c r="U114" i="14"/>
  <c r="Y105" i="1" s="1"/>
  <c r="U20" i="14"/>
  <c r="Y11" i="1" s="1"/>
  <c r="U44" i="14"/>
  <c r="Y35" i="1" s="1"/>
  <c r="U68" i="14"/>
  <c r="Y59" i="1" s="1"/>
  <c r="U92" i="14"/>
  <c r="Y83" i="1" s="1"/>
  <c r="U62" i="14"/>
  <c r="Y53" i="1" s="1"/>
  <c r="U86" i="14"/>
  <c r="Y77" i="1" s="1"/>
  <c r="U111" i="14"/>
  <c r="Y102" i="1" s="1"/>
  <c r="U72" i="14"/>
  <c r="Y63" i="1" s="1"/>
  <c r="U19" i="14"/>
  <c r="Y10" i="1" s="1"/>
  <c r="U27" i="14"/>
  <c r="Y18" i="1" s="1"/>
  <c r="U35" i="14"/>
  <c r="Y26" i="1" s="1"/>
  <c r="U43" i="14"/>
  <c r="Y34" i="1" s="1"/>
  <c r="U51" i="14"/>
  <c r="Y42" i="1" s="1"/>
  <c r="U59" i="14"/>
  <c r="Y50" i="1" s="1"/>
  <c r="U67" i="14"/>
  <c r="Y58" i="1" s="1"/>
  <c r="U75" i="14"/>
  <c r="Y66" i="1" s="1"/>
  <c r="U83" i="14"/>
  <c r="Y74" i="1" s="1"/>
  <c r="U91" i="14"/>
  <c r="Y82" i="1" s="1"/>
  <c r="U99" i="14"/>
  <c r="Y90" i="1" s="1"/>
  <c r="U107" i="14"/>
  <c r="Y98" i="1" s="1"/>
  <c r="U115" i="14"/>
  <c r="Y106" i="1" s="1"/>
  <c r="U28" i="14"/>
  <c r="Y19" i="1" s="1"/>
  <c r="U52" i="14"/>
  <c r="Y43" i="1" s="1"/>
  <c r="U84" i="14"/>
  <c r="Y75" i="1" s="1"/>
  <c r="U100" i="14"/>
  <c r="Y91" i="1" s="1"/>
  <c r="U116" i="14"/>
  <c r="Y107" i="1" s="1"/>
  <c r="U78" i="14"/>
  <c r="Y69" i="1" s="1"/>
  <c r="U94" i="14"/>
  <c r="Y85" i="1" s="1"/>
  <c r="U118" i="14"/>
  <c r="Y109" i="1" s="1"/>
  <c r="U24" i="14"/>
  <c r="Y15" i="1" s="1"/>
  <c r="U48" i="14"/>
  <c r="Y39" i="1" s="1"/>
  <c r="U88" i="14"/>
  <c r="Y79" i="1" s="1"/>
  <c r="U112" i="14"/>
  <c r="Y103" i="1" s="1"/>
  <c r="U21" i="14"/>
  <c r="Y12" i="1" s="1"/>
  <c r="U29" i="14"/>
  <c r="Y20" i="1" s="1"/>
  <c r="U37" i="14"/>
  <c r="Y28" i="1" s="1"/>
  <c r="U45" i="14"/>
  <c r="Y36" i="1" s="1"/>
  <c r="U53" i="14"/>
  <c r="Y44" i="1" s="1"/>
  <c r="U61" i="14"/>
  <c r="Y52" i="1" s="1"/>
  <c r="U69" i="14"/>
  <c r="Y60" i="1" s="1"/>
  <c r="U77" i="14"/>
  <c r="Y68" i="1" s="1"/>
  <c r="U85" i="14"/>
  <c r="Y76" i="1" s="1"/>
  <c r="U93" i="14"/>
  <c r="Y84" i="1" s="1"/>
  <c r="U101" i="14"/>
  <c r="Y92" i="1" s="1"/>
  <c r="U109" i="14"/>
  <c r="Y100" i="1" s="1"/>
  <c r="U117" i="14"/>
  <c r="Y108" i="1" s="1"/>
  <c r="U22" i="14"/>
  <c r="Y13" i="1" s="1"/>
  <c r="U30" i="14"/>
  <c r="Y21" i="1" s="1"/>
  <c r="U38" i="14"/>
  <c r="Y29" i="1" s="1"/>
  <c r="U46" i="14"/>
  <c r="Y37" i="1" s="1"/>
  <c r="U54" i="14"/>
  <c r="Y45" i="1" s="1"/>
  <c r="U70" i="14"/>
  <c r="Y61" i="1" s="1"/>
  <c r="U102" i="14"/>
  <c r="Y93" i="1" s="1"/>
  <c r="U95" i="14"/>
  <c r="Y86" i="1" s="1"/>
  <c r="U32" i="14"/>
  <c r="Y23" i="1" s="1"/>
  <c r="U80" i="14"/>
  <c r="Y71" i="1" s="1"/>
  <c r="U23" i="14"/>
  <c r="Y14" i="1" s="1"/>
  <c r="U31" i="14"/>
  <c r="Y22" i="1" s="1"/>
  <c r="U39" i="14"/>
  <c r="Y30" i="1" s="1"/>
  <c r="U47" i="14"/>
  <c r="Y38" i="1" s="1"/>
  <c r="U55" i="14"/>
  <c r="Y46" i="1" s="1"/>
  <c r="U63" i="14"/>
  <c r="Y54" i="1" s="1"/>
  <c r="U71" i="14"/>
  <c r="Y62" i="1" s="1"/>
  <c r="U79" i="14"/>
  <c r="Y70" i="1" s="1"/>
  <c r="U87" i="14"/>
  <c r="Y78" i="1" s="1"/>
  <c r="U119" i="14"/>
  <c r="Y110" i="1" s="1"/>
  <c r="U56" i="14"/>
  <c r="Y47" i="1" s="1"/>
  <c r="U96" i="14"/>
  <c r="Y87" i="1" s="1"/>
  <c r="Q17" i="14"/>
  <c r="V8" i="1" s="1"/>
  <c r="Q19" i="14"/>
  <c r="V10" i="1" s="1"/>
  <c r="Q21" i="14"/>
  <c r="V12" i="1" s="1"/>
  <c r="Q23" i="14"/>
  <c r="V14" i="1" s="1"/>
  <c r="Q25" i="14"/>
  <c r="V16" i="1" s="1"/>
  <c r="Q27" i="14"/>
  <c r="V18" i="1" s="1"/>
  <c r="Q29" i="14"/>
  <c r="V20" i="1" s="1"/>
  <c r="Q31" i="14"/>
  <c r="V22" i="1" s="1"/>
  <c r="Q33" i="14"/>
  <c r="V24" i="1" s="1"/>
  <c r="Q35" i="14"/>
  <c r="V26" i="1" s="1"/>
  <c r="Q37" i="14"/>
  <c r="V28" i="1" s="1"/>
  <c r="Q39" i="14"/>
  <c r="V30" i="1" s="1"/>
  <c r="Q41" i="14"/>
  <c r="V32" i="1" s="1"/>
  <c r="Q43" i="14"/>
  <c r="V34" i="1" s="1"/>
  <c r="Q45" i="14"/>
  <c r="V36" i="1" s="1"/>
  <c r="Q47" i="14"/>
  <c r="V38" i="1" s="1"/>
  <c r="Q49" i="14"/>
  <c r="V40" i="1" s="1"/>
  <c r="Q51" i="14"/>
  <c r="V42" i="1" s="1"/>
  <c r="Q53" i="14"/>
  <c r="V44" i="1" s="1"/>
  <c r="Q55" i="14"/>
  <c r="V46" i="1" s="1"/>
  <c r="Q57" i="14"/>
  <c r="V48" i="1" s="1"/>
  <c r="Q59" i="14"/>
  <c r="V50" i="1" s="1"/>
  <c r="Q61" i="14"/>
  <c r="V52" i="1" s="1"/>
  <c r="Q63" i="14"/>
  <c r="V54" i="1" s="1"/>
  <c r="Q65" i="14"/>
  <c r="V56" i="1" s="1"/>
  <c r="Q67" i="14"/>
  <c r="V58" i="1" s="1"/>
  <c r="Q69" i="14"/>
  <c r="V60" i="1" s="1"/>
  <c r="Q71" i="14"/>
  <c r="V62" i="1" s="1"/>
  <c r="Q73" i="14"/>
  <c r="V64" i="1" s="1"/>
  <c r="Q75" i="14"/>
  <c r="V66" i="1" s="1"/>
  <c r="Q77" i="14"/>
  <c r="V68" i="1" s="1"/>
  <c r="Q79" i="14"/>
  <c r="V70" i="1" s="1"/>
  <c r="Q81" i="14"/>
  <c r="V72" i="1" s="1"/>
  <c r="Q83" i="14"/>
  <c r="V74" i="1" s="1"/>
  <c r="Q85" i="14"/>
  <c r="V76" i="1" s="1"/>
  <c r="Q87" i="14"/>
  <c r="V78" i="1" s="1"/>
  <c r="Q89" i="14"/>
  <c r="V80" i="1" s="1"/>
  <c r="Q91" i="14"/>
  <c r="V82" i="1" s="1"/>
  <c r="Q93" i="14"/>
  <c r="V84" i="1" s="1"/>
  <c r="Q95" i="14"/>
  <c r="V86" i="1" s="1"/>
  <c r="Q97" i="14"/>
  <c r="V88" i="1" s="1"/>
  <c r="Q99" i="14"/>
  <c r="V90" i="1" s="1"/>
  <c r="Q101" i="14"/>
  <c r="V92" i="1" s="1"/>
  <c r="Q103" i="14"/>
  <c r="V94" i="1" s="1"/>
  <c r="Q105" i="14"/>
  <c r="V96" i="1" s="1"/>
  <c r="Q107" i="14"/>
  <c r="V98" i="1" s="1"/>
  <c r="Q109" i="14"/>
  <c r="V100" i="1" s="1"/>
  <c r="Q111" i="14"/>
  <c r="V102" i="1" s="1"/>
  <c r="Q113" i="14"/>
  <c r="V104" i="1" s="1"/>
  <c r="Q115" i="14"/>
  <c r="V106" i="1" s="1"/>
  <c r="Q117" i="14"/>
  <c r="V108" i="1" s="1"/>
  <c r="Q119" i="14"/>
  <c r="V110" i="1" s="1"/>
  <c r="R115" i="14"/>
  <c r="W106" i="1" s="1"/>
  <c r="R117" i="14"/>
  <c r="W108" i="1" s="1"/>
  <c r="R119" i="14"/>
  <c r="W110" i="1" s="1"/>
  <c r="S38" i="14"/>
  <c r="Z29" i="1" s="1"/>
  <c r="S52" i="14"/>
  <c r="Z43" i="1" s="1"/>
  <c r="S64" i="14"/>
  <c r="Z55" i="1" s="1"/>
  <c r="S76" i="14"/>
  <c r="Z67" i="1" s="1"/>
  <c r="S86" i="14"/>
  <c r="Z77" i="1" s="1"/>
  <c r="S94" i="14"/>
  <c r="Z85" i="1" s="1"/>
  <c r="S106" i="14"/>
  <c r="Z97" i="1" s="1"/>
  <c r="S118" i="14"/>
  <c r="Z109" i="1" s="1"/>
  <c r="T24" i="14"/>
  <c r="X15" i="1" s="1"/>
  <c r="T34" i="14"/>
  <c r="X25" i="1" s="1"/>
  <c r="T44" i="14"/>
  <c r="X35" i="1" s="1"/>
  <c r="T56" i="14"/>
  <c r="X47" i="1" s="1"/>
  <c r="T66" i="14"/>
  <c r="X57" i="1" s="1"/>
  <c r="T78" i="14"/>
  <c r="X69" i="1" s="1"/>
  <c r="T92" i="14"/>
  <c r="X83" i="1" s="1"/>
  <c r="T102" i="14"/>
  <c r="X93" i="1" s="1"/>
  <c r="T114" i="14"/>
  <c r="X105" i="1" s="1"/>
  <c r="R17" i="14"/>
  <c r="W8" i="1" s="1"/>
  <c r="R19" i="14"/>
  <c r="W10" i="1" s="1"/>
  <c r="R21" i="14"/>
  <c r="W12" i="1" s="1"/>
  <c r="R23" i="14"/>
  <c r="W14" i="1" s="1"/>
  <c r="R25" i="14"/>
  <c r="W16" i="1" s="1"/>
  <c r="R27" i="14"/>
  <c r="W18" i="1" s="1"/>
  <c r="R29" i="14"/>
  <c r="W20" i="1" s="1"/>
  <c r="R31" i="14"/>
  <c r="W22" i="1" s="1"/>
  <c r="R33" i="14"/>
  <c r="W24" i="1" s="1"/>
  <c r="R35" i="14"/>
  <c r="W26" i="1" s="1"/>
  <c r="R37" i="14"/>
  <c r="W28" i="1" s="1"/>
  <c r="R39" i="14"/>
  <c r="W30" i="1" s="1"/>
  <c r="R41" i="14"/>
  <c r="W32" i="1" s="1"/>
  <c r="R43" i="14"/>
  <c r="W34" i="1" s="1"/>
  <c r="R45" i="14"/>
  <c r="W36" i="1" s="1"/>
  <c r="R47" i="14"/>
  <c r="W38" i="1" s="1"/>
  <c r="R49" i="14"/>
  <c r="W40" i="1" s="1"/>
  <c r="R51" i="14"/>
  <c r="W42" i="1" s="1"/>
  <c r="R53" i="14"/>
  <c r="W44" i="1" s="1"/>
  <c r="R55" i="14"/>
  <c r="W46" i="1" s="1"/>
  <c r="R57" i="14"/>
  <c r="W48" i="1" s="1"/>
  <c r="R59" i="14"/>
  <c r="W50" i="1" s="1"/>
  <c r="R61" i="14"/>
  <c r="W52" i="1" s="1"/>
  <c r="R63" i="14"/>
  <c r="W54" i="1" s="1"/>
  <c r="R65" i="14"/>
  <c r="W56" i="1" s="1"/>
  <c r="R67" i="14"/>
  <c r="W58" i="1" s="1"/>
  <c r="R69" i="14"/>
  <c r="W60" i="1" s="1"/>
  <c r="R71" i="14"/>
  <c r="W62" i="1" s="1"/>
  <c r="R73" i="14"/>
  <c r="W64" i="1" s="1"/>
  <c r="R75" i="14"/>
  <c r="W66" i="1" s="1"/>
  <c r="R77" i="14"/>
  <c r="W68" i="1" s="1"/>
  <c r="R79" i="14"/>
  <c r="W70" i="1" s="1"/>
  <c r="R81" i="14"/>
  <c r="W72" i="1" s="1"/>
  <c r="R83" i="14"/>
  <c r="W74" i="1" s="1"/>
  <c r="R85" i="14"/>
  <c r="W76" i="1" s="1"/>
  <c r="R87" i="14"/>
  <c r="W78" i="1" s="1"/>
  <c r="R89" i="14"/>
  <c r="W80" i="1" s="1"/>
  <c r="R91" i="14"/>
  <c r="W82" i="1" s="1"/>
  <c r="R93" i="14"/>
  <c r="W84" i="1" s="1"/>
  <c r="R95" i="14"/>
  <c r="W86" i="1" s="1"/>
  <c r="R97" i="14"/>
  <c r="W88" i="1" s="1"/>
  <c r="R99" i="14"/>
  <c r="W90" i="1" s="1"/>
  <c r="R101" i="14"/>
  <c r="W92" i="1" s="1"/>
  <c r="R103" i="14"/>
  <c r="W94" i="1" s="1"/>
  <c r="R105" i="14"/>
  <c r="W96" i="1" s="1"/>
  <c r="R107" i="14"/>
  <c r="W98" i="1" s="1"/>
  <c r="R109" i="14"/>
  <c r="W100" i="1" s="1"/>
  <c r="R111" i="14"/>
  <c r="W102" i="1" s="1"/>
  <c r="R113" i="14"/>
  <c r="W104" i="1" s="1"/>
  <c r="T88" i="14"/>
  <c r="X79" i="1" s="1"/>
  <c r="T104" i="14"/>
  <c r="X95" i="1" s="1"/>
  <c r="S17" i="14"/>
  <c r="Z8" i="1" s="1"/>
  <c r="S19" i="14"/>
  <c r="Z10" i="1" s="1"/>
  <c r="S21" i="14"/>
  <c r="Z12" i="1" s="1"/>
  <c r="S23" i="14"/>
  <c r="Z14" i="1" s="1"/>
  <c r="S25" i="14"/>
  <c r="Z16" i="1" s="1"/>
  <c r="S27" i="14"/>
  <c r="Z18" i="1" s="1"/>
  <c r="S29" i="14"/>
  <c r="Z20" i="1" s="1"/>
  <c r="S31" i="14"/>
  <c r="Z22" i="1" s="1"/>
  <c r="S33" i="14"/>
  <c r="Z24" i="1" s="1"/>
  <c r="S35" i="14"/>
  <c r="Z26" i="1" s="1"/>
  <c r="S37" i="14"/>
  <c r="Z28" i="1" s="1"/>
  <c r="S39" i="14"/>
  <c r="Z30" i="1" s="1"/>
  <c r="S41" i="14"/>
  <c r="Z32" i="1" s="1"/>
  <c r="S43" i="14"/>
  <c r="Z34" i="1" s="1"/>
  <c r="S45" i="14"/>
  <c r="Z36" i="1" s="1"/>
  <c r="S47" i="14"/>
  <c r="Z38" i="1" s="1"/>
  <c r="S49" i="14"/>
  <c r="Z40" i="1" s="1"/>
  <c r="S51" i="14"/>
  <c r="Z42" i="1" s="1"/>
  <c r="S53" i="14"/>
  <c r="Z44" i="1" s="1"/>
  <c r="S55" i="14"/>
  <c r="Z46" i="1" s="1"/>
  <c r="S57" i="14"/>
  <c r="Z48" i="1" s="1"/>
  <c r="S59" i="14"/>
  <c r="Z50" i="1" s="1"/>
  <c r="S61" i="14"/>
  <c r="Z52" i="1" s="1"/>
  <c r="S63" i="14"/>
  <c r="Z54" i="1" s="1"/>
  <c r="S65" i="14"/>
  <c r="Z56" i="1" s="1"/>
  <c r="S67" i="14"/>
  <c r="Z58" i="1" s="1"/>
  <c r="S69" i="14"/>
  <c r="Z60" i="1" s="1"/>
  <c r="S71" i="14"/>
  <c r="Z62" i="1" s="1"/>
  <c r="S73" i="14"/>
  <c r="Z64" i="1" s="1"/>
  <c r="S75" i="14"/>
  <c r="Z66" i="1" s="1"/>
  <c r="S77" i="14"/>
  <c r="Z68" i="1" s="1"/>
  <c r="S79" i="14"/>
  <c r="Z70" i="1" s="1"/>
  <c r="S81" i="14"/>
  <c r="Z72" i="1" s="1"/>
  <c r="S83" i="14"/>
  <c r="Z74" i="1" s="1"/>
  <c r="S85" i="14"/>
  <c r="Z76" i="1" s="1"/>
  <c r="S87" i="14"/>
  <c r="Z78" i="1" s="1"/>
  <c r="S89" i="14"/>
  <c r="Z80" i="1" s="1"/>
  <c r="S91" i="14"/>
  <c r="Z82" i="1" s="1"/>
  <c r="S93" i="14"/>
  <c r="Z84" i="1" s="1"/>
  <c r="S95" i="14"/>
  <c r="Z86" i="1" s="1"/>
  <c r="S97" i="14"/>
  <c r="Z88" i="1" s="1"/>
  <c r="S99" i="14"/>
  <c r="Z90" i="1" s="1"/>
  <c r="S101" i="14"/>
  <c r="Z92" i="1" s="1"/>
  <c r="S103" i="14"/>
  <c r="Z94" i="1" s="1"/>
  <c r="S105" i="14"/>
  <c r="Z96" i="1" s="1"/>
  <c r="S107" i="14"/>
  <c r="Z98" i="1" s="1"/>
  <c r="S109" i="14"/>
  <c r="Z100" i="1" s="1"/>
  <c r="S111" i="14"/>
  <c r="Z102" i="1" s="1"/>
  <c r="S113" i="14"/>
  <c r="Z104" i="1" s="1"/>
  <c r="S115" i="14"/>
  <c r="Z106" i="1" s="1"/>
  <c r="S117" i="14"/>
  <c r="Z108" i="1" s="1"/>
  <c r="S119" i="14"/>
  <c r="Z110" i="1" s="1"/>
  <c r="S30" i="14"/>
  <c r="Z21" i="1" s="1"/>
  <c r="S42" i="14"/>
  <c r="Z33" i="1" s="1"/>
  <c r="S50" i="14"/>
  <c r="Z41" i="1" s="1"/>
  <c r="S60" i="14"/>
  <c r="Z51" i="1" s="1"/>
  <c r="S66" i="14"/>
  <c r="Z57" i="1" s="1"/>
  <c r="S74" i="14"/>
  <c r="Z65" i="1" s="1"/>
  <c r="S82" i="14"/>
  <c r="Z73" i="1" s="1"/>
  <c r="S92" i="14"/>
  <c r="Z83" i="1" s="1"/>
  <c r="S96" i="14"/>
  <c r="Z87" i="1" s="1"/>
  <c r="S104" i="14"/>
  <c r="Z95" i="1" s="1"/>
  <c r="S114" i="14"/>
  <c r="Z105" i="1" s="1"/>
  <c r="T18" i="14"/>
  <c r="X9" i="1" s="1"/>
  <c r="T28" i="14"/>
  <c r="X19" i="1" s="1"/>
  <c r="T36" i="14"/>
  <c r="X27" i="1" s="1"/>
  <c r="T46" i="14"/>
  <c r="X37" i="1" s="1"/>
  <c r="T54" i="14"/>
  <c r="X45" i="1" s="1"/>
  <c r="T64" i="14"/>
  <c r="X55" i="1" s="1"/>
  <c r="T72" i="14"/>
  <c r="X63" i="1" s="1"/>
  <c r="T82" i="14"/>
  <c r="X73" i="1" s="1"/>
  <c r="T90" i="14"/>
  <c r="X81" i="1" s="1"/>
  <c r="T98" i="14"/>
  <c r="X89" i="1" s="1"/>
  <c r="T108" i="14"/>
  <c r="X99" i="1" s="1"/>
  <c r="T116" i="14"/>
  <c r="X107" i="1" s="1"/>
  <c r="T17" i="14"/>
  <c r="X8" i="1" s="1"/>
  <c r="T19" i="14"/>
  <c r="X10" i="1" s="1"/>
  <c r="T21" i="14"/>
  <c r="X12" i="1" s="1"/>
  <c r="T23" i="14"/>
  <c r="X14" i="1" s="1"/>
  <c r="T25" i="14"/>
  <c r="X16" i="1" s="1"/>
  <c r="T27" i="14"/>
  <c r="X18" i="1" s="1"/>
  <c r="T29" i="14"/>
  <c r="X20" i="1" s="1"/>
  <c r="T31" i="14"/>
  <c r="X22" i="1" s="1"/>
  <c r="T33" i="14"/>
  <c r="X24" i="1" s="1"/>
  <c r="T35" i="14"/>
  <c r="X26" i="1" s="1"/>
  <c r="T37" i="14"/>
  <c r="X28" i="1" s="1"/>
  <c r="T39" i="14"/>
  <c r="X30" i="1" s="1"/>
  <c r="T41" i="14"/>
  <c r="X32" i="1" s="1"/>
  <c r="T43" i="14"/>
  <c r="X34" i="1" s="1"/>
  <c r="T45" i="14"/>
  <c r="X36" i="1" s="1"/>
  <c r="T47" i="14"/>
  <c r="X38" i="1" s="1"/>
  <c r="T49" i="14"/>
  <c r="X40" i="1" s="1"/>
  <c r="T51" i="14"/>
  <c r="X42" i="1" s="1"/>
  <c r="T53" i="14"/>
  <c r="X44" i="1" s="1"/>
  <c r="T55" i="14"/>
  <c r="X46" i="1" s="1"/>
  <c r="T57" i="14"/>
  <c r="X48" i="1" s="1"/>
  <c r="T59" i="14"/>
  <c r="X50" i="1" s="1"/>
  <c r="T61" i="14"/>
  <c r="X52" i="1" s="1"/>
  <c r="T63" i="14"/>
  <c r="X54" i="1" s="1"/>
  <c r="T65" i="14"/>
  <c r="X56" i="1" s="1"/>
  <c r="T67" i="14"/>
  <c r="X58" i="1" s="1"/>
  <c r="T69" i="14"/>
  <c r="X60" i="1" s="1"/>
  <c r="T71" i="14"/>
  <c r="X62" i="1" s="1"/>
  <c r="T73" i="14"/>
  <c r="X64" i="1" s="1"/>
  <c r="T75" i="14"/>
  <c r="X66" i="1" s="1"/>
  <c r="T77" i="14"/>
  <c r="X68" i="1" s="1"/>
  <c r="T79" i="14"/>
  <c r="X70" i="1" s="1"/>
  <c r="T81" i="14"/>
  <c r="X72" i="1" s="1"/>
  <c r="T83" i="14"/>
  <c r="X74" i="1" s="1"/>
  <c r="T85" i="14"/>
  <c r="X76" i="1" s="1"/>
  <c r="T87" i="14"/>
  <c r="X78" i="1" s="1"/>
  <c r="T89" i="14"/>
  <c r="X80" i="1" s="1"/>
  <c r="T91" i="14"/>
  <c r="X82" i="1" s="1"/>
  <c r="T93" i="14"/>
  <c r="X84" i="1" s="1"/>
  <c r="T95" i="14"/>
  <c r="X86" i="1" s="1"/>
  <c r="T97" i="14"/>
  <c r="X88" i="1" s="1"/>
  <c r="T99" i="14"/>
  <c r="X90" i="1" s="1"/>
  <c r="T101" i="14"/>
  <c r="X92" i="1" s="1"/>
  <c r="T103" i="14"/>
  <c r="X94" i="1" s="1"/>
  <c r="T105" i="14"/>
  <c r="X96" i="1" s="1"/>
  <c r="T107" i="14"/>
  <c r="X98" i="1" s="1"/>
  <c r="T109" i="14"/>
  <c r="X100" i="1" s="1"/>
  <c r="T111" i="14"/>
  <c r="X102" i="1" s="1"/>
  <c r="T113" i="14"/>
  <c r="X104" i="1" s="1"/>
  <c r="T115" i="14"/>
  <c r="X106" i="1" s="1"/>
  <c r="T117" i="14"/>
  <c r="X108" i="1" s="1"/>
  <c r="T119" i="14"/>
  <c r="X110" i="1" s="1"/>
  <c r="S22" i="14"/>
  <c r="Z13" i="1" s="1"/>
  <c r="S28" i="14"/>
  <c r="Z19" i="1" s="1"/>
  <c r="S36" i="14"/>
  <c r="Z27" i="1" s="1"/>
  <c r="S46" i="14"/>
  <c r="Z37" i="1" s="1"/>
  <c r="S58" i="14"/>
  <c r="Z49" i="1" s="1"/>
  <c r="S68" i="14"/>
  <c r="Z59" i="1" s="1"/>
  <c r="S78" i="14"/>
  <c r="Z69" i="1" s="1"/>
  <c r="S88" i="14"/>
  <c r="Z79" i="1" s="1"/>
  <c r="S100" i="14"/>
  <c r="Z91" i="1" s="1"/>
  <c r="S110" i="14"/>
  <c r="Z101" i="1" s="1"/>
  <c r="T20" i="14"/>
  <c r="X11" i="1" s="1"/>
  <c r="T30" i="14"/>
  <c r="X21" i="1" s="1"/>
  <c r="T40" i="14"/>
  <c r="X31" i="1" s="1"/>
  <c r="T50" i="14"/>
  <c r="X41" i="1" s="1"/>
  <c r="T62" i="14"/>
  <c r="X53" i="1" s="1"/>
  <c r="T74" i="14"/>
  <c r="X65" i="1" s="1"/>
  <c r="T86" i="14"/>
  <c r="X77" i="1" s="1"/>
  <c r="T100" i="14"/>
  <c r="X91" i="1" s="1"/>
  <c r="T112" i="14"/>
  <c r="X103" i="1" s="1"/>
  <c r="Q18" i="14"/>
  <c r="V9" i="1" s="1"/>
  <c r="Q20" i="14"/>
  <c r="V11" i="1" s="1"/>
  <c r="Q22" i="14"/>
  <c r="V13" i="1" s="1"/>
  <c r="Q24" i="14"/>
  <c r="V15" i="1" s="1"/>
  <c r="Q26" i="14"/>
  <c r="V17" i="1" s="1"/>
  <c r="Q28" i="14"/>
  <c r="V19" i="1" s="1"/>
  <c r="Q30" i="14"/>
  <c r="V21" i="1" s="1"/>
  <c r="Q32" i="14"/>
  <c r="V23" i="1" s="1"/>
  <c r="Q34" i="14"/>
  <c r="V25" i="1" s="1"/>
  <c r="Q36" i="14"/>
  <c r="V27" i="1" s="1"/>
  <c r="Q38" i="14"/>
  <c r="V29" i="1" s="1"/>
  <c r="Q40" i="14"/>
  <c r="V31" i="1" s="1"/>
  <c r="Q42" i="14"/>
  <c r="V33" i="1" s="1"/>
  <c r="Q44" i="14"/>
  <c r="V35" i="1" s="1"/>
  <c r="Q46" i="14"/>
  <c r="V37" i="1" s="1"/>
  <c r="Q48" i="14"/>
  <c r="V39" i="1" s="1"/>
  <c r="Q50" i="14"/>
  <c r="V41" i="1" s="1"/>
  <c r="Q52" i="14"/>
  <c r="V43" i="1" s="1"/>
  <c r="Q54" i="14"/>
  <c r="V45" i="1" s="1"/>
  <c r="Q56" i="14"/>
  <c r="V47" i="1" s="1"/>
  <c r="Q58" i="14"/>
  <c r="V49" i="1" s="1"/>
  <c r="Q60" i="14"/>
  <c r="V51" i="1" s="1"/>
  <c r="Q62" i="14"/>
  <c r="V53" i="1" s="1"/>
  <c r="Q64" i="14"/>
  <c r="V55" i="1" s="1"/>
  <c r="Q66" i="14"/>
  <c r="V57" i="1" s="1"/>
  <c r="Q68" i="14"/>
  <c r="V59" i="1" s="1"/>
  <c r="Q70" i="14"/>
  <c r="V61" i="1" s="1"/>
  <c r="Q72" i="14"/>
  <c r="V63" i="1" s="1"/>
  <c r="Q74" i="14"/>
  <c r="V65" i="1" s="1"/>
  <c r="Q76" i="14"/>
  <c r="V67" i="1" s="1"/>
  <c r="Q78" i="14"/>
  <c r="V69" i="1" s="1"/>
  <c r="Q80" i="14"/>
  <c r="V71" i="1" s="1"/>
  <c r="Q82" i="14"/>
  <c r="V73" i="1" s="1"/>
  <c r="Q84" i="14"/>
  <c r="V75" i="1" s="1"/>
  <c r="Q86" i="14"/>
  <c r="V77" i="1" s="1"/>
  <c r="Q88" i="14"/>
  <c r="V79" i="1" s="1"/>
  <c r="Q90" i="14"/>
  <c r="V81" i="1" s="1"/>
  <c r="Q92" i="14"/>
  <c r="V83" i="1" s="1"/>
  <c r="Q94" i="14"/>
  <c r="V85" i="1" s="1"/>
  <c r="Q96" i="14"/>
  <c r="V87" i="1" s="1"/>
  <c r="Q98" i="14"/>
  <c r="V89" i="1" s="1"/>
  <c r="Q100" i="14"/>
  <c r="V91" i="1" s="1"/>
  <c r="Q102" i="14"/>
  <c r="V93" i="1" s="1"/>
  <c r="Q104" i="14"/>
  <c r="V95" i="1" s="1"/>
  <c r="Q106" i="14"/>
  <c r="V97" i="1" s="1"/>
  <c r="Q108" i="14"/>
  <c r="V99" i="1" s="1"/>
  <c r="Q110" i="14"/>
  <c r="V101" i="1" s="1"/>
  <c r="Q112" i="14"/>
  <c r="V103" i="1" s="1"/>
  <c r="Q114" i="14"/>
  <c r="V105" i="1" s="1"/>
  <c r="Q116" i="14"/>
  <c r="V107" i="1" s="1"/>
  <c r="Q118" i="14"/>
  <c r="V109" i="1" s="1"/>
  <c r="S20" i="14"/>
  <c r="Z11" i="1" s="1"/>
  <c r="S26" i="14"/>
  <c r="Z17" i="1" s="1"/>
  <c r="S34" i="14"/>
  <c r="Z25" i="1" s="1"/>
  <c r="S44" i="14"/>
  <c r="Z35" i="1" s="1"/>
  <c r="S56" i="14"/>
  <c r="Z47" i="1" s="1"/>
  <c r="S70" i="14"/>
  <c r="Z61" i="1" s="1"/>
  <c r="S84" i="14"/>
  <c r="Z75" i="1" s="1"/>
  <c r="S98" i="14"/>
  <c r="Z89" i="1" s="1"/>
  <c r="S112" i="14"/>
  <c r="Z103" i="1" s="1"/>
  <c r="T26" i="14"/>
  <c r="X17" i="1" s="1"/>
  <c r="T38" i="14"/>
  <c r="X29" i="1" s="1"/>
  <c r="T48" i="14"/>
  <c r="X39" i="1" s="1"/>
  <c r="T60" i="14"/>
  <c r="X51" i="1" s="1"/>
  <c r="T70" i="14"/>
  <c r="X61" i="1" s="1"/>
  <c r="T80" i="14"/>
  <c r="X71" i="1" s="1"/>
  <c r="T94" i="14"/>
  <c r="X85" i="1" s="1"/>
  <c r="T106" i="14"/>
  <c r="X97" i="1" s="1"/>
  <c r="R18" i="14"/>
  <c r="W9" i="1" s="1"/>
  <c r="W11" i="1"/>
  <c r="D35" i="10" s="1" a="1"/>
  <c r="D35" i="10" s="1"/>
  <c r="R22" i="14"/>
  <c r="W13" i="1" s="1"/>
  <c r="R24" i="14"/>
  <c r="W15" i="1" s="1"/>
  <c r="R26" i="14"/>
  <c r="W17" i="1" s="1"/>
  <c r="R28" i="14"/>
  <c r="W19" i="1" s="1"/>
  <c r="R30" i="14"/>
  <c r="W21" i="1" s="1"/>
  <c r="R32" i="14"/>
  <c r="W23" i="1" s="1"/>
  <c r="R34" i="14"/>
  <c r="W25" i="1" s="1"/>
  <c r="R36" i="14"/>
  <c r="W27" i="1" s="1"/>
  <c r="R38" i="14"/>
  <c r="W29" i="1" s="1"/>
  <c r="R40" i="14"/>
  <c r="W31" i="1" s="1"/>
  <c r="R42" i="14"/>
  <c r="W33" i="1" s="1"/>
  <c r="R44" i="14"/>
  <c r="W35" i="1" s="1"/>
  <c r="R46" i="14"/>
  <c r="W37" i="1" s="1"/>
  <c r="R48" i="14"/>
  <c r="W39" i="1" s="1"/>
  <c r="R50" i="14"/>
  <c r="W41" i="1" s="1"/>
  <c r="R52" i="14"/>
  <c r="W43" i="1" s="1"/>
  <c r="R54" i="14"/>
  <c r="W45" i="1" s="1"/>
  <c r="R56" i="14"/>
  <c r="W47" i="1" s="1"/>
  <c r="R58" i="14"/>
  <c r="W49" i="1" s="1"/>
  <c r="R60" i="14"/>
  <c r="W51" i="1" s="1"/>
  <c r="R62" i="14"/>
  <c r="W53" i="1" s="1"/>
  <c r="R64" i="14"/>
  <c r="W55" i="1" s="1"/>
  <c r="R66" i="14"/>
  <c r="W57" i="1" s="1"/>
  <c r="R68" i="14"/>
  <c r="W59" i="1" s="1"/>
  <c r="R70" i="14"/>
  <c r="W61" i="1" s="1"/>
  <c r="R72" i="14"/>
  <c r="W63" i="1" s="1"/>
  <c r="R74" i="14"/>
  <c r="W65" i="1" s="1"/>
  <c r="R76" i="14"/>
  <c r="W67" i="1" s="1"/>
  <c r="R78" i="14"/>
  <c r="W69" i="1" s="1"/>
  <c r="R80" i="14"/>
  <c r="W71" i="1" s="1"/>
  <c r="R82" i="14"/>
  <c r="W73" i="1" s="1"/>
  <c r="R84" i="14"/>
  <c r="W75" i="1" s="1"/>
  <c r="R86" i="14"/>
  <c r="W77" i="1" s="1"/>
  <c r="R88" i="14"/>
  <c r="W79" i="1" s="1"/>
  <c r="R90" i="14"/>
  <c r="W81" i="1" s="1"/>
  <c r="R92" i="14"/>
  <c r="W83" i="1" s="1"/>
  <c r="R94" i="14"/>
  <c r="W85" i="1" s="1"/>
  <c r="R96" i="14"/>
  <c r="W87" i="1" s="1"/>
  <c r="R98" i="14"/>
  <c r="W89" i="1" s="1"/>
  <c r="R100" i="14"/>
  <c r="W91" i="1" s="1"/>
  <c r="R102" i="14"/>
  <c r="W93" i="1" s="1"/>
  <c r="R104" i="14"/>
  <c r="W95" i="1" s="1"/>
  <c r="R106" i="14"/>
  <c r="W97" i="1" s="1"/>
  <c r="R108" i="14"/>
  <c r="W99" i="1" s="1"/>
  <c r="R110" i="14"/>
  <c r="W101" i="1" s="1"/>
  <c r="R112" i="14"/>
  <c r="W103" i="1" s="1"/>
  <c r="R114" i="14"/>
  <c r="W105" i="1" s="1"/>
  <c r="R116" i="14"/>
  <c r="W107" i="1" s="1"/>
  <c r="R118" i="14"/>
  <c r="W109" i="1" s="1"/>
  <c r="S18" i="14"/>
  <c r="Z9" i="1" s="1"/>
  <c r="S24" i="14"/>
  <c r="Z15" i="1" s="1"/>
  <c r="S32" i="14"/>
  <c r="Z23" i="1" s="1"/>
  <c r="S40" i="14"/>
  <c r="Z31" i="1" s="1"/>
  <c r="S48" i="14"/>
  <c r="Z39" i="1" s="1"/>
  <c r="S54" i="14"/>
  <c r="Z45" i="1" s="1"/>
  <c r="S62" i="14"/>
  <c r="Z53" i="1" s="1"/>
  <c r="S72" i="14"/>
  <c r="Z63" i="1" s="1"/>
  <c r="S80" i="14"/>
  <c r="Z71" i="1" s="1"/>
  <c r="S90" i="14"/>
  <c r="Z81" i="1" s="1"/>
  <c r="S102" i="14"/>
  <c r="Z93" i="1" s="1"/>
  <c r="S108" i="14"/>
  <c r="Z99" i="1" s="1"/>
  <c r="S116" i="14"/>
  <c r="Z107" i="1" s="1"/>
  <c r="T22" i="14"/>
  <c r="X13" i="1" s="1"/>
  <c r="T32" i="14"/>
  <c r="X23" i="1" s="1"/>
  <c r="T42" i="14"/>
  <c r="X33" i="1" s="1"/>
  <c r="T52" i="14"/>
  <c r="X43" i="1" s="1"/>
  <c r="T58" i="14"/>
  <c r="X49" i="1" s="1"/>
  <c r="T68" i="14"/>
  <c r="X59" i="1" s="1"/>
  <c r="T76" i="14"/>
  <c r="X67" i="1" s="1"/>
  <c r="T84" i="14"/>
  <c r="X75" i="1" s="1"/>
  <c r="T96" i="14"/>
  <c r="X87" i="1" s="1"/>
  <c r="T110" i="14"/>
  <c r="X101" i="1" s="1"/>
  <c r="T118" i="14"/>
  <c r="X109" i="1" s="1"/>
  <c r="W16" i="14"/>
  <c r="AA7" i="1" s="1"/>
  <c r="V16" i="14"/>
  <c r="BG7" i="1" s="1"/>
  <c r="O16" i="14"/>
  <c r="AQ7" i="1" s="1"/>
  <c r="P16" i="14"/>
  <c r="AR7" i="1" s="1"/>
  <c r="AA46" i="1"/>
  <c r="AA31" i="1"/>
  <c r="AA32" i="1"/>
  <c r="AA35" i="1"/>
  <c r="AA33" i="1"/>
  <c r="AA34" i="1"/>
  <c r="AA36" i="1"/>
  <c r="I96" i="5"/>
  <c r="AG97" i="5"/>
  <c r="EK113" i="9" a="1"/>
  <c r="EK113" i="9" s="1"/>
  <c r="EK114" i="9" a="1"/>
  <c r="EK114" i="9" s="1"/>
  <c r="CN113" i="9" a="1"/>
  <c r="CN113" i="9" s="1"/>
  <c r="CN114" i="9" a="1"/>
  <c r="CN114" i="9" s="1"/>
  <c r="AR113" i="9" a="1"/>
  <c r="AR113" i="9" s="1"/>
  <c r="AR114" i="9" a="1"/>
  <c r="AR114" i="9" s="1"/>
  <c r="AR10" i="9" a="1"/>
  <c r="AR10" i="9" s="1"/>
  <c r="AR14" i="9" a="1"/>
  <c r="AR14" i="9" s="1"/>
  <c r="AR18" i="9" a="1"/>
  <c r="AR18" i="9" s="1"/>
  <c r="AR22" i="9" a="1"/>
  <c r="AR22" i="9" s="1"/>
  <c r="AR26" i="9" a="1"/>
  <c r="AR26" i="9" s="1"/>
  <c r="AR11" i="9" a="1"/>
  <c r="AR11" i="9" s="1"/>
  <c r="AR15" i="9" a="1"/>
  <c r="AR15" i="9" s="1"/>
  <c r="AR19" i="9" a="1"/>
  <c r="AR19" i="9" s="1"/>
  <c r="AR23" i="9" a="1"/>
  <c r="AR23" i="9" s="1"/>
  <c r="AR27" i="9" a="1"/>
  <c r="AR27" i="9" s="1"/>
  <c r="AR31" i="9" a="1"/>
  <c r="AR31" i="9" s="1"/>
  <c r="AR35" i="9" a="1"/>
  <c r="AR35" i="9" s="1"/>
  <c r="AR39" i="9" a="1"/>
  <c r="AR39" i="9" s="1"/>
  <c r="AR43" i="9" a="1"/>
  <c r="AR43" i="9" s="1"/>
  <c r="AR47" i="9" a="1"/>
  <c r="AR47" i="9" s="1"/>
  <c r="AR51" i="9" a="1"/>
  <c r="AR51" i="9" s="1"/>
  <c r="AR13" i="9" a="1"/>
  <c r="AR13" i="9" s="1"/>
  <c r="AR21" i="9" a="1"/>
  <c r="AR21" i="9" s="1"/>
  <c r="AR29" i="9" a="1"/>
  <c r="AR29" i="9" s="1"/>
  <c r="AR34" i="9" a="1"/>
  <c r="AR34" i="9" s="1"/>
  <c r="AR40" i="9" a="1"/>
  <c r="AR40" i="9" s="1"/>
  <c r="AR45" i="9" a="1"/>
  <c r="AR45" i="9" s="1"/>
  <c r="AR50" i="9" a="1"/>
  <c r="AR50" i="9" s="1"/>
  <c r="AR55" i="9" a="1"/>
  <c r="AR55" i="9" s="1"/>
  <c r="AR59" i="9" a="1"/>
  <c r="AR59" i="9" s="1"/>
  <c r="AR63" i="9" a="1"/>
  <c r="AR63" i="9" s="1"/>
  <c r="AR67" i="9" a="1"/>
  <c r="AR67" i="9" s="1"/>
  <c r="AR71" i="9" a="1"/>
  <c r="AR71" i="9" s="1"/>
  <c r="AR75" i="9" a="1"/>
  <c r="AR75" i="9" s="1"/>
  <c r="AR79" i="9" a="1"/>
  <c r="AR79" i="9" s="1"/>
  <c r="AR83" i="9" a="1"/>
  <c r="AR83" i="9" s="1"/>
  <c r="AR87" i="9" a="1"/>
  <c r="AR87" i="9" s="1"/>
  <c r="AR91" i="9" a="1"/>
  <c r="AR91" i="9" s="1"/>
  <c r="AR95" i="9" a="1"/>
  <c r="AR95" i="9" s="1"/>
  <c r="AR99" i="9" a="1"/>
  <c r="AR99" i="9" s="1"/>
  <c r="AR103" i="9" a="1"/>
  <c r="AR103" i="9" s="1"/>
  <c r="AR107" i="9" a="1"/>
  <c r="AR107" i="9" s="1"/>
  <c r="AR111" i="9" a="1"/>
  <c r="AR111" i="9" s="1"/>
  <c r="AR112" i="9" a="1"/>
  <c r="AR112" i="9" s="1"/>
  <c r="AR102" i="9" a="1"/>
  <c r="AR102" i="9" s="1"/>
  <c r="AR16" i="9" a="1"/>
  <c r="AR16" i="9" s="1"/>
  <c r="AR24" i="9" a="1"/>
  <c r="AR24" i="9" s="1"/>
  <c r="AR30" i="9" a="1"/>
  <c r="AR30" i="9" s="1"/>
  <c r="AR36" i="9" a="1"/>
  <c r="AR36" i="9" s="1"/>
  <c r="AR41" i="9" a="1"/>
  <c r="AR41" i="9" s="1"/>
  <c r="AR46" i="9" a="1"/>
  <c r="AR46" i="9" s="1"/>
  <c r="AR52" i="9" a="1"/>
  <c r="AR52" i="9" s="1"/>
  <c r="AR56" i="9" a="1"/>
  <c r="AR56" i="9" s="1"/>
  <c r="AR60" i="9" a="1"/>
  <c r="AR60" i="9" s="1"/>
  <c r="AR64" i="9" a="1"/>
  <c r="AR64" i="9" s="1"/>
  <c r="AR68" i="9" a="1"/>
  <c r="AR68" i="9" s="1"/>
  <c r="AR72" i="9" a="1"/>
  <c r="AR72" i="9" s="1"/>
  <c r="AR76" i="9" a="1"/>
  <c r="AR76" i="9" s="1"/>
  <c r="AR80" i="9" a="1"/>
  <c r="AR80" i="9" s="1"/>
  <c r="AR84" i="9" a="1"/>
  <c r="AR84" i="9" s="1"/>
  <c r="AR88" i="9" a="1"/>
  <c r="AR88" i="9" s="1"/>
  <c r="AR92" i="9" a="1"/>
  <c r="AR92" i="9" s="1"/>
  <c r="AR96" i="9" a="1"/>
  <c r="AR96" i="9" s="1"/>
  <c r="AR100" i="9" a="1"/>
  <c r="AR100" i="9" s="1"/>
  <c r="AR104" i="9" a="1"/>
  <c r="AR104" i="9" s="1"/>
  <c r="AR108" i="9" a="1"/>
  <c r="AR108" i="9" s="1"/>
  <c r="AR94" i="9" a="1"/>
  <c r="AR94" i="9" s="1"/>
  <c r="AR110" i="9" a="1"/>
  <c r="AR110" i="9" s="1"/>
  <c r="AR9" i="9" a="1"/>
  <c r="AR9" i="9" s="1"/>
  <c r="AR17" i="9" a="1"/>
  <c r="AR17" i="9" s="1"/>
  <c r="AR25" i="9" a="1"/>
  <c r="AR25" i="9" s="1"/>
  <c r="AR32" i="9" a="1"/>
  <c r="AR32" i="9" s="1"/>
  <c r="AR37" i="9" a="1"/>
  <c r="AR37" i="9" s="1"/>
  <c r="AR42" i="9" a="1"/>
  <c r="AR42" i="9" s="1"/>
  <c r="AR48" i="9" a="1"/>
  <c r="AR48" i="9" s="1"/>
  <c r="AR53" i="9" a="1"/>
  <c r="AR53" i="9" s="1"/>
  <c r="AR57" i="9" a="1"/>
  <c r="AR57" i="9" s="1"/>
  <c r="AR61" i="9" a="1"/>
  <c r="AR61" i="9" s="1"/>
  <c r="AR65" i="9" a="1"/>
  <c r="AR65" i="9" s="1"/>
  <c r="AR69" i="9" a="1"/>
  <c r="AR69" i="9" s="1"/>
  <c r="AR73" i="9" a="1"/>
  <c r="AR73" i="9" s="1"/>
  <c r="AR77" i="9" a="1"/>
  <c r="AR77" i="9" s="1"/>
  <c r="AR81" i="9" a="1"/>
  <c r="AR81" i="9" s="1"/>
  <c r="AR85" i="9" a="1"/>
  <c r="AR85" i="9" s="1"/>
  <c r="AR89" i="9" a="1"/>
  <c r="AR89" i="9" s="1"/>
  <c r="AR93" i="9" a="1"/>
  <c r="AR93" i="9" s="1"/>
  <c r="AR97" i="9" a="1"/>
  <c r="AR97" i="9" s="1"/>
  <c r="AR101" i="9" a="1"/>
  <c r="AR101" i="9" s="1"/>
  <c r="AR105" i="9" a="1"/>
  <c r="AR105" i="9" s="1"/>
  <c r="AR109" i="9" a="1"/>
  <c r="AR109" i="9" s="1"/>
  <c r="AR62" i="9" a="1"/>
  <c r="AR62" i="9" s="1"/>
  <c r="AR70" i="9" a="1"/>
  <c r="AR70" i="9" s="1"/>
  <c r="AR78" i="9" a="1"/>
  <c r="AR78" i="9" s="1"/>
  <c r="AR86" i="9" a="1"/>
  <c r="AR86" i="9" s="1"/>
  <c r="AR98" i="9" a="1"/>
  <c r="AR98" i="9" s="1"/>
  <c r="AR12" i="9" a="1"/>
  <c r="AR12" i="9" s="1"/>
  <c r="AR20" i="9" a="1"/>
  <c r="AR20" i="9" s="1"/>
  <c r="AR28" i="9" a="1"/>
  <c r="AR28" i="9" s="1"/>
  <c r="AR33" i="9" a="1"/>
  <c r="AR33" i="9" s="1"/>
  <c r="AR38" i="9" a="1"/>
  <c r="AR38" i="9" s="1"/>
  <c r="AR44" i="9" a="1"/>
  <c r="AR44" i="9" s="1"/>
  <c r="AR49" i="9" a="1"/>
  <c r="AR49" i="9" s="1"/>
  <c r="AR54" i="9" a="1"/>
  <c r="AR54" i="9" s="1"/>
  <c r="AR58" i="9" a="1"/>
  <c r="AR58" i="9" s="1"/>
  <c r="AR66" i="9" a="1"/>
  <c r="AR66" i="9" s="1"/>
  <c r="AR74" i="9" a="1"/>
  <c r="AR74" i="9" s="1"/>
  <c r="AR82" i="9" a="1"/>
  <c r="AR82" i="9" s="1"/>
  <c r="AR90" i="9" a="1"/>
  <c r="AR90" i="9" s="1"/>
  <c r="AR106" i="9" a="1"/>
  <c r="AR106" i="9" s="1"/>
  <c r="EK9" i="9" a="1"/>
  <c r="EK9" i="9" s="1"/>
  <c r="EK12" i="9" a="1"/>
  <c r="EK12" i="9" s="1"/>
  <c r="EK17" i="9" a="1"/>
  <c r="EK17" i="9" s="1"/>
  <c r="EK20" i="9" a="1"/>
  <c r="EK20" i="9" s="1"/>
  <c r="EK25" i="9" a="1"/>
  <c r="EK25" i="9" s="1"/>
  <c r="EK28" i="9" a="1"/>
  <c r="EK28" i="9" s="1"/>
  <c r="EK33" i="9" a="1"/>
  <c r="EK33" i="9" s="1"/>
  <c r="EK36" i="9" a="1"/>
  <c r="EK36" i="9" s="1"/>
  <c r="EK41" i="9" a="1"/>
  <c r="EK41" i="9" s="1"/>
  <c r="EK44" i="9" a="1"/>
  <c r="EK44" i="9" s="1"/>
  <c r="EK49" i="9" a="1"/>
  <c r="EK49" i="9" s="1"/>
  <c r="EK53" i="9" a="1"/>
  <c r="EK53" i="9" s="1"/>
  <c r="EK57" i="9" a="1"/>
  <c r="EK57" i="9" s="1"/>
  <c r="EK61" i="9" a="1"/>
  <c r="EK61" i="9" s="1"/>
  <c r="EK65" i="9" a="1"/>
  <c r="EK65" i="9" s="1"/>
  <c r="EK69" i="9" a="1"/>
  <c r="EK69" i="9" s="1"/>
  <c r="EK73" i="9" a="1"/>
  <c r="EK73" i="9" s="1"/>
  <c r="EK77" i="9" a="1"/>
  <c r="EK77" i="9" s="1"/>
  <c r="EK81" i="9" a="1"/>
  <c r="EK81" i="9" s="1"/>
  <c r="EK85" i="9" a="1"/>
  <c r="EK85" i="9" s="1"/>
  <c r="EK89" i="9" a="1"/>
  <c r="EK89" i="9" s="1"/>
  <c r="EK93" i="9" a="1"/>
  <c r="EK93" i="9" s="1"/>
  <c r="EK97" i="9" a="1"/>
  <c r="EK97" i="9" s="1"/>
  <c r="EK101" i="9" a="1"/>
  <c r="EK101" i="9" s="1"/>
  <c r="EK105" i="9" a="1"/>
  <c r="EK105" i="9" s="1"/>
  <c r="EK109" i="9" a="1"/>
  <c r="EK109" i="9" s="1"/>
  <c r="EK10" i="9" a="1"/>
  <c r="EK10" i="9" s="1"/>
  <c r="EK15" i="9" a="1"/>
  <c r="EK15" i="9" s="1"/>
  <c r="EK18" i="9" a="1"/>
  <c r="EK18" i="9" s="1"/>
  <c r="EK23" i="9" a="1"/>
  <c r="EK23" i="9" s="1"/>
  <c r="EK26" i="9" a="1"/>
  <c r="EK26" i="9" s="1"/>
  <c r="EK31" i="9" a="1"/>
  <c r="EK31" i="9" s="1"/>
  <c r="EK34" i="9" a="1"/>
  <c r="EK34" i="9" s="1"/>
  <c r="EK39" i="9" a="1"/>
  <c r="EK39" i="9" s="1"/>
  <c r="EK42" i="9" a="1"/>
  <c r="EK42" i="9" s="1"/>
  <c r="EK47" i="9" a="1"/>
  <c r="EK47" i="9" s="1"/>
  <c r="EK50" i="9" a="1"/>
  <c r="EK50" i="9" s="1"/>
  <c r="EK54" i="9" a="1"/>
  <c r="EK54" i="9" s="1"/>
  <c r="EK58" i="9" a="1"/>
  <c r="EK58" i="9" s="1"/>
  <c r="EK62" i="9" a="1"/>
  <c r="EK62" i="9" s="1"/>
  <c r="EK66" i="9" a="1"/>
  <c r="EK66" i="9" s="1"/>
  <c r="EK70" i="9" a="1"/>
  <c r="EK70" i="9" s="1"/>
  <c r="EK74" i="9" a="1"/>
  <c r="EK74" i="9" s="1"/>
  <c r="EK78" i="9" a="1"/>
  <c r="EK78" i="9" s="1"/>
  <c r="EK82" i="9" a="1"/>
  <c r="EK82" i="9" s="1"/>
  <c r="EK86" i="9" a="1"/>
  <c r="EK86" i="9" s="1"/>
  <c r="EK90" i="9" a="1"/>
  <c r="EK90" i="9" s="1"/>
  <c r="EK94" i="9" a="1"/>
  <c r="EK94" i="9" s="1"/>
  <c r="EK98" i="9" a="1"/>
  <c r="EK98" i="9" s="1"/>
  <c r="EK102" i="9" a="1"/>
  <c r="EK102" i="9" s="1"/>
  <c r="EK106" i="9" a="1"/>
  <c r="EK106" i="9" s="1"/>
  <c r="EK110" i="9" a="1"/>
  <c r="EK110" i="9" s="1"/>
  <c r="EK13" i="9" a="1"/>
  <c r="EK13" i="9" s="1"/>
  <c r="EK16" i="9" a="1"/>
  <c r="EK16" i="9" s="1"/>
  <c r="EK21" i="9" a="1"/>
  <c r="EK21" i="9" s="1"/>
  <c r="EK24" i="9" a="1"/>
  <c r="EK24" i="9" s="1"/>
  <c r="EK29" i="9" a="1"/>
  <c r="EK29" i="9" s="1"/>
  <c r="EK32" i="9" a="1"/>
  <c r="EK32" i="9" s="1"/>
  <c r="EK37" i="9" a="1"/>
  <c r="EK37" i="9" s="1"/>
  <c r="EK40" i="9" a="1"/>
  <c r="EK40" i="9" s="1"/>
  <c r="EK45" i="9" a="1"/>
  <c r="EK45" i="9" s="1"/>
  <c r="EK48" i="9" a="1"/>
  <c r="EK48" i="9" s="1"/>
  <c r="EK51" i="9" a="1"/>
  <c r="EK51" i="9" s="1"/>
  <c r="EK55" i="9" a="1"/>
  <c r="EK55" i="9" s="1"/>
  <c r="EK59" i="9" a="1"/>
  <c r="EK59" i="9" s="1"/>
  <c r="EK63" i="9" a="1"/>
  <c r="EK63" i="9" s="1"/>
  <c r="EK67" i="9" a="1"/>
  <c r="EK67" i="9" s="1"/>
  <c r="EK71" i="9" a="1"/>
  <c r="EK71" i="9" s="1"/>
  <c r="EK75" i="9" a="1"/>
  <c r="EK75" i="9" s="1"/>
  <c r="EK79" i="9" a="1"/>
  <c r="EK79" i="9" s="1"/>
  <c r="EK83" i="9" a="1"/>
  <c r="EK83" i="9" s="1"/>
  <c r="EK87" i="9" a="1"/>
  <c r="EK87" i="9" s="1"/>
  <c r="EK91" i="9" a="1"/>
  <c r="EK91" i="9" s="1"/>
  <c r="EK95" i="9" a="1"/>
  <c r="EK95" i="9" s="1"/>
  <c r="EK99" i="9" a="1"/>
  <c r="EK99" i="9" s="1"/>
  <c r="EK103" i="9" a="1"/>
  <c r="EK103" i="9" s="1"/>
  <c r="EK107" i="9" a="1"/>
  <c r="EK107" i="9" s="1"/>
  <c r="EK111" i="9" a="1"/>
  <c r="EK111" i="9" s="1"/>
  <c r="EK14" i="9" a="1"/>
  <c r="EK14" i="9" s="1"/>
  <c r="EK35" i="9" a="1"/>
  <c r="EK35" i="9" s="1"/>
  <c r="EK46" i="9" a="1"/>
  <c r="EK46" i="9" s="1"/>
  <c r="EK60" i="9" a="1"/>
  <c r="EK60" i="9" s="1"/>
  <c r="EK76" i="9" a="1"/>
  <c r="EK76" i="9" s="1"/>
  <c r="EK92" i="9" a="1"/>
  <c r="EK92" i="9" s="1"/>
  <c r="EK108" i="9" a="1"/>
  <c r="EK108" i="9" s="1"/>
  <c r="EK27" i="9" a="1"/>
  <c r="EK27" i="9" s="1"/>
  <c r="EK38" i="9" a="1"/>
  <c r="EK38" i="9" s="1"/>
  <c r="EK64" i="9" a="1"/>
  <c r="EK64" i="9" s="1"/>
  <c r="EK80" i="9" a="1"/>
  <c r="EK80" i="9" s="1"/>
  <c r="EK96" i="9" a="1"/>
  <c r="EK96" i="9" s="1"/>
  <c r="EK112" i="9" a="1"/>
  <c r="EK112" i="9" s="1"/>
  <c r="EK19" i="9" a="1"/>
  <c r="EK19" i="9" s="1"/>
  <c r="EK30" i="9" a="1"/>
  <c r="EK30" i="9" s="1"/>
  <c r="EK52" i="9" a="1"/>
  <c r="EK52" i="9" s="1"/>
  <c r="EK68" i="9" a="1"/>
  <c r="EK68" i="9" s="1"/>
  <c r="EK84" i="9" a="1"/>
  <c r="EK84" i="9" s="1"/>
  <c r="EK100" i="9" a="1"/>
  <c r="EK100" i="9" s="1"/>
  <c r="EK11" i="9" a="1"/>
  <c r="EK11" i="9" s="1"/>
  <c r="EK22" i="9" a="1"/>
  <c r="EK22" i="9" s="1"/>
  <c r="EK43" i="9" a="1"/>
  <c r="EK43" i="9" s="1"/>
  <c r="EK56" i="9" a="1"/>
  <c r="EK56" i="9" s="1"/>
  <c r="EK72" i="9" a="1"/>
  <c r="EK72" i="9" s="1"/>
  <c r="EK88" i="9" a="1"/>
  <c r="EK88" i="9" s="1"/>
  <c r="EK104" i="9" a="1"/>
  <c r="EK104" i="9" s="1"/>
  <c r="CN9" i="9" a="1"/>
  <c r="CN9" i="9" s="1"/>
  <c r="CN12" i="9" a="1"/>
  <c r="CN12" i="9" s="1"/>
  <c r="CN17" i="9" a="1"/>
  <c r="CN17" i="9" s="1"/>
  <c r="CN20" i="9" a="1"/>
  <c r="CN20" i="9" s="1"/>
  <c r="CN25" i="9" a="1"/>
  <c r="CN25" i="9" s="1"/>
  <c r="CN28" i="9" a="1"/>
  <c r="CN28" i="9" s="1"/>
  <c r="CN33" i="9" a="1"/>
  <c r="CN33" i="9" s="1"/>
  <c r="CN36" i="9" a="1"/>
  <c r="CN36" i="9" s="1"/>
  <c r="CN41" i="9" a="1"/>
  <c r="CN41" i="9" s="1"/>
  <c r="CN44" i="9" a="1"/>
  <c r="CN44" i="9" s="1"/>
  <c r="CN49" i="9" a="1"/>
  <c r="CN49" i="9" s="1"/>
  <c r="CN52" i="9" a="1"/>
  <c r="CN52" i="9" s="1"/>
  <c r="CN57" i="9" a="1"/>
  <c r="CN57" i="9" s="1"/>
  <c r="CN60" i="9" a="1"/>
  <c r="CN60" i="9" s="1"/>
  <c r="CN65" i="9" a="1"/>
  <c r="CN65" i="9" s="1"/>
  <c r="CN68" i="9" a="1"/>
  <c r="CN68" i="9" s="1"/>
  <c r="CN73" i="9" a="1"/>
  <c r="CN73" i="9" s="1"/>
  <c r="CN76" i="9" a="1"/>
  <c r="CN76" i="9" s="1"/>
  <c r="CN81" i="9" a="1"/>
  <c r="CN81" i="9" s="1"/>
  <c r="CN85" i="9" a="1"/>
  <c r="CN85" i="9" s="1"/>
  <c r="CN89" i="9" a="1"/>
  <c r="CN89" i="9" s="1"/>
  <c r="CN93" i="9" a="1"/>
  <c r="CN93" i="9" s="1"/>
  <c r="CN97" i="9" a="1"/>
  <c r="CN97" i="9" s="1"/>
  <c r="CN101" i="9" a="1"/>
  <c r="CN101" i="9" s="1"/>
  <c r="CN105" i="9" a="1"/>
  <c r="CN105" i="9" s="1"/>
  <c r="CN109" i="9" a="1"/>
  <c r="CN109" i="9" s="1"/>
  <c r="CN10" i="9" a="1"/>
  <c r="CN10" i="9" s="1"/>
  <c r="CN15" i="9" a="1"/>
  <c r="CN15" i="9" s="1"/>
  <c r="CN18" i="9" a="1"/>
  <c r="CN18" i="9" s="1"/>
  <c r="CN23" i="9" a="1"/>
  <c r="CN23" i="9" s="1"/>
  <c r="CN26" i="9" a="1"/>
  <c r="CN26" i="9" s="1"/>
  <c r="CN31" i="9" a="1"/>
  <c r="CN31" i="9" s="1"/>
  <c r="CN34" i="9" a="1"/>
  <c r="CN34" i="9" s="1"/>
  <c r="CN39" i="9" a="1"/>
  <c r="CN39" i="9" s="1"/>
  <c r="CN42" i="9" a="1"/>
  <c r="CN42" i="9" s="1"/>
  <c r="CN47" i="9" a="1"/>
  <c r="CN47" i="9" s="1"/>
  <c r="CN50" i="9" a="1"/>
  <c r="CN50" i="9" s="1"/>
  <c r="CN55" i="9" a="1"/>
  <c r="CN55" i="9" s="1"/>
  <c r="CN58" i="9" a="1"/>
  <c r="CN58" i="9" s="1"/>
  <c r="CN63" i="9" a="1"/>
  <c r="CN63" i="9" s="1"/>
  <c r="CN66" i="9" a="1"/>
  <c r="CN66" i="9" s="1"/>
  <c r="CN71" i="9" a="1"/>
  <c r="CN71" i="9" s="1"/>
  <c r="CN74" i="9" a="1"/>
  <c r="CN74" i="9" s="1"/>
  <c r="CN79" i="9" a="1"/>
  <c r="CN79" i="9" s="1"/>
  <c r="CN82" i="9" a="1"/>
  <c r="CN82" i="9" s="1"/>
  <c r="CN86" i="9" a="1"/>
  <c r="CN86" i="9" s="1"/>
  <c r="CN90" i="9" a="1"/>
  <c r="CN90" i="9" s="1"/>
  <c r="CN94" i="9" a="1"/>
  <c r="CN94" i="9" s="1"/>
  <c r="CN98" i="9" a="1"/>
  <c r="CN98" i="9" s="1"/>
  <c r="CN102" i="9" a="1"/>
  <c r="CN102" i="9" s="1"/>
  <c r="CN106" i="9" a="1"/>
  <c r="CN106" i="9" s="1"/>
  <c r="CN110" i="9" a="1"/>
  <c r="CN110" i="9" s="1"/>
  <c r="CN13" i="9" a="1"/>
  <c r="CN13" i="9" s="1"/>
  <c r="CN16" i="9" a="1"/>
  <c r="CN16" i="9" s="1"/>
  <c r="CN21" i="9" a="1"/>
  <c r="CN21" i="9" s="1"/>
  <c r="CN24" i="9" a="1"/>
  <c r="CN24" i="9" s="1"/>
  <c r="CN29" i="9" a="1"/>
  <c r="CN29" i="9" s="1"/>
  <c r="CN32" i="9" a="1"/>
  <c r="CN32" i="9" s="1"/>
  <c r="CN37" i="9" a="1"/>
  <c r="CN37" i="9" s="1"/>
  <c r="CN40" i="9" a="1"/>
  <c r="CN40" i="9" s="1"/>
  <c r="CN45" i="9" a="1"/>
  <c r="CN45" i="9" s="1"/>
  <c r="CN48" i="9" a="1"/>
  <c r="CN48" i="9" s="1"/>
  <c r="CN53" i="9" a="1"/>
  <c r="CN53" i="9" s="1"/>
  <c r="CN56" i="9" a="1"/>
  <c r="CN56" i="9" s="1"/>
  <c r="CN61" i="9" a="1"/>
  <c r="CN61" i="9" s="1"/>
  <c r="CN64" i="9" a="1"/>
  <c r="CN64" i="9" s="1"/>
  <c r="CN69" i="9" a="1"/>
  <c r="CN69" i="9" s="1"/>
  <c r="CN72" i="9" a="1"/>
  <c r="CN72" i="9" s="1"/>
  <c r="CN77" i="9" a="1"/>
  <c r="CN77" i="9" s="1"/>
  <c r="CN80" i="9" a="1"/>
  <c r="CN80" i="9" s="1"/>
  <c r="CN83" i="9" a="1"/>
  <c r="CN83" i="9" s="1"/>
  <c r="CN87" i="9" a="1"/>
  <c r="CN87" i="9" s="1"/>
  <c r="CN91" i="9" a="1"/>
  <c r="CN91" i="9" s="1"/>
  <c r="CN95" i="9" a="1"/>
  <c r="CN95" i="9" s="1"/>
  <c r="CN99" i="9" a="1"/>
  <c r="CN99" i="9" s="1"/>
  <c r="CN103" i="9" a="1"/>
  <c r="CN103" i="9" s="1"/>
  <c r="CN107" i="9" a="1"/>
  <c r="CN107" i="9" s="1"/>
  <c r="CN111" i="9" a="1"/>
  <c r="CN111" i="9" s="1"/>
  <c r="CN11" i="9" a="1"/>
  <c r="CN11" i="9" s="1"/>
  <c r="CN22" i="9" a="1"/>
  <c r="CN22" i="9" s="1"/>
  <c r="CN43" i="9" a="1"/>
  <c r="CN43" i="9" s="1"/>
  <c r="CN54" i="9" a="1"/>
  <c r="CN54" i="9" s="1"/>
  <c r="CN75" i="9" a="1"/>
  <c r="CN75" i="9" s="1"/>
  <c r="CN88" i="9" a="1"/>
  <c r="CN88" i="9" s="1"/>
  <c r="CN104" i="9" a="1"/>
  <c r="CN104" i="9" s="1"/>
  <c r="CN14" i="9" a="1"/>
  <c r="CN14" i="9" s="1"/>
  <c r="CN35" i="9" a="1"/>
  <c r="CN35" i="9" s="1"/>
  <c r="CN46" i="9" a="1"/>
  <c r="CN46" i="9" s="1"/>
  <c r="CN67" i="9" a="1"/>
  <c r="CN67" i="9" s="1"/>
  <c r="CN78" i="9" a="1"/>
  <c r="CN78" i="9" s="1"/>
  <c r="CN92" i="9" a="1"/>
  <c r="CN92" i="9" s="1"/>
  <c r="CN108" i="9" a="1"/>
  <c r="CN108" i="9" s="1"/>
  <c r="CN27" i="9" a="1"/>
  <c r="CN27" i="9" s="1"/>
  <c r="CN38" i="9" a="1"/>
  <c r="CN38" i="9" s="1"/>
  <c r="CN59" i="9" a="1"/>
  <c r="CN59" i="9" s="1"/>
  <c r="CN70" i="9" a="1"/>
  <c r="CN70" i="9" s="1"/>
  <c r="CN96" i="9" a="1"/>
  <c r="CN96" i="9" s="1"/>
  <c r="CN112" i="9" a="1"/>
  <c r="CN112" i="9" s="1"/>
  <c r="CN19" i="9" a="1"/>
  <c r="CN19" i="9" s="1"/>
  <c r="CN30" i="9" a="1"/>
  <c r="CN30" i="9" s="1"/>
  <c r="CN51" i="9" a="1"/>
  <c r="CN51" i="9" s="1"/>
  <c r="CN62" i="9" a="1"/>
  <c r="CN62" i="9" s="1"/>
  <c r="CN84" i="9" a="1"/>
  <c r="CN84" i="9" s="1"/>
  <c r="CN100" i="9" a="1"/>
  <c r="CN100" i="9" s="1"/>
  <c r="AP2" i="9"/>
  <c r="AF97" i="5"/>
  <c r="I83" i="5" a="1"/>
  <c r="I83" i="5" s="1"/>
  <c r="H86" i="5" a="1"/>
  <c r="H86" i="5" s="1"/>
  <c r="H83" i="5" a="1"/>
  <c r="H83" i="5" s="1"/>
  <c r="I86" i="5" a="1"/>
  <c r="I86" i="5" s="1"/>
  <c r="I90" i="5" a="1"/>
  <c r="I90" i="5" s="1"/>
  <c r="I87" i="5" a="1"/>
  <c r="I87" i="5" s="1"/>
  <c r="I85" i="5" a="1"/>
  <c r="I85" i="5" s="1"/>
  <c r="I88" i="5" a="1"/>
  <c r="I88" i="5" s="1"/>
  <c r="H90" i="5" a="1"/>
  <c r="H90" i="5" s="1"/>
  <c r="H88" i="5" a="1"/>
  <c r="H88" i="5" s="1"/>
  <c r="I84" i="5" a="1"/>
  <c r="I84" i="5" s="1"/>
  <c r="H85" i="5" a="1"/>
  <c r="H85" i="5" s="1"/>
  <c r="H84" i="5" a="1"/>
  <c r="H84" i="5" s="1"/>
  <c r="AA96" i="5"/>
  <c r="AD96" i="5"/>
  <c r="AC96" i="5"/>
  <c r="AB96" i="5"/>
  <c r="U96" i="5"/>
  <c r="S96" i="5"/>
  <c r="R96" i="5"/>
  <c r="T96" i="5"/>
  <c r="K96" i="5"/>
  <c r="L96" i="5"/>
  <c r="J96" i="5"/>
  <c r="H74" i="5" a="1"/>
  <c r="H74" i="5" s="1"/>
  <c r="H71" i="5" a="1"/>
  <c r="H71" i="5" s="1"/>
  <c r="I71" i="5" a="1"/>
  <c r="I71" i="5" s="1"/>
  <c r="I74" i="5" a="1"/>
  <c r="I74" i="5" s="1"/>
  <c r="H78" i="5" a="1"/>
  <c r="H78" i="5" s="1"/>
  <c r="H76" i="5" a="1"/>
  <c r="H76" i="5" s="1"/>
  <c r="H72" i="5" a="1"/>
  <c r="H72" i="5" s="1"/>
  <c r="I75" i="5" a="1"/>
  <c r="I75" i="5" s="1"/>
  <c r="I78" i="5" a="1"/>
  <c r="I78" i="5" s="1"/>
  <c r="I72" i="5" a="1"/>
  <c r="I72" i="5" s="1"/>
  <c r="H73" i="5" a="1"/>
  <c r="H73" i="5" s="1"/>
  <c r="I73" i="5" a="1"/>
  <c r="I73" i="5" s="1"/>
  <c r="I62" i="5" a="1"/>
  <c r="I62" i="5" s="1"/>
  <c r="I59" i="5" a="1"/>
  <c r="I59" i="5" s="1"/>
  <c r="H62" i="5" a="1"/>
  <c r="H62" i="5" s="1"/>
  <c r="H60" i="5" a="1"/>
  <c r="H60" i="5" s="1"/>
  <c r="H64" i="5" a="1"/>
  <c r="H64" i="5" s="1"/>
  <c r="I64" i="5" a="1"/>
  <c r="I64" i="5" s="1"/>
  <c r="H61" i="5" a="1"/>
  <c r="H61" i="5" s="1"/>
  <c r="I63" i="5" a="1"/>
  <c r="I63" i="5" s="1"/>
  <c r="I60" i="5" a="1"/>
  <c r="I60" i="5" s="1"/>
  <c r="I66" i="5" a="1"/>
  <c r="I66" i="5" s="1"/>
  <c r="B98" i="5"/>
  <c r="AE97" i="5"/>
  <c r="C97" i="5"/>
  <c r="AQ4" i="9"/>
  <c r="CZ113" i="9" a="1"/>
  <c r="BC114" i="9" a="1"/>
  <c r="G113" i="9" a="1"/>
  <c r="CZ114" i="9" a="1"/>
  <c r="G114" i="9" a="1"/>
  <c r="BC113" i="9" a="1"/>
  <c r="C35" i="10" l="1" a="1"/>
  <c r="C35" i="10" s="1"/>
  <c r="I97" i="5"/>
  <c r="AG98" i="5"/>
  <c r="CZ113" i="9"/>
  <c r="CZ114" i="9"/>
  <c r="BC113" i="9"/>
  <c r="BC114" i="9"/>
  <c r="EI113" i="9" a="1"/>
  <c r="EI113" i="9" s="1"/>
  <c r="CM114" i="9" a="1"/>
  <c r="CM114" i="9" s="1"/>
  <c r="DA113" i="9" a="1"/>
  <c r="DA113" i="9" s="1"/>
  <c r="EI114" i="9" a="1"/>
  <c r="EI114" i="9" s="1"/>
  <c r="CL113" i="9" a="1"/>
  <c r="CL113" i="9" s="1"/>
  <c r="EJ114" i="9" a="1"/>
  <c r="EJ114" i="9" s="1"/>
  <c r="CM113" i="9" a="1"/>
  <c r="CM113" i="9" s="1"/>
  <c r="DA114" i="9" a="1"/>
  <c r="DA114" i="9" s="1"/>
  <c r="BD113" i="9" a="1"/>
  <c r="BD113" i="9" s="1"/>
  <c r="BD114" i="9" a="1"/>
  <c r="BD114" i="9" s="1"/>
  <c r="EJ113" i="9" a="1"/>
  <c r="EJ113" i="9" s="1"/>
  <c r="CL114" i="9" a="1"/>
  <c r="CL114" i="9" s="1"/>
  <c r="G113" i="9"/>
  <c r="G114" i="9"/>
  <c r="AP114" i="9" a="1"/>
  <c r="AP114" i="9" s="1"/>
  <c r="AP113" i="9" a="1"/>
  <c r="AP113" i="9" s="1"/>
  <c r="AQ114" i="9" a="1"/>
  <c r="AQ114" i="9" s="1"/>
  <c r="H113" i="9" a="1"/>
  <c r="H113" i="9" s="1"/>
  <c r="H114" i="9" a="1"/>
  <c r="H114" i="9" s="1"/>
  <c r="AQ113" i="9" a="1"/>
  <c r="AQ113" i="9" s="1"/>
  <c r="AF98" i="5"/>
  <c r="AA97" i="5"/>
  <c r="AC97" i="5"/>
  <c r="AB97" i="5"/>
  <c r="AD97" i="5"/>
  <c r="T97" i="5"/>
  <c r="U97" i="5"/>
  <c r="R97" i="5"/>
  <c r="S97" i="5"/>
  <c r="K97" i="5"/>
  <c r="L97" i="5"/>
  <c r="J97" i="5"/>
  <c r="B99" i="5"/>
  <c r="AE98" i="5"/>
  <c r="C98" i="5"/>
  <c r="AP4" i="9"/>
  <c r="G27" i="10"/>
  <c r="E27" i="10"/>
  <c r="H27" i="10"/>
  <c r="CL111" i="9" a="1"/>
  <c r="CL111" i="9" s="1"/>
  <c r="CL110" i="9" a="1"/>
  <c r="CL110" i="9" s="1"/>
  <c r="CL108" i="9" a="1"/>
  <c r="CL108" i="9" s="1"/>
  <c r="BD108" i="9" a="1"/>
  <c r="BD108" i="9" s="1"/>
  <c r="CL107" i="9" a="1"/>
  <c r="CL107" i="9" s="1"/>
  <c r="CM104" i="9" a="1"/>
  <c r="CM104" i="9" s="1"/>
  <c r="CM102" i="9" a="1"/>
  <c r="CM102" i="9" s="1"/>
  <c r="CM101" i="9" a="1"/>
  <c r="CM101" i="9" s="1"/>
  <c r="BD99" i="9" a="1"/>
  <c r="BD99" i="9" s="1"/>
  <c r="CM112" i="9" a="1"/>
  <c r="CM112" i="9" s="1"/>
  <c r="CM109" i="9" a="1"/>
  <c r="CM109" i="9" s="1"/>
  <c r="CM106" i="9" a="1"/>
  <c r="CM106" i="9" s="1"/>
  <c r="CM105" i="9" a="1"/>
  <c r="CM105" i="9" s="1"/>
  <c r="CM103" i="9" a="1"/>
  <c r="CM103" i="9" s="1"/>
  <c r="BD102" i="9" a="1"/>
  <c r="BD102" i="9" s="1"/>
  <c r="BD101" i="9" a="1"/>
  <c r="BD101" i="9" s="1"/>
  <c r="CL100" i="9" a="1"/>
  <c r="CL100" i="9" s="1"/>
  <c r="BD100" i="9" a="1"/>
  <c r="BD100" i="9" s="1"/>
  <c r="CM111" i="9" a="1"/>
  <c r="CM111" i="9" s="1"/>
  <c r="CM110" i="9" a="1"/>
  <c r="CM110" i="9" s="1"/>
  <c r="BD109" i="9" a="1"/>
  <c r="BD109" i="9" s="1"/>
  <c r="CM108" i="9" a="1"/>
  <c r="CM108" i="9" s="1"/>
  <c r="CM107" i="9" a="1"/>
  <c r="CM107" i="9" s="1"/>
  <c r="BD105" i="9" a="1"/>
  <c r="BD105" i="9" s="1"/>
  <c r="CL104" i="9" a="1"/>
  <c r="CL104" i="9" s="1"/>
  <c r="BD104" i="9" a="1"/>
  <c r="BD104" i="9" s="1"/>
  <c r="BD103" i="9" a="1"/>
  <c r="BD103" i="9" s="1"/>
  <c r="CL102" i="9" a="1"/>
  <c r="CL102" i="9" s="1"/>
  <c r="CL101" i="9" a="1"/>
  <c r="CL101" i="9" s="1"/>
  <c r="CM96" i="9" a="1"/>
  <c r="CM96" i="9" s="1"/>
  <c r="CM95" i="9" a="1"/>
  <c r="CM95" i="9" s="1"/>
  <c r="CM94" i="9" a="1"/>
  <c r="CM94" i="9" s="1"/>
  <c r="CL112" i="9" a="1"/>
  <c r="CL112" i="9" s="1"/>
  <c r="BD112" i="9" a="1"/>
  <c r="BD112" i="9" s="1"/>
  <c r="BD111" i="9" a="1"/>
  <c r="BD111" i="9" s="1"/>
  <c r="BD110" i="9" a="1"/>
  <c r="BD110" i="9" s="1"/>
  <c r="CL109" i="9" a="1"/>
  <c r="CL109" i="9" s="1"/>
  <c r="BD107" i="9" a="1"/>
  <c r="BD107" i="9" s="1"/>
  <c r="CL106" i="9" a="1"/>
  <c r="CL106" i="9" s="1"/>
  <c r="BD106" i="9" a="1"/>
  <c r="BD106" i="9" s="1"/>
  <c r="CL105" i="9" a="1"/>
  <c r="CL105" i="9" s="1"/>
  <c r="CL103" i="9" a="1"/>
  <c r="CL103" i="9" s="1"/>
  <c r="CM100" i="9" a="1"/>
  <c r="CM100" i="9" s="1"/>
  <c r="CM99" i="9" a="1"/>
  <c r="CM99" i="9" s="1"/>
  <c r="CM98" i="9" a="1"/>
  <c r="CM98" i="9" s="1"/>
  <c r="CM97" i="9" a="1"/>
  <c r="CM97" i="9" s="1"/>
  <c r="BD95" i="9" a="1"/>
  <c r="BD95" i="9" s="1"/>
  <c r="BD98" i="9" a="1"/>
  <c r="BD98" i="9" s="1"/>
  <c r="CL97" i="9" a="1"/>
  <c r="CL97" i="9" s="1"/>
  <c r="BD94" i="9" a="1"/>
  <c r="BD94" i="9" s="1"/>
  <c r="BD93" i="9" a="1"/>
  <c r="BD93" i="9" s="1"/>
  <c r="BD92" i="9" a="1"/>
  <c r="BD92" i="9" s="1"/>
  <c r="BD90" i="9" a="1"/>
  <c r="BD90" i="9" s="1"/>
  <c r="CL89" i="9" a="1"/>
  <c r="CL89" i="9" s="1"/>
  <c r="BD88" i="9" a="1"/>
  <c r="BD88" i="9" s="1"/>
  <c r="CL87" i="9" a="1"/>
  <c r="CL87" i="9" s="1"/>
  <c r="BD85" i="9" a="1"/>
  <c r="BD85" i="9" s="1"/>
  <c r="BD84" i="9" a="1"/>
  <c r="BD84" i="9" s="1"/>
  <c r="CM82" i="9" a="1"/>
  <c r="CM82" i="9" s="1"/>
  <c r="CM81" i="9" a="1"/>
  <c r="CM81" i="9" s="1"/>
  <c r="CL99" i="9" a="1"/>
  <c r="CL99" i="9" s="1"/>
  <c r="CL98" i="9" a="1"/>
  <c r="CL98" i="9" s="1"/>
  <c r="CL93" i="9" a="1"/>
  <c r="CL93" i="9" s="1"/>
  <c r="CL92" i="9" a="1"/>
  <c r="CL92" i="9" s="1"/>
  <c r="CL91" i="9" a="1"/>
  <c r="CL91" i="9" s="1"/>
  <c r="BD91" i="9" a="1"/>
  <c r="BD91" i="9" s="1"/>
  <c r="CL90" i="9" a="1"/>
  <c r="CL90" i="9" s="1"/>
  <c r="CL88" i="9" a="1"/>
  <c r="CL88" i="9" s="1"/>
  <c r="CL86" i="9" a="1"/>
  <c r="CL86" i="9" s="1"/>
  <c r="BD86" i="9" a="1"/>
  <c r="BD86" i="9" s="1"/>
  <c r="CL85" i="9" a="1"/>
  <c r="CL85" i="9" s="1"/>
  <c r="CL84" i="9" a="1"/>
  <c r="CL84" i="9" s="1"/>
  <c r="CL83" i="9" a="1"/>
  <c r="CL83" i="9" s="1"/>
  <c r="BD83" i="9" a="1"/>
  <c r="BD83" i="9" s="1"/>
  <c r="CL94" i="9" a="1"/>
  <c r="CL94" i="9" s="1"/>
  <c r="CM89" i="9" a="1"/>
  <c r="CM89" i="9" s="1"/>
  <c r="CM87" i="9" a="1"/>
  <c r="CM87" i="9" s="1"/>
  <c r="CL82" i="9" a="1"/>
  <c r="CL82" i="9" s="1"/>
  <c r="CL81" i="9" a="1"/>
  <c r="CL81" i="9" s="1"/>
  <c r="BD81" i="9" a="1"/>
  <c r="BD81" i="9" s="1"/>
  <c r="CL80" i="9" a="1"/>
  <c r="CL80" i="9" s="1"/>
  <c r="CM78" i="9" a="1"/>
  <c r="CM78" i="9" s="1"/>
  <c r="BD97" i="9" a="1"/>
  <c r="BD97" i="9" s="1"/>
  <c r="CL96" i="9" a="1"/>
  <c r="CL96" i="9" s="1"/>
  <c r="BD96" i="9" a="1"/>
  <c r="BD96" i="9" s="1"/>
  <c r="CL95" i="9" a="1"/>
  <c r="CL95" i="9" s="1"/>
  <c r="CM93" i="9" a="1"/>
  <c r="CM93" i="9" s="1"/>
  <c r="CM92" i="9" a="1"/>
  <c r="CM92" i="9" s="1"/>
  <c r="CM91" i="9" a="1"/>
  <c r="CM91" i="9" s="1"/>
  <c r="CM90" i="9" a="1"/>
  <c r="CM90" i="9" s="1"/>
  <c r="BD89" i="9" a="1"/>
  <c r="BD89" i="9" s="1"/>
  <c r="CM88" i="9" a="1"/>
  <c r="CM88" i="9" s="1"/>
  <c r="BD87" i="9" a="1"/>
  <c r="BD87" i="9" s="1"/>
  <c r="CM86" i="9" a="1"/>
  <c r="CM86" i="9" s="1"/>
  <c r="CM85" i="9" a="1"/>
  <c r="CM85" i="9" s="1"/>
  <c r="CM84" i="9" a="1"/>
  <c r="CM84" i="9" s="1"/>
  <c r="CM83" i="9" a="1"/>
  <c r="CM83" i="9" s="1"/>
  <c r="CM79" i="9" a="1"/>
  <c r="CM79" i="9" s="1"/>
  <c r="BD78" i="9" a="1"/>
  <c r="BD78" i="9" s="1"/>
  <c r="CL77" i="9" a="1"/>
  <c r="CL77" i="9" s="1"/>
  <c r="BD82" i="9" a="1"/>
  <c r="BD82" i="9" s="1"/>
  <c r="BD80" i="9" a="1"/>
  <c r="BD80" i="9" s="1"/>
  <c r="CM77" i="9" a="1"/>
  <c r="CM77" i="9" s="1"/>
  <c r="BD76" i="9" a="1"/>
  <c r="BD76" i="9" s="1"/>
  <c r="CL75" i="9" a="1"/>
  <c r="CL75" i="9" s="1"/>
  <c r="CL74" i="9" a="1"/>
  <c r="CL74" i="9" s="1"/>
  <c r="BD74" i="9" a="1"/>
  <c r="BD74" i="9" s="1"/>
  <c r="CL73" i="9" a="1"/>
  <c r="CL73" i="9" s="1"/>
  <c r="CL71" i="9" a="1"/>
  <c r="CL71" i="9" s="1"/>
  <c r="CM69" i="9" a="1"/>
  <c r="CM69" i="9" s="1"/>
  <c r="CM67" i="9" a="1"/>
  <c r="CM67" i="9" s="1"/>
  <c r="CM65" i="9" a="1"/>
  <c r="CM65" i="9" s="1"/>
  <c r="BD64" i="9" a="1"/>
  <c r="BD64" i="9" s="1"/>
  <c r="BD63" i="9" a="1"/>
  <c r="BD63" i="9" s="1"/>
  <c r="CL62" i="9" a="1"/>
  <c r="CL62" i="9" s="1"/>
  <c r="CL61" i="9" a="1"/>
  <c r="CL61" i="9" s="1"/>
  <c r="BD61" i="9" a="1"/>
  <c r="BD61" i="9" s="1"/>
  <c r="BD77" i="9" a="1"/>
  <c r="BD77" i="9" s="1"/>
  <c r="CL76" i="9" a="1"/>
  <c r="CL76" i="9" s="1"/>
  <c r="CM72" i="9" a="1"/>
  <c r="CM72" i="9" s="1"/>
  <c r="CM70" i="9" a="1"/>
  <c r="CM70" i="9" s="1"/>
  <c r="CM68" i="9" a="1"/>
  <c r="CM68" i="9" s="1"/>
  <c r="CM66" i="9" a="1"/>
  <c r="CM66" i="9" s="1"/>
  <c r="BD65" i="9" a="1"/>
  <c r="BD65" i="9" s="1"/>
  <c r="CL64" i="9" a="1"/>
  <c r="CL64" i="9" s="1"/>
  <c r="CL63" i="9" a="1"/>
  <c r="CL63" i="9" s="1"/>
  <c r="CL60" i="9" a="1"/>
  <c r="CL60" i="9" s="1"/>
  <c r="CL59" i="9" a="1"/>
  <c r="CL59" i="9" s="1"/>
  <c r="BD79" i="9" a="1"/>
  <c r="BD79" i="9" s="1"/>
  <c r="CL78" i="9" a="1"/>
  <c r="CL78" i="9" s="1"/>
  <c r="CM75" i="9" a="1"/>
  <c r="CM75" i="9" s="1"/>
  <c r="CM74" i="9" a="1"/>
  <c r="CM74" i="9" s="1"/>
  <c r="CM73" i="9" a="1"/>
  <c r="CM73" i="9" s="1"/>
  <c r="BD72" i="9" a="1"/>
  <c r="BD72" i="9" s="1"/>
  <c r="CM71" i="9" a="1"/>
  <c r="CM71" i="9" s="1"/>
  <c r="BD70" i="9" a="1"/>
  <c r="BD70" i="9" s="1"/>
  <c r="CL69" i="9" a="1"/>
  <c r="CL69" i="9" s="1"/>
  <c r="BD69" i="9" a="1"/>
  <c r="BD69" i="9" s="1"/>
  <c r="BD68" i="9" a="1"/>
  <c r="BD68" i="9" s="1"/>
  <c r="CL67" i="9" a="1"/>
  <c r="CL67" i="9" s="1"/>
  <c r="BD67" i="9" a="1"/>
  <c r="BD67" i="9" s="1"/>
  <c r="BD66" i="9" a="1"/>
  <c r="BD66" i="9" s="1"/>
  <c r="CL65" i="9" a="1"/>
  <c r="CL65" i="9" s="1"/>
  <c r="CM62" i="9" a="1"/>
  <c r="CM62" i="9" s="1"/>
  <c r="CM80" i="9" a="1"/>
  <c r="CM80" i="9" s="1"/>
  <c r="CL79" i="9" a="1"/>
  <c r="CL79" i="9" s="1"/>
  <c r="CM76" i="9" a="1"/>
  <c r="CM76" i="9" s="1"/>
  <c r="BD75" i="9" a="1"/>
  <c r="BD75" i="9" s="1"/>
  <c r="BD73" i="9" a="1"/>
  <c r="BD73" i="9" s="1"/>
  <c r="CL72" i="9" a="1"/>
  <c r="CL72" i="9" s="1"/>
  <c r="BD71" i="9" a="1"/>
  <c r="BD71" i="9" s="1"/>
  <c r="CL70" i="9" a="1"/>
  <c r="CL70" i="9" s="1"/>
  <c r="CL68" i="9" a="1"/>
  <c r="CL68" i="9" s="1"/>
  <c r="CL66" i="9" a="1"/>
  <c r="CL66" i="9" s="1"/>
  <c r="CM64" i="9" a="1"/>
  <c r="CM64" i="9" s="1"/>
  <c r="CM63" i="9" a="1"/>
  <c r="CM63" i="9" s="1"/>
  <c r="BD62" i="9" a="1"/>
  <c r="BD62" i="9" s="1"/>
  <c r="CM60" i="9" a="1"/>
  <c r="CM60" i="9" s="1"/>
  <c r="BD58" i="9" a="1"/>
  <c r="BD58" i="9" s="1"/>
  <c r="CL57" i="9" a="1"/>
  <c r="CL57" i="9" s="1"/>
  <c r="CM54" i="9" a="1"/>
  <c r="CM54" i="9" s="1"/>
  <c r="BD53" i="9" a="1"/>
  <c r="BD53" i="9" s="1"/>
  <c r="CL52" i="9" a="1"/>
  <c r="CL52" i="9" s="1"/>
  <c r="CM50" i="9" a="1"/>
  <c r="CM50" i="9" s="1"/>
  <c r="BD49" i="9" a="1"/>
  <c r="BD49" i="9" s="1"/>
  <c r="CL48" i="9" a="1"/>
  <c r="CL48" i="9" s="1"/>
  <c r="CM44" i="9" a="1"/>
  <c r="CM44" i="9" s="1"/>
  <c r="BD43" i="9" a="1"/>
  <c r="BD43" i="9" s="1"/>
  <c r="CL42" i="9" a="1"/>
  <c r="CL42" i="9" s="1"/>
  <c r="CL41" i="9" a="1"/>
  <c r="CL41" i="9" s="1"/>
  <c r="CL40" i="9" a="1"/>
  <c r="CL40" i="9" s="1"/>
  <c r="BD60" i="9" a="1"/>
  <c r="BD60" i="9" s="1"/>
  <c r="BD59" i="9" a="1"/>
  <c r="BD59" i="9" s="1"/>
  <c r="CL58" i="9" a="1"/>
  <c r="CL58" i="9" s="1"/>
  <c r="CM56" i="9" a="1"/>
  <c r="CM56" i="9" s="1"/>
  <c r="CM55" i="9" a="1"/>
  <c r="CM55" i="9" s="1"/>
  <c r="BD54" i="9" a="1"/>
  <c r="BD54" i="9" s="1"/>
  <c r="CL53" i="9" a="1"/>
  <c r="CL53" i="9" s="1"/>
  <c r="CM51" i="9" a="1"/>
  <c r="CM51" i="9" s="1"/>
  <c r="BD50" i="9" a="1"/>
  <c r="BD50" i="9" s="1"/>
  <c r="CL49" i="9" a="1"/>
  <c r="CL49" i="9" s="1"/>
  <c r="CM47" i="9" a="1"/>
  <c r="CM47" i="9" s="1"/>
  <c r="CM46" i="9" a="1"/>
  <c r="CM46" i="9" s="1"/>
  <c r="CM45" i="9" a="1"/>
  <c r="CM45" i="9" s="1"/>
  <c r="BD44" i="9" a="1"/>
  <c r="BD44" i="9" s="1"/>
  <c r="CL43" i="9" a="1"/>
  <c r="CL43" i="9" s="1"/>
  <c r="CM59" i="9" a="1"/>
  <c r="CM59" i="9" s="1"/>
  <c r="CM57" i="9" a="1"/>
  <c r="CM57" i="9" s="1"/>
  <c r="BD56" i="9" a="1"/>
  <c r="BD56" i="9" s="1"/>
  <c r="BD55" i="9" a="1"/>
  <c r="BD55" i="9" s="1"/>
  <c r="CL54" i="9" a="1"/>
  <c r="CL54" i="9" s="1"/>
  <c r="CM52" i="9" a="1"/>
  <c r="CM52" i="9" s="1"/>
  <c r="BD51" i="9" a="1"/>
  <c r="BD51" i="9" s="1"/>
  <c r="CL50" i="9" a="1"/>
  <c r="CL50" i="9" s="1"/>
  <c r="CM48" i="9" a="1"/>
  <c r="CM48" i="9" s="1"/>
  <c r="BD46" i="9" a="1"/>
  <c r="BD46" i="9" s="1"/>
  <c r="BD45" i="9" a="1"/>
  <c r="BD45" i="9" s="1"/>
  <c r="CL44" i="9" a="1"/>
  <c r="CL44" i="9" s="1"/>
  <c r="CM42" i="9" a="1"/>
  <c r="CM42" i="9" s="1"/>
  <c r="CM41" i="9" a="1"/>
  <c r="CM41" i="9" s="1"/>
  <c r="CM61" i="9" a="1"/>
  <c r="CM61" i="9" s="1"/>
  <c r="CM58" i="9" a="1"/>
  <c r="CM58" i="9" s="1"/>
  <c r="BD57" i="9" a="1"/>
  <c r="BD57" i="9" s="1"/>
  <c r="CL56" i="9" a="1"/>
  <c r="CL56" i="9" s="1"/>
  <c r="CL55" i="9" a="1"/>
  <c r="CL55" i="9" s="1"/>
  <c r="CM53" i="9" a="1"/>
  <c r="CM53" i="9" s="1"/>
  <c r="BD52" i="9" a="1"/>
  <c r="BD52" i="9" s="1"/>
  <c r="CL51" i="9" a="1"/>
  <c r="CL51" i="9" s="1"/>
  <c r="CM49" i="9" a="1"/>
  <c r="CM49" i="9" s="1"/>
  <c r="BD48" i="9" a="1"/>
  <c r="BD48" i="9" s="1"/>
  <c r="CL47" i="9" a="1"/>
  <c r="CL47" i="9" s="1"/>
  <c r="BD47" i="9" a="1"/>
  <c r="BD47" i="9" s="1"/>
  <c r="CL46" i="9" a="1"/>
  <c r="CL46" i="9" s="1"/>
  <c r="CL45" i="9" a="1"/>
  <c r="CL45" i="9" s="1"/>
  <c r="CM43" i="9" a="1"/>
  <c r="CM43" i="9" s="1"/>
  <c r="BD42" i="9" a="1"/>
  <c r="BD42" i="9" s="1"/>
  <c r="BD41" i="9" a="1"/>
  <c r="BD41" i="9" s="1"/>
  <c r="CM40" i="9" a="1"/>
  <c r="CM40" i="9" s="1"/>
  <c r="CM38" i="9" a="1"/>
  <c r="CM38" i="9" s="1"/>
  <c r="BD37" i="9" a="1"/>
  <c r="BD37" i="9" s="1"/>
  <c r="CL36" i="9" a="1"/>
  <c r="CL36" i="9" s="1"/>
  <c r="CM34" i="9" a="1"/>
  <c r="CM34" i="9" s="1"/>
  <c r="BD33" i="9" a="1"/>
  <c r="BD33" i="9" s="1"/>
  <c r="CL32" i="9" a="1"/>
  <c r="CL32" i="9" s="1"/>
  <c r="CM30" i="9" a="1"/>
  <c r="CM30" i="9" s="1"/>
  <c r="CM28" i="9" a="1"/>
  <c r="CM28" i="9" s="1"/>
  <c r="CM27" i="9" a="1"/>
  <c r="CM27" i="9" s="1"/>
  <c r="CM25" i="9" a="1"/>
  <c r="CM25" i="9" s="1"/>
  <c r="CL23" i="9" a="1"/>
  <c r="CL23" i="9" s="1"/>
  <c r="CM19" i="9" a="1"/>
  <c r="CM19" i="9" s="1"/>
  <c r="CM17" i="9" a="1"/>
  <c r="CM17" i="9" s="1"/>
  <c r="CM16" i="9" a="1"/>
  <c r="CM16" i="9" s="1"/>
  <c r="CM14" i="9" a="1"/>
  <c r="CM14" i="9" s="1"/>
  <c r="CM11" i="9" a="1"/>
  <c r="CM11" i="9" s="1"/>
  <c r="BD40" i="9" a="1"/>
  <c r="BD40" i="9" s="1"/>
  <c r="CM39" i="9" a="1"/>
  <c r="CM39" i="9" s="1"/>
  <c r="BD38" i="9" a="1"/>
  <c r="BD38" i="9" s="1"/>
  <c r="CL37" i="9" a="1"/>
  <c r="CL37" i="9" s="1"/>
  <c r="CM35" i="9" a="1"/>
  <c r="CM35" i="9" s="1"/>
  <c r="BD34" i="9" a="1"/>
  <c r="BD34" i="9" s="1"/>
  <c r="CL33" i="9" a="1"/>
  <c r="CL33" i="9" s="1"/>
  <c r="CM31" i="9" a="1"/>
  <c r="CM31" i="9" s="1"/>
  <c r="CM29" i="9" a="1"/>
  <c r="CM29" i="9" s="1"/>
  <c r="BD28" i="9" a="1"/>
  <c r="BD28" i="9" s="1"/>
  <c r="BD27" i="9" a="1"/>
  <c r="BD27" i="9" s="1"/>
  <c r="CM26" i="9" a="1"/>
  <c r="CM26" i="9" s="1"/>
  <c r="BD25" i="9" a="1"/>
  <c r="BD25" i="9" s="1"/>
  <c r="CM24" i="9" a="1"/>
  <c r="CM24" i="9" s="1"/>
  <c r="CM22" i="9" a="1"/>
  <c r="CM22" i="9" s="1"/>
  <c r="CM21" i="9" a="1"/>
  <c r="CM21" i="9" s="1"/>
  <c r="CM20" i="9" a="1"/>
  <c r="CM20" i="9" s="1"/>
  <c r="BD19" i="9" a="1"/>
  <c r="BD19" i="9" s="1"/>
  <c r="CM18" i="9" a="1"/>
  <c r="CM18" i="9" s="1"/>
  <c r="BD17" i="9" a="1"/>
  <c r="BD17" i="9" s="1"/>
  <c r="CM15" i="9" a="1"/>
  <c r="CM15" i="9" s="1"/>
  <c r="CM13" i="9" a="1"/>
  <c r="CM13" i="9" s="1"/>
  <c r="CM12" i="9" a="1"/>
  <c r="CM12" i="9" s="1"/>
  <c r="CM10" i="9" a="1"/>
  <c r="CM10" i="9" s="1"/>
  <c r="CM9" i="9" a="1"/>
  <c r="CM9" i="9" s="1"/>
  <c r="BD39" i="9" a="1"/>
  <c r="BD39" i="9" s="1"/>
  <c r="CL38" i="9" a="1"/>
  <c r="CL38" i="9" s="1"/>
  <c r="CM36" i="9" a="1"/>
  <c r="CM36" i="9" s="1"/>
  <c r="BD35" i="9" a="1"/>
  <c r="BD35" i="9" s="1"/>
  <c r="CL34" i="9" a="1"/>
  <c r="CL34" i="9" s="1"/>
  <c r="CM32" i="9" a="1"/>
  <c r="CM32" i="9" s="1"/>
  <c r="BD31" i="9" a="1"/>
  <c r="BD31" i="9" s="1"/>
  <c r="CL30" i="9" a="1"/>
  <c r="CL30" i="9" s="1"/>
  <c r="BD30" i="9" a="1"/>
  <c r="BD30" i="9" s="1"/>
  <c r="BD29" i="9" a="1"/>
  <c r="BD29" i="9" s="1"/>
  <c r="CL28" i="9" a="1"/>
  <c r="CL28" i="9" s="1"/>
  <c r="CL27" i="9" a="1"/>
  <c r="CL27" i="9" s="1"/>
  <c r="BD26" i="9" a="1"/>
  <c r="BD26" i="9" s="1"/>
  <c r="CL25" i="9" a="1"/>
  <c r="CL25" i="9" s="1"/>
  <c r="CM23" i="9" a="1"/>
  <c r="CM23" i="9" s="1"/>
  <c r="BD22" i="9" a="1"/>
  <c r="BD22" i="9" s="1"/>
  <c r="BD20" i="9" a="1"/>
  <c r="BD20" i="9" s="1"/>
  <c r="CL19" i="9" a="1"/>
  <c r="CL19" i="9" s="1"/>
  <c r="BD18" i="9" a="1"/>
  <c r="BD18" i="9" s="1"/>
  <c r="CL17" i="9" a="1"/>
  <c r="CL17" i="9" s="1"/>
  <c r="CL16" i="9" a="1"/>
  <c r="CL16" i="9" s="1"/>
  <c r="BD16" i="9" a="1"/>
  <c r="BD16" i="9" s="1"/>
  <c r="BD15" i="9" a="1"/>
  <c r="BD15" i="9" s="1"/>
  <c r="CL14" i="9" a="1"/>
  <c r="CL14" i="9" s="1"/>
  <c r="BD14" i="9" a="1"/>
  <c r="BD14" i="9" s="1"/>
  <c r="BD13" i="9" a="1"/>
  <c r="BD13" i="9" s="1"/>
  <c r="BD12" i="9" a="1"/>
  <c r="BD12" i="9" s="1"/>
  <c r="CL11" i="9" a="1"/>
  <c r="CL11" i="9" s="1"/>
  <c r="BD11" i="9" a="1"/>
  <c r="BD11" i="9" s="1"/>
  <c r="BD10" i="9" a="1"/>
  <c r="BD10" i="9" s="1"/>
  <c r="BD9" i="9" a="1"/>
  <c r="BD9" i="9" s="1"/>
  <c r="CL39" i="9" a="1"/>
  <c r="CL39" i="9" s="1"/>
  <c r="CM37" i="9" a="1"/>
  <c r="CM37" i="9" s="1"/>
  <c r="BD36" i="9" a="1"/>
  <c r="BD36" i="9" s="1"/>
  <c r="CL35" i="9" a="1"/>
  <c r="CL35" i="9" s="1"/>
  <c r="CM33" i="9" a="1"/>
  <c r="CM33" i="9" s="1"/>
  <c r="BD32" i="9" a="1"/>
  <c r="BD32" i="9" s="1"/>
  <c r="CL31" i="9" a="1"/>
  <c r="CL31" i="9" s="1"/>
  <c r="CL29" i="9" a="1"/>
  <c r="CL29" i="9" s="1"/>
  <c r="CL26" i="9" a="1"/>
  <c r="CL26" i="9" s="1"/>
  <c r="CL24" i="9" a="1"/>
  <c r="CL24" i="9" s="1"/>
  <c r="BD24" i="9" a="1"/>
  <c r="BD24" i="9" s="1"/>
  <c r="BD23" i="9" a="1"/>
  <c r="BD23" i="9" s="1"/>
  <c r="CL22" i="9" a="1"/>
  <c r="CL22" i="9" s="1"/>
  <c r="CL21" i="9" a="1"/>
  <c r="CL21" i="9" s="1"/>
  <c r="BD21" i="9" a="1"/>
  <c r="BD21" i="9" s="1"/>
  <c r="CL20" i="9" a="1"/>
  <c r="CL20" i="9" s="1"/>
  <c r="CL18" i="9" a="1"/>
  <c r="CL18" i="9" s="1"/>
  <c r="CL15" i="9" a="1"/>
  <c r="CL15" i="9" s="1"/>
  <c r="CL13" i="9" a="1"/>
  <c r="CL13" i="9" s="1"/>
  <c r="CL12" i="9" a="1"/>
  <c r="CL12" i="9" s="1"/>
  <c r="CL10" i="9" a="1"/>
  <c r="CL10" i="9" s="1"/>
  <c r="CL9" i="9" a="1"/>
  <c r="CL9" i="9" s="1"/>
  <c r="AQ2" i="9"/>
  <c r="F27" i="10"/>
  <c r="C27" i="10"/>
  <c r="EJ111" i="9" a="1"/>
  <c r="EJ111" i="9" s="1"/>
  <c r="EJ109" i="9" a="1"/>
  <c r="EJ109" i="9" s="1"/>
  <c r="EJ108" i="9" a="1"/>
  <c r="EJ108" i="9" s="1"/>
  <c r="EJ106" i="9" a="1"/>
  <c r="EJ106" i="9" s="1"/>
  <c r="EJ105" i="9" a="1"/>
  <c r="EJ105" i="9" s="1"/>
  <c r="DA104" i="9" a="1"/>
  <c r="DA104" i="9" s="1"/>
  <c r="DA102" i="9" a="1"/>
  <c r="DA102" i="9" s="1"/>
  <c r="EI101" i="9" a="1"/>
  <c r="EI101" i="9" s="1"/>
  <c r="DA101" i="9" a="1"/>
  <c r="DA101" i="9" s="1"/>
  <c r="EI100" i="9" a="1"/>
  <c r="EI100" i="9" s="1"/>
  <c r="EI99" i="9" a="1"/>
  <c r="EI99" i="9" s="1"/>
  <c r="EI112" i="9" a="1"/>
  <c r="EI112" i="9" s="1"/>
  <c r="DA112" i="9" a="1"/>
  <c r="DA112" i="9" s="1"/>
  <c r="EJ110" i="9" a="1"/>
  <c r="EJ110" i="9" s="1"/>
  <c r="DA109" i="9" a="1"/>
  <c r="DA109" i="9" s="1"/>
  <c r="EJ107" i="9" a="1"/>
  <c r="EJ107" i="9" s="1"/>
  <c r="DA106" i="9" a="1"/>
  <c r="DA106" i="9" s="1"/>
  <c r="DA105" i="9" a="1"/>
  <c r="DA105" i="9" s="1"/>
  <c r="EI104" i="9" a="1"/>
  <c r="EI104" i="9" s="1"/>
  <c r="EI103" i="9" a="1"/>
  <c r="EI103" i="9" s="1"/>
  <c r="DA103" i="9" a="1"/>
  <c r="DA103" i="9" s="1"/>
  <c r="EI102" i="9" a="1"/>
  <c r="EI102" i="9" s="1"/>
  <c r="EI111" i="9" a="1"/>
  <c r="EI111" i="9" s="1"/>
  <c r="DA111" i="9" a="1"/>
  <c r="DA111" i="9" s="1"/>
  <c r="DA110" i="9" a="1"/>
  <c r="DA110" i="9" s="1"/>
  <c r="EI109" i="9" a="1"/>
  <c r="EI109" i="9" s="1"/>
  <c r="EI108" i="9" a="1"/>
  <c r="EI108" i="9" s="1"/>
  <c r="DA108" i="9" a="1"/>
  <c r="DA108" i="9" s="1"/>
  <c r="DA107" i="9" a="1"/>
  <c r="DA107" i="9" s="1"/>
  <c r="EI106" i="9" a="1"/>
  <c r="EI106" i="9" s="1"/>
  <c r="EI105" i="9" a="1"/>
  <c r="EI105" i="9" s="1"/>
  <c r="EJ101" i="9" a="1"/>
  <c r="EJ101" i="9" s="1"/>
  <c r="EJ100" i="9" a="1"/>
  <c r="EJ100" i="9" s="1"/>
  <c r="EJ99" i="9" a="1"/>
  <c r="EJ99" i="9" s="1"/>
  <c r="EJ98" i="9" a="1"/>
  <c r="EJ98" i="9" s="1"/>
  <c r="DA96" i="9" a="1"/>
  <c r="DA96" i="9" s="1"/>
  <c r="DA95" i="9" a="1"/>
  <c r="DA95" i="9" s="1"/>
  <c r="DA94" i="9" a="1"/>
  <c r="DA94" i="9" s="1"/>
  <c r="EJ112" i="9" a="1"/>
  <c r="EJ112" i="9" s="1"/>
  <c r="EI110" i="9" a="1"/>
  <c r="EI110" i="9" s="1"/>
  <c r="EI107" i="9" a="1"/>
  <c r="EI107" i="9" s="1"/>
  <c r="EJ104" i="9" a="1"/>
  <c r="EJ104" i="9" s="1"/>
  <c r="EJ103" i="9" a="1"/>
  <c r="EJ103" i="9" s="1"/>
  <c r="EJ102" i="9" a="1"/>
  <c r="EJ102" i="9" s="1"/>
  <c r="DA100" i="9" a="1"/>
  <c r="DA100" i="9" s="1"/>
  <c r="DA99" i="9" a="1"/>
  <c r="DA99" i="9" s="1"/>
  <c r="DA98" i="9" a="1"/>
  <c r="DA98" i="9" s="1"/>
  <c r="EI97" i="9" a="1"/>
  <c r="EI97" i="9" s="1"/>
  <c r="DA97" i="9" a="1"/>
  <c r="DA97" i="9" s="1"/>
  <c r="EI96" i="9" a="1"/>
  <c r="EI96" i="9" s="1"/>
  <c r="EI95" i="9" a="1"/>
  <c r="EI95" i="9" s="1"/>
  <c r="EI94" i="9" a="1"/>
  <c r="EI94" i="9" s="1"/>
  <c r="EJ97" i="9" a="1"/>
  <c r="EJ97" i="9" s="1"/>
  <c r="EI92" i="9" a="1"/>
  <c r="EI92" i="9" s="1"/>
  <c r="EI90" i="9" a="1"/>
  <c r="EI90" i="9" s="1"/>
  <c r="EI85" i="9" a="1"/>
  <c r="EI85" i="9" s="1"/>
  <c r="EI83" i="9" a="1"/>
  <c r="EI83" i="9" s="1"/>
  <c r="EI82" i="9" a="1"/>
  <c r="EI82" i="9" s="1"/>
  <c r="DA82" i="9" a="1"/>
  <c r="DA82" i="9" s="1"/>
  <c r="DA81" i="9" a="1"/>
  <c r="DA81" i="9" s="1"/>
  <c r="EJ93" i="9" a="1"/>
  <c r="EJ93" i="9" s="1"/>
  <c r="EJ91" i="9" a="1"/>
  <c r="EJ91" i="9" s="1"/>
  <c r="EJ89" i="9" a="1"/>
  <c r="EJ89" i="9" s="1"/>
  <c r="EJ88" i="9" a="1"/>
  <c r="EJ88" i="9" s="1"/>
  <c r="EJ87" i="9" a="1"/>
  <c r="EJ87" i="9" s="1"/>
  <c r="EJ86" i="9" a="1"/>
  <c r="EJ86" i="9" s="1"/>
  <c r="EJ84" i="9" a="1"/>
  <c r="EJ84" i="9" s="1"/>
  <c r="EI98" i="9" a="1"/>
  <c r="EI98" i="9" s="1"/>
  <c r="EJ94" i="9" a="1"/>
  <c r="EJ94" i="9" s="1"/>
  <c r="EJ92" i="9" a="1"/>
  <c r="EJ92" i="9" s="1"/>
  <c r="EJ90" i="9" a="1"/>
  <c r="EJ90" i="9" s="1"/>
  <c r="DA89" i="9" a="1"/>
  <c r="DA89" i="9" s="1"/>
  <c r="DA87" i="9" a="1"/>
  <c r="DA87" i="9" s="1"/>
  <c r="EJ85" i="9" a="1"/>
  <c r="EJ85" i="9" s="1"/>
  <c r="EJ83" i="9" a="1"/>
  <c r="EJ83" i="9" s="1"/>
  <c r="EJ82" i="9" a="1"/>
  <c r="EJ82" i="9" s="1"/>
  <c r="EJ79" i="9" a="1"/>
  <c r="EJ79" i="9" s="1"/>
  <c r="DA78" i="9" a="1"/>
  <c r="DA78" i="9" s="1"/>
  <c r="EI77" i="9" a="1"/>
  <c r="EI77" i="9" s="1"/>
  <c r="EJ96" i="9" a="1"/>
  <c r="EJ96" i="9" s="1"/>
  <c r="EJ95" i="9" a="1"/>
  <c r="EJ95" i="9" s="1"/>
  <c r="EI93" i="9" a="1"/>
  <c r="EI93" i="9" s="1"/>
  <c r="DA93" i="9" a="1"/>
  <c r="DA93" i="9" s="1"/>
  <c r="DA92" i="9" a="1"/>
  <c r="DA92" i="9" s="1"/>
  <c r="EI91" i="9" a="1"/>
  <c r="EI91" i="9" s="1"/>
  <c r="DA91" i="9" a="1"/>
  <c r="DA91" i="9" s="1"/>
  <c r="DA90" i="9" a="1"/>
  <c r="DA90" i="9" s="1"/>
  <c r="EI89" i="9" a="1"/>
  <c r="EI89" i="9" s="1"/>
  <c r="EI88" i="9" a="1"/>
  <c r="EI88" i="9" s="1"/>
  <c r="DA88" i="9" a="1"/>
  <c r="DA88" i="9" s="1"/>
  <c r="EI87" i="9" a="1"/>
  <c r="EI87" i="9" s="1"/>
  <c r="EI86" i="9" a="1"/>
  <c r="EI86" i="9" s="1"/>
  <c r="DA86" i="9" a="1"/>
  <c r="DA86" i="9" s="1"/>
  <c r="DA85" i="9" a="1"/>
  <c r="DA85" i="9" s="1"/>
  <c r="EI84" i="9" a="1"/>
  <c r="EI84" i="9" s="1"/>
  <c r="DA84" i="9" a="1"/>
  <c r="DA84" i="9" s="1"/>
  <c r="DA83" i="9" a="1"/>
  <c r="DA83" i="9" s="1"/>
  <c r="EJ81" i="9" a="1"/>
  <c r="EJ81" i="9" s="1"/>
  <c r="EJ80" i="9" a="1"/>
  <c r="EJ80" i="9" s="1"/>
  <c r="DA79" i="9" a="1"/>
  <c r="DA79" i="9" s="1"/>
  <c r="EI78" i="9" a="1"/>
  <c r="EI78" i="9" s="1"/>
  <c r="EI81" i="9" a="1"/>
  <c r="EI81" i="9" s="1"/>
  <c r="DA80" i="9" a="1"/>
  <c r="DA80" i="9" s="1"/>
  <c r="EI79" i="9" a="1"/>
  <c r="EI79" i="9" s="1"/>
  <c r="DA77" i="9" a="1"/>
  <c r="DA77" i="9" s="1"/>
  <c r="EI76" i="9" a="1"/>
  <c r="EI76" i="9" s="1"/>
  <c r="EJ74" i="9" a="1"/>
  <c r="EJ74" i="9" s="1"/>
  <c r="EJ72" i="9" a="1"/>
  <c r="EJ72" i="9" s="1"/>
  <c r="EJ71" i="9" a="1"/>
  <c r="EJ71" i="9" s="1"/>
  <c r="EJ70" i="9" a="1"/>
  <c r="EJ70" i="9" s="1"/>
  <c r="DA69" i="9" a="1"/>
  <c r="DA69" i="9" s="1"/>
  <c r="EJ68" i="9" a="1"/>
  <c r="EJ68" i="9" s="1"/>
  <c r="DA67" i="9" a="1"/>
  <c r="DA67" i="9" s="1"/>
  <c r="DA65" i="9" a="1"/>
  <c r="DA65" i="9" s="1"/>
  <c r="EI64" i="9" a="1"/>
  <c r="EI64" i="9" s="1"/>
  <c r="EI63" i="9" a="1"/>
  <c r="EI63" i="9" s="1"/>
  <c r="EI60" i="9" a="1"/>
  <c r="EI60" i="9" s="1"/>
  <c r="EJ75" i="9" a="1"/>
  <c r="EJ75" i="9" s="1"/>
  <c r="EJ73" i="9" a="1"/>
  <c r="EJ73" i="9" s="1"/>
  <c r="DA72" i="9" a="1"/>
  <c r="DA72" i="9" s="1"/>
  <c r="DA70" i="9" a="1"/>
  <c r="DA70" i="9" s="1"/>
  <c r="EI69" i="9" a="1"/>
  <c r="EI69" i="9" s="1"/>
  <c r="DA68" i="9" a="1"/>
  <c r="DA68" i="9" s="1"/>
  <c r="EI67" i="9" a="1"/>
  <c r="EI67" i="9" s="1"/>
  <c r="EI66" i="9" a="1"/>
  <c r="EI66" i="9" s="1"/>
  <c r="DA66" i="9" a="1"/>
  <c r="DA66" i="9" s="1"/>
  <c r="EI65" i="9" a="1"/>
  <c r="EI65" i="9" s="1"/>
  <c r="EJ62" i="9" a="1"/>
  <c r="EJ62" i="9" s="1"/>
  <c r="EJ61" i="9" a="1"/>
  <c r="EJ61" i="9" s="1"/>
  <c r="EJ59" i="9" a="1"/>
  <c r="EJ59" i="9" s="1"/>
  <c r="EI80" i="9" a="1"/>
  <c r="EI80" i="9" s="1"/>
  <c r="EJ78" i="9" a="1"/>
  <c r="EJ78" i="9" s="1"/>
  <c r="EJ76" i="9" a="1"/>
  <c r="EJ76" i="9" s="1"/>
  <c r="DA75" i="9" a="1"/>
  <c r="DA75" i="9" s="1"/>
  <c r="EI74" i="9" a="1"/>
  <c r="EI74" i="9" s="1"/>
  <c r="DA74" i="9" a="1"/>
  <c r="DA74" i="9" s="1"/>
  <c r="DA73" i="9" a="1"/>
  <c r="DA73" i="9" s="1"/>
  <c r="EI72" i="9" a="1"/>
  <c r="EI72" i="9" s="1"/>
  <c r="EI71" i="9" a="1"/>
  <c r="EI71" i="9" s="1"/>
  <c r="DA71" i="9" a="1"/>
  <c r="DA71" i="9" s="1"/>
  <c r="EI70" i="9" a="1"/>
  <c r="EI70" i="9" s="1"/>
  <c r="EI68" i="9" a="1"/>
  <c r="EI68" i="9" s="1"/>
  <c r="EJ64" i="9" a="1"/>
  <c r="EJ64" i="9" s="1"/>
  <c r="EJ63" i="9" a="1"/>
  <c r="EJ63" i="9" s="1"/>
  <c r="DA62" i="9" a="1"/>
  <c r="DA62" i="9" s="1"/>
  <c r="EJ77" i="9" a="1"/>
  <c r="EJ77" i="9" s="1"/>
  <c r="DA76" i="9" a="1"/>
  <c r="DA76" i="9" s="1"/>
  <c r="EI75" i="9" a="1"/>
  <c r="EI75" i="9" s="1"/>
  <c r="EI73" i="9" a="1"/>
  <c r="EI73" i="9" s="1"/>
  <c r="EJ69" i="9" a="1"/>
  <c r="EJ69" i="9" s="1"/>
  <c r="EJ67" i="9" a="1"/>
  <c r="EJ67" i="9" s="1"/>
  <c r="EJ66" i="9" a="1"/>
  <c r="EJ66" i="9" s="1"/>
  <c r="EJ65" i="9" a="1"/>
  <c r="EJ65" i="9" s="1"/>
  <c r="DA64" i="9" a="1"/>
  <c r="DA64" i="9" s="1"/>
  <c r="DA63" i="9" a="1"/>
  <c r="DA63" i="9" s="1"/>
  <c r="EI62" i="9" a="1"/>
  <c r="EI62" i="9" s="1"/>
  <c r="EI61" i="9" a="1"/>
  <c r="EI61" i="9" s="1"/>
  <c r="DA60" i="9" a="1"/>
  <c r="DA60" i="9" s="1"/>
  <c r="DA61" i="9" a="1"/>
  <c r="DA61" i="9" s="1"/>
  <c r="EI59" i="9" a="1"/>
  <c r="EI59" i="9" s="1"/>
  <c r="EI58" i="9" a="1"/>
  <c r="EI58" i="9" s="1"/>
  <c r="EJ56" i="9" a="1"/>
  <c r="EJ56" i="9" s="1"/>
  <c r="DA54" i="9" a="1"/>
  <c r="DA54" i="9" s="1"/>
  <c r="EI53" i="9" a="1"/>
  <c r="EI53" i="9" s="1"/>
  <c r="EJ51" i="9" a="1"/>
  <c r="EJ51" i="9" s="1"/>
  <c r="DA50" i="9" a="1"/>
  <c r="DA50" i="9" s="1"/>
  <c r="EI49" i="9" a="1"/>
  <c r="EI49" i="9" s="1"/>
  <c r="EJ47" i="9" a="1"/>
  <c r="EJ47" i="9" s="1"/>
  <c r="EJ46" i="9" a="1"/>
  <c r="EJ46" i="9" s="1"/>
  <c r="EJ45" i="9" a="1"/>
  <c r="EJ45" i="9" s="1"/>
  <c r="DA44" i="9" a="1"/>
  <c r="DA44" i="9" s="1"/>
  <c r="EI43" i="9" a="1"/>
  <c r="EI43" i="9" s="1"/>
  <c r="EJ41" i="9" a="1"/>
  <c r="EJ41" i="9" s="1"/>
  <c r="EJ60" i="9" a="1"/>
  <c r="EJ60" i="9" s="1"/>
  <c r="EJ57" i="9" a="1"/>
  <c r="EJ57" i="9" s="1"/>
  <c r="DA56" i="9" a="1"/>
  <c r="DA56" i="9" s="1"/>
  <c r="EI55" i="9" a="1"/>
  <c r="EI55" i="9" s="1"/>
  <c r="DA55" i="9" a="1"/>
  <c r="DA55" i="9" s="1"/>
  <c r="EI54" i="9" a="1"/>
  <c r="EI54" i="9" s="1"/>
  <c r="EJ52" i="9" a="1"/>
  <c r="EJ52" i="9" s="1"/>
  <c r="DA51" i="9" a="1"/>
  <c r="DA51" i="9" s="1"/>
  <c r="EI50" i="9" a="1"/>
  <c r="EI50" i="9" s="1"/>
  <c r="EJ48" i="9" a="1"/>
  <c r="EJ48" i="9" s="1"/>
  <c r="DA47" i="9" a="1"/>
  <c r="DA47" i="9" s="1"/>
  <c r="DA46" i="9" a="1"/>
  <c r="DA46" i="9" s="1"/>
  <c r="DA45" i="9" a="1"/>
  <c r="DA45" i="9" s="1"/>
  <c r="EI44" i="9" a="1"/>
  <c r="EI44" i="9" s="1"/>
  <c r="EJ42" i="9" a="1"/>
  <c r="EJ42" i="9" s="1"/>
  <c r="EJ40" i="9" a="1"/>
  <c r="EJ40" i="9" s="1"/>
  <c r="DA59" i="9" a="1"/>
  <c r="DA59" i="9" s="1"/>
  <c r="EJ58" i="9" a="1"/>
  <c r="EJ58" i="9" s="1"/>
  <c r="DA57" i="9" a="1"/>
  <c r="DA57" i="9" s="1"/>
  <c r="EI56" i="9" a="1"/>
  <c r="EI56" i="9" s="1"/>
  <c r="EJ53" i="9" a="1"/>
  <c r="EJ53" i="9" s="1"/>
  <c r="DA52" i="9" a="1"/>
  <c r="DA52" i="9" s="1"/>
  <c r="EI51" i="9" a="1"/>
  <c r="EI51" i="9" s="1"/>
  <c r="EJ49" i="9" a="1"/>
  <c r="EJ49" i="9" s="1"/>
  <c r="DA48" i="9" a="1"/>
  <c r="DA48" i="9" s="1"/>
  <c r="EI47" i="9" a="1"/>
  <c r="EI47" i="9" s="1"/>
  <c r="EI46" i="9" a="1"/>
  <c r="EI46" i="9" s="1"/>
  <c r="EI45" i="9" a="1"/>
  <c r="EI45" i="9" s="1"/>
  <c r="EJ43" i="9" a="1"/>
  <c r="EJ43" i="9" s="1"/>
  <c r="DA42" i="9" a="1"/>
  <c r="DA42" i="9" s="1"/>
  <c r="EI41" i="9" a="1"/>
  <c r="EI41" i="9" s="1"/>
  <c r="DA41" i="9" a="1"/>
  <c r="DA41" i="9" s="1"/>
  <c r="DA58" i="9" a="1"/>
  <c r="DA58" i="9" s="1"/>
  <c r="EI57" i="9" a="1"/>
  <c r="EI57" i="9" s="1"/>
  <c r="EJ55" i="9" a="1"/>
  <c r="EJ55" i="9" s="1"/>
  <c r="EJ54" i="9" a="1"/>
  <c r="EJ54" i="9" s="1"/>
  <c r="DA53" i="9" a="1"/>
  <c r="DA53" i="9" s="1"/>
  <c r="EI52" i="9" a="1"/>
  <c r="EI52" i="9" s="1"/>
  <c r="EJ50" i="9" a="1"/>
  <c r="EJ50" i="9" s="1"/>
  <c r="DA49" i="9" a="1"/>
  <c r="DA49" i="9" s="1"/>
  <c r="EI48" i="9" a="1"/>
  <c r="EI48" i="9" s="1"/>
  <c r="EJ44" i="9" a="1"/>
  <c r="EJ44" i="9" s="1"/>
  <c r="DA43" i="9" a="1"/>
  <c r="DA43" i="9" s="1"/>
  <c r="EI42" i="9" a="1"/>
  <c r="EI42" i="9" s="1"/>
  <c r="EJ39" i="9" a="1"/>
  <c r="EJ39" i="9" s="1"/>
  <c r="DA38" i="9" a="1"/>
  <c r="DA38" i="9" s="1"/>
  <c r="EI37" i="9" a="1"/>
  <c r="EI37" i="9" s="1"/>
  <c r="EJ35" i="9" a="1"/>
  <c r="EJ35" i="9" s="1"/>
  <c r="DA34" i="9" a="1"/>
  <c r="DA34" i="9" s="1"/>
  <c r="EI33" i="9" a="1"/>
  <c r="EI33" i="9" s="1"/>
  <c r="EJ31" i="9" a="1"/>
  <c r="EJ31" i="9" s="1"/>
  <c r="DA30" i="9" a="1"/>
  <c r="DA30" i="9" s="1"/>
  <c r="DA28" i="9" a="1"/>
  <c r="DA28" i="9" s="1"/>
  <c r="EI27" i="9" a="1"/>
  <c r="EI27" i="9" s="1"/>
  <c r="DA27" i="9" a="1"/>
  <c r="DA27" i="9" s="1"/>
  <c r="DA25" i="9" a="1"/>
  <c r="DA25" i="9" s="1"/>
  <c r="EJ22" i="9" a="1"/>
  <c r="EJ22" i="9" s="1"/>
  <c r="EJ20" i="9" a="1"/>
  <c r="EJ20" i="9" s="1"/>
  <c r="DA19" i="9" a="1"/>
  <c r="DA19" i="9" s="1"/>
  <c r="DA17" i="9" a="1"/>
  <c r="DA17" i="9" s="1"/>
  <c r="DA16" i="9" a="1"/>
  <c r="DA16" i="9" s="1"/>
  <c r="EJ15" i="9" a="1"/>
  <c r="EJ15" i="9" s="1"/>
  <c r="DA14" i="9" a="1"/>
  <c r="DA14" i="9" s="1"/>
  <c r="EJ13" i="9" a="1"/>
  <c r="EJ13" i="9" s="1"/>
  <c r="DA11" i="9" a="1"/>
  <c r="DA11" i="9" s="1"/>
  <c r="EJ9" i="9" a="1"/>
  <c r="EJ9" i="9" s="1"/>
  <c r="DA40" i="9" a="1"/>
  <c r="DA40" i="9" s="1"/>
  <c r="DA39" i="9" a="1"/>
  <c r="DA39" i="9" s="1"/>
  <c r="EI38" i="9" a="1"/>
  <c r="EI38" i="9" s="1"/>
  <c r="EJ36" i="9" a="1"/>
  <c r="EJ36" i="9" s="1"/>
  <c r="DA35" i="9" a="1"/>
  <c r="DA35" i="9" s="1"/>
  <c r="EI34" i="9" a="1"/>
  <c r="EI34" i="9" s="1"/>
  <c r="EJ32" i="9" a="1"/>
  <c r="EJ32" i="9" s="1"/>
  <c r="DA31" i="9" a="1"/>
  <c r="DA31" i="9" s="1"/>
  <c r="EI30" i="9" a="1"/>
  <c r="EI30" i="9" s="1"/>
  <c r="EI29" i="9" a="1"/>
  <c r="EI29" i="9" s="1"/>
  <c r="DA29" i="9" a="1"/>
  <c r="DA29" i="9" s="1"/>
  <c r="EI28" i="9" a="1"/>
  <c r="EI28" i="9" s="1"/>
  <c r="EI26" i="9" a="1"/>
  <c r="EI26" i="9" s="1"/>
  <c r="DA26" i="9" a="1"/>
  <c r="DA26" i="9" s="1"/>
  <c r="EI25" i="9" a="1"/>
  <c r="EI25" i="9" s="1"/>
  <c r="EI24" i="9" a="1"/>
  <c r="EI24" i="9" s="1"/>
  <c r="DA24" i="9" a="1"/>
  <c r="DA24" i="9" s="1"/>
  <c r="EJ23" i="9" a="1"/>
  <c r="EJ23" i="9" s="1"/>
  <c r="DA22" i="9" a="1"/>
  <c r="DA22" i="9" s="1"/>
  <c r="EI21" i="9" a="1"/>
  <c r="EI21" i="9" s="1"/>
  <c r="DA21" i="9" a="1"/>
  <c r="DA21" i="9" s="1"/>
  <c r="DA20" i="9" a="1"/>
  <c r="DA20" i="9" s="1"/>
  <c r="EI19" i="9" a="1"/>
  <c r="EI19" i="9" s="1"/>
  <c r="EI18" i="9" a="1"/>
  <c r="EI18" i="9" s="1"/>
  <c r="DA18" i="9" a="1"/>
  <c r="DA18" i="9" s="1"/>
  <c r="EI17" i="9" a="1"/>
  <c r="EI17" i="9" s="1"/>
  <c r="EI16" i="9" a="1"/>
  <c r="EI16" i="9" s="1"/>
  <c r="DA15" i="9" a="1"/>
  <c r="DA15" i="9" s="1"/>
  <c r="EI14" i="9" a="1"/>
  <c r="EI14" i="9" s="1"/>
  <c r="DA13" i="9" a="1"/>
  <c r="DA13" i="9" s="1"/>
  <c r="EI12" i="9" a="1"/>
  <c r="EI12" i="9" s="1"/>
  <c r="DA12" i="9" a="1"/>
  <c r="DA12" i="9" s="1"/>
  <c r="EI11" i="9" a="1"/>
  <c r="EI11" i="9" s="1"/>
  <c r="EI10" i="9" a="1"/>
  <c r="EI10" i="9" s="1"/>
  <c r="DA10" i="9" a="1"/>
  <c r="DA10" i="9" s="1"/>
  <c r="DA9" i="9" a="1"/>
  <c r="DA9" i="9" s="1"/>
  <c r="EI40" i="9" a="1"/>
  <c r="EI40" i="9" s="1"/>
  <c r="EI39" i="9" a="1"/>
  <c r="EI39" i="9" s="1"/>
  <c r="EJ37" i="9" a="1"/>
  <c r="EJ37" i="9" s="1"/>
  <c r="DA36" i="9" a="1"/>
  <c r="DA36" i="9" s="1"/>
  <c r="EI35" i="9" a="1"/>
  <c r="EI35" i="9" s="1"/>
  <c r="EJ33" i="9" a="1"/>
  <c r="EJ33" i="9" s="1"/>
  <c r="DA32" i="9" a="1"/>
  <c r="DA32" i="9" s="1"/>
  <c r="EI31" i="9" a="1"/>
  <c r="EI31" i="9" s="1"/>
  <c r="EJ27" i="9" a="1"/>
  <c r="EJ27" i="9" s="1"/>
  <c r="DA23" i="9" a="1"/>
  <c r="DA23" i="9" s="1"/>
  <c r="EI22" i="9" a="1"/>
  <c r="EI22" i="9" s="1"/>
  <c r="EI20" i="9" a="1"/>
  <c r="EI20" i="9" s="1"/>
  <c r="EI15" i="9" a="1"/>
  <c r="EI15" i="9" s="1"/>
  <c r="EI13" i="9" a="1"/>
  <c r="EI13" i="9" s="1"/>
  <c r="EI9" i="9" a="1"/>
  <c r="EI9" i="9" s="1"/>
  <c r="EJ38" i="9" a="1"/>
  <c r="EJ38" i="9" s="1"/>
  <c r="DA37" i="9" a="1"/>
  <c r="DA37" i="9" s="1"/>
  <c r="EI36" i="9" a="1"/>
  <c r="EI36" i="9" s="1"/>
  <c r="EJ34" i="9" a="1"/>
  <c r="EJ34" i="9" s="1"/>
  <c r="DA33" i="9" a="1"/>
  <c r="DA33" i="9" s="1"/>
  <c r="EI32" i="9" a="1"/>
  <c r="EI32" i="9" s="1"/>
  <c r="EJ30" i="9" a="1"/>
  <c r="EJ30" i="9" s="1"/>
  <c r="EJ29" i="9" a="1"/>
  <c r="EJ29" i="9" s="1"/>
  <c r="EJ28" i="9" a="1"/>
  <c r="EJ28" i="9" s="1"/>
  <c r="EJ26" i="9" a="1"/>
  <c r="EJ26" i="9" s="1"/>
  <c r="EJ25" i="9" a="1"/>
  <c r="EJ25" i="9" s="1"/>
  <c r="EJ24" i="9" a="1"/>
  <c r="EJ24" i="9" s="1"/>
  <c r="EI23" i="9" a="1"/>
  <c r="EI23" i="9" s="1"/>
  <c r="EJ21" i="9" a="1"/>
  <c r="EJ21" i="9" s="1"/>
  <c r="EJ19" i="9" a="1"/>
  <c r="EJ19" i="9" s="1"/>
  <c r="EJ18" i="9" a="1"/>
  <c r="EJ18" i="9" s="1"/>
  <c r="EJ17" i="9" a="1"/>
  <c r="EJ17" i="9" s="1"/>
  <c r="EJ16" i="9" a="1"/>
  <c r="EJ16" i="9" s="1"/>
  <c r="EJ14" i="9" a="1"/>
  <c r="EJ14" i="9" s="1"/>
  <c r="EJ12" i="9" a="1"/>
  <c r="EJ12" i="9" s="1"/>
  <c r="EJ11" i="9" a="1"/>
  <c r="EJ11" i="9" s="1"/>
  <c r="EJ10" i="9" a="1"/>
  <c r="EJ10" i="9" s="1"/>
  <c r="H112" i="9" a="1"/>
  <c r="H112" i="9" s="1"/>
  <c r="H110" i="9" a="1"/>
  <c r="H110" i="9" s="1"/>
  <c r="AP109" i="9" a="1"/>
  <c r="AP109" i="9" s="1"/>
  <c r="H109" i="9" a="1"/>
  <c r="H109" i="9" s="1"/>
  <c r="AQ108" i="9" a="1"/>
  <c r="AQ108" i="9" s="1"/>
  <c r="H107" i="9" a="1"/>
  <c r="H107" i="9" s="1"/>
  <c r="H106" i="9" a="1"/>
  <c r="H106" i="9" s="1"/>
  <c r="AP105" i="9" a="1"/>
  <c r="AP105" i="9" s="1"/>
  <c r="AP104" i="9" a="1"/>
  <c r="AP104" i="9" s="1"/>
  <c r="AP103" i="9" a="1"/>
  <c r="AP103" i="9" s="1"/>
  <c r="AP112" i="9" a="1"/>
  <c r="AP112" i="9" s="1"/>
  <c r="AP111" i="9" a="1"/>
  <c r="AP111" i="9" s="1"/>
  <c r="H111" i="9" a="1"/>
  <c r="H111" i="9" s="1"/>
  <c r="AP110" i="9" a="1"/>
  <c r="AP110" i="9" s="1"/>
  <c r="H108" i="9" a="1"/>
  <c r="H108" i="9" s="1"/>
  <c r="AP107" i="9" a="1"/>
  <c r="AP107" i="9" s="1"/>
  <c r="AP106" i="9" a="1"/>
  <c r="AP106" i="9" s="1"/>
  <c r="AQ102" i="9" a="1"/>
  <c r="AQ102" i="9" s="1"/>
  <c r="AQ101" i="9" a="1"/>
  <c r="AQ101" i="9" s="1"/>
  <c r="AQ100" i="9" a="1"/>
  <c r="AQ100" i="9" s="1"/>
  <c r="AQ109" i="9" a="1"/>
  <c r="AQ109" i="9" s="1"/>
  <c r="AP108" i="9" a="1"/>
  <c r="AP108" i="9" s="1"/>
  <c r="AQ105" i="9" a="1"/>
  <c r="AQ105" i="9" s="1"/>
  <c r="AQ104" i="9" a="1"/>
  <c r="AQ104" i="9" s="1"/>
  <c r="AQ103" i="9" a="1"/>
  <c r="AQ103" i="9" s="1"/>
  <c r="H102" i="9" a="1"/>
  <c r="H102" i="9" s="1"/>
  <c r="H101" i="9" a="1"/>
  <c r="H101" i="9" s="1"/>
  <c r="H100" i="9" a="1"/>
  <c r="H100" i="9" s="1"/>
  <c r="AP99" i="9" a="1"/>
  <c r="AP99" i="9" s="1"/>
  <c r="H99" i="9" a="1"/>
  <c r="H99" i="9" s="1"/>
  <c r="AP98" i="9" a="1"/>
  <c r="AP98" i="9" s="1"/>
  <c r="AP97" i="9" a="1"/>
  <c r="AP97" i="9" s="1"/>
  <c r="AP96" i="9" a="1"/>
  <c r="AP96" i="9" s="1"/>
  <c r="AQ112" i="9" a="1"/>
  <c r="AQ112" i="9" s="1"/>
  <c r="AQ111" i="9" a="1"/>
  <c r="AQ111" i="9" s="1"/>
  <c r="AQ110" i="9" a="1"/>
  <c r="AQ110" i="9" s="1"/>
  <c r="AQ107" i="9" a="1"/>
  <c r="AQ107" i="9" s="1"/>
  <c r="AQ106" i="9" a="1"/>
  <c r="AQ106" i="9" s="1"/>
  <c r="H105" i="9" a="1"/>
  <c r="H105" i="9" s="1"/>
  <c r="H104" i="9" a="1"/>
  <c r="H104" i="9" s="1"/>
  <c r="H103" i="9" a="1"/>
  <c r="H103" i="9" s="1"/>
  <c r="AP102" i="9" a="1"/>
  <c r="AP102" i="9" s="1"/>
  <c r="AP101" i="9" a="1"/>
  <c r="AP101" i="9" s="1"/>
  <c r="AP100" i="9" a="1"/>
  <c r="AP100" i="9" s="1"/>
  <c r="AQ95" i="9" a="1"/>
  <c r="AQ95" i="9" s="1"/>
  <c r="H98" i="9" a="1"/>
  <c r="H98" i="9" s="1"/>
  <c r="AQ94" i="9" a="1"/>
  <c r="AQ94" i="9" s="1"/>
  <c r="AQ93" i="9" a="1"/>
  <c r="AQ93" i="9" s="1"/>
  <c r="AQ92" i="9" a="1"/>
  <c r="AQ92" i="9" s="1"/>
  <c r="AQ90" i="9" a="1"/>
  <c r="AQ90" i="9" s="1"/>
  <c r="AQ88" i="9" a="1"/>
  <c r="AQ88" i="9" s="1"/>
  <c r="AQ85" i="9" a="1"/>
  <c r="AQ85" i="9" s="1"/>
  <c r="AQ84" i="9" a="1"/>
  <c r="AQ84" i="9" s="1"/>
  <c r="AP81" i="9" a="1"/>
  <c r="AP81" i="9" s="1"/>
  <c r="AQ99" i="9" a="1"/>
  <c r="AQ99" i="9" s="1"/>
  <c r="H94" i="9" a="1"/>
  <c r="H94" i="9" s="1"/>
  <c r="H92" i="9" a="1"/>
  <c r="H92" i="9" s="1"/>
  <c r="AQ91" i="9" a="1"/>
  <c r="AQ91" i="9" s="1"/>
  <c r="H90" i="9" a="1"/>
  <c r="H90" i="9" s="1"/>
  <c r="AP89" i="9" a="1"/>
  <c r="AP89" i="9" s="1"/>
  <c r="H89" i="9" a="1"/>
  <c r="H89" i="9" s="1"/>
  <c r="H88" i="9" a="1"/>
  <c r="H88" i="9" s="1"/>
  <c r="AP87" i="9" a="1"/>
  <c r="AP87" i="9" s="1"/>
  <c r="H87" i="9" a="1"/>
  <c r="H87" i="9" s="1"/>
  <c r="AQ86" i="9" a="1"/>
  <c r="AQ86" i="9" s="1"/>
  <c r="H85" i="9" a="1"/>
  <c r="H85" i="9" s="1"/>
  <c r="AQ83" i="9" a="1"/>
  <c r="AQ83" i="9" s="1"/>
  <c r="AQ97" i="9" a="1"/>
  <c r="AQ97" i="9" s="1"/>
  <c r="AQ96" i="9" a="1"/>
  <c r="AQ96" i="9" s="1"/>
  <c r="AP95" i="9" a="1"/>
  <c r="AP95" i="9" s="1"/>
  <c r="H95" i="9" a="1"/>
  <c r="H95" i="9" s="1"/>
  <c r="AP94" i="9" a="1"/>
  <c r="AP94" i="9" s="1"/>
  <c r="AP93" i="9" a="1"/>
  <c r="AP93" i="9" s="1"/>
  <c r="H93" i="9" a="1"/>
  <c r="H93" i="9" s="1"/>
  <c r="AP92" i="9" a="1"/>
  <c r="AP92" i="9" s="1"/>
  <c r="H91" i="9" a="1"/>
  <c r="H91" i="9" s="1"/>
  <c r="AP90" i="9" a="1"/>
  <c r="AP90" i="9" s="1"/>
  <c r="AP88" i="9" a="1"/>
  <c r="AP88" i="9" s="1"/>
  <c r="H86" i="9" a="1"/>
  <c r="H86" i="9" s="1"/>
  <c r="AP85" i="9" a="1"/>
  <c r="AP85" i="9" s="1"/>
  <c r="AP84" i="9" a="1"/>
  <c r="AP84" i="9" s="1"/>
  <c r="H84" i="9" a="1"/>
  <c r="H84" i="9" s="1"/>
  <c r="H83" i="9" a="1"/>
  <c r="H83" i="9" s="1"/>
  <c r="AQ81" i="9" a="1"/>
  <c r="AQ81" i="9" s="1"/>
  <c r="H80" i="9" a="1"/>
  <c r="H80" i="9" s="1"/>
  <c r="AP79" i="9" a="1"/>
  <c r="AP79" i="9" s="1"/>
  <c r="AQ98" i="9" a="1"/>
  <c r="AQ98" i="9" s="1"/>
  <c r="H97" i="9" a="1"/>
  <c r="H97" i="9" s="1"/>
  <c r="H96" i="9" a="1"/>
  <c r="H96" i="9" s="1"/>
  <c r="AP91" i="9" a="1"/>
  <c r="AP91" i="9" s="1"/>
  <c r="AQ89" i="9" a="1"/>
  <c r="AQ89" i="9" s="1"/>
  <c r="AQ87" i="9" a="1"/>
  <c r="AQ87" i="9" s="1"/>
  <c r="AP86" i="9" a="1"/>
  <c r="AP86" i="9" s="1"/>
  <c r="AP83" i="9" a="1"/>
  <c r="AP83" i="9" s="1"/>
  <c r="AP82" i="9" a="1"/>
  <c r="AP82" i="9" s="1"/>
  <c r="H82" i="9" a="1"/>
  <c r="H82" i="9" s="1"/>
  <c r="H81" i="9" a="1"/>
  <c r="H81" i="9" s="1"/>
  <c r="AP80" i="9" a="1"/>
  <c r="AP80" i="9" s="1"/>
  <c r="AQ78" i="9" a="1"/>
  <c r="AQ78" i="9" s="1"/>
  <c r="AQ80" i="9" a="1"/>
  <c r="AQ80" i="9" s="1"/>
  <c r="H78" i="9" a="1"/>
  <c r="H78" i="9" s="1"/>
  <c r="AQ76" i="9" a="1"/>
  <c r="AQ76" i="9" s="1"/>
  <c r="H75" i="9" a="1"/>
  <c r="H75" i="9" s="1"/>
  <c r="AQ74" i="9" a="1"/>
  <c r="AQ74" i="9" s="1"/>
  <c r="H73" i="9" a="1"/>
  <c r="H73" i="9" s="1"/>
  <c r="AP72" i="9" a="1"/>
  <c r="AP72" i="9" s="1"/>
  <c r="H72" i="9" a="1"/>
  <c r="H72" i="9" s="1"/>
  <c r="H71" i="9" a="1"/>
  <c r="H71" i="9" s="1"/>
  <c r="AP70" i="9" a="1"/>
  <c r="AP70" i="9" s="1"/>
  <c r="AP69" i="9" a="1"/>
  <c r="AP69" i="9" s="1"/>
  <c r="H69" i="9" a="1"/>
  <c r="H69" i="9" s="1"/>
  <c r="AP68" i="9" a="1"/>
  <c r="AP68" i="9" s="1"/>
  <c r="AP67" i="9" a="1"/>
  <c r="AP67" i="9" s="1"/>
  <c r="AP66" i="9" a="1"/>
  <c r="AP66" i="9" s="1"/>
  <c r="AQ64" i="9" a="1"/>
  <c r="AQ64" i="9" s="1"/>
  <c r="AQ63" i="9" a="1"/>
  <c r="AQ63" i="9" s="1"/>
  <c r="AQ61" i="9" a="1"/>
  <c r="AQ61" i="9" s="1"/>
  <c r="AQ79" i="9" a="1"/>
  <c r="AQ79" i="9" s="1"/>
  <c r="AP78" i="9" a="1"/>
  <c r="AP78" i="9" s="1"/>
  <c r="AQ77" i="9" a="1"/>
  <c r="AQ77" i="9" s="1"/>
  <c r="H76" i="9" a="1"/>
  <c r="H76" i="9" s="1"/>
  <c r="AP75" i="9" a="1"/>
  <c r="AP75" i="9" s="1"/>
  <c r="H74" i="9" a="1"/>
  <c r="H74" i="9" s="1"/>
  <c r="AP73" i="9" a="1"/>
  <c r="AP73" i="9" s="1"/>
  <c r="AP71" i="9" a="1"/>
  <c r="AP71" i="9" s="1"/>
  <c r="AQ65" i="9" a="1"/>
  <c r="AQ65" i="9" s="1"/>
  <c r="H63" i="9" a="1"/>
  <c r="H63" i="9" s="1"/>
  <c r="AP62" i="9" a="1"/>
  <c r="AP62" i="9" s="1"/>
  <c r="H62" i="9" a="1"/>
  <c r="H62" i="9" s="1"/>
  <c r="H60" i="9" a="1"/>
  <c r="H60" i="9" s="1"/>
  <c r="H79" i="9" a="1"/>
  <c r="H79" i="9" s="1"/>
  <c r="H77" i="9" a="1"/>
  <c r="H77" i="9" s="1"/>
  <c r="AP76" i="9" a="1"/>
  <c r="AP76" i="9" s="1"/>
  <c r="AP74" i="9" a="1"/>
  <c r="AP74" i="9" s="1"/>
  <c r="AQ72" i="9" a="1"/>
  <c r="AQ72" i="9" s="1"/>
  <c r="AQ70" i="9" a="1"/>
  <c r="AQ70" i="9" s="1"/>
  <c r="AQ69" i="9" a="1"/>
  <c r="AQ69" i="9" s="1"/>
  <c r="AQ68" i="9" a="1"/>
  <c r="AQ68" i="9" s="1"/>
  <c r="AQ67" i="9" a="1"/>
  <c r="AQ67" i="9" s="1"/>
  <c r="AQ66" i="9" a="1"/>
  <c r="AQ66" i="9" s="1"/>
  <c r="H65" i="9" a="1"/>
  <c r="H65" i="9" s="1"/>
  <c r="AP64" i="9" a="1"/>
  <c r="AP64" i="9" s="1"/>
  <c r="H64" i="9" a="1"/>
  <c r="H64" i="9" s="1"/>
  <c r="AP63" i="9" a="1"/>
  <c r="AP63" i="9" s="1"/>
  <c r="AQ82" i="9" a="1"/>
  <c r="AQ82" i="9" s="1"/>
  <c r="AP77" i="9" a="1"/>
  <c r="AP77" i="9" s="1"/>
  <c r="AQ75" i="9" a="1"/>
  <c r="AQ75" i="9" s="1"/>
  <c r="AQ73" i="9" a="1"/>
  <c r="AQ73" i="9" s="1"/>
  <c r="AQ71" i="9" a="1"/>
  <c r="AQ71" i="9" s="1"/>
  <c r="H70" i="9" a="1"/>
  <c r="H70" i="9" s="1"/>
  <c r="H68" i="9" a="1"/>
  <c r="H68" i="9" s="1"/>
  <c r="H67" i="9" a="1"/>
  <c r="H67" i="9" s="1"/>
  <c r="H66" i="9" a="1"/>
  <c r="H66" i="9" s="1"/>
  <c r="AP65" i="9" a="1"/>
  <c r="AP65" i="9" s="1"/>
  <c r="AQ62" i="9" a="1"/>
  <c r="AQ62" i="9" s="1"/>
  <c r="AP61" i="9" a="1"/>
  <c r="AP61" i="9" s="1"/>
  <c r="AQ58" i="9" a="1"/>
  <c r="AQ58" i="9" s="1"/>
  <c r="H57" i="9" a="1"/>
  <c r="H57" i="9" s="1"/>
  <c r="AP56" i="9" a="1"/>
  <c r="AP56" i="9" s="1"/>
  <c r="AP55" i="9" a="1"/>
  <c r="AP55" i="9" s="1"/>
  <c r="AQ53" i="9" a="1"/>
  <c r="AQ53" i="9" s="1"/>
  <c r="H52" i="9" a="1"/>
  <c r="H52" i="9" s="1"/>
  <c r="AP51" i="9" a="1"/>
  <c r="AP51" i="9" s="1"/>
  <c r="AQ49" i="9" a="1"/>
  <c r="AQ49" i="9" s="1"/>
  <c r="H48" i="9" a="1"/>
  <c r="H48" i="9" s="1"/>
  <c r="H47" i="9" a="1"/>
  <c r="H47" i="9" s="1"/>
  <c r="AP46" i="9" a="1"/>
  <c r="AP46" i="9" s="1"/>
  <c r="H46" i="9" a="1"/>
  <c r="H46" i="9" s="1"/>
  <c r="AP45" i="9" a="1"/>
  <c r="AP45" i="9" s="1"/>
  <c r="AQ43" i="9" a="1"/>
  <c r="AQ43" i="9" s="1"/>
  <c r="H42" i="9" a="1"/>
  <c r="H42" i="9" s="1"/>
  <c r="AQ60" i="9" a="1"/>
  <c r="AQ60" i="9" s="1"/>
  <c r="AQ59" i="9" a="1"/>
  <c r="AQ59" i="9" s="1"/>
  <c r="H58" i="9" a="1"/>
  <c r="H58" i="9" s="1"/>
  <c r="AP57" i="9" a="1"/>
  <c r="AP57" i="9" s="1"/>
  <c r="AQ54" i="9" a="1"/>
  <c r="AQ54" i="9" s="1"/>
  <c r="H53" i="9" a="1"/>
  <c r="H53" i="9" s="1"/>
  <c r="AP52" i="9" a="1"/>
  <c r="AP52" i="9" s="1"/>
  <c r="AQ50" i="9" a="1"/>
  <c r="AQ50" i="9" s="1"/>
  <c r="H49" i="9" a="1"/>
  <c r="H49" i="9" s="1"/>
  <c r="AP48" i="9" a="1"/>
  <c r="AP48" i="9" s="1"/>
  <c r="AP47" i="9" a="1"/>
  <c r="AP47" i="9" s="1"/>
  <c r="AQ44" i="9" a="1"/>
  <c r="AQ44" i="9" s="1"/>
  <c r="H43" i="9" a="1"/>
  <c r="H43" i="9" s="1"/>
  <c r="AP42" i="9" a="1"/>
  <c r="AP42" i="9" s="1"/>
  <c r="AP41" i="9" a="1"/>
  <c r="AP41" i="9" s="1"/>
  <c r="H41" i="9" a="1"/>
  <c r="H41" i="9" s="1"/>
  <c r="AP40" i="9" a="1"/>
  <c r="AP40" i="9" s="1"/>
  <c r="H61" i="9" a="1"/>
  <c r="H61" i="9" s="1"/>
  <c r="AP60" i="9" a="1"/>
  <c r="AP60" i="9" s="1"/>
  <c r="AP59" i="9" a="1"/>
  <c r="AP59" i="9" s="1"/>
  <c r="H59" i="9" a="1"/>
  <c r="H59" i="9" s="1"/>
  <c r="AP58" i="9" a="1"/>
  <c r="AP58" i="9" s="1"/>
  <c r="AQ56" i="9" a="1"/>
  <c r="AQ56" i="9" s="1"/>
  <c r="AQ55" i="9" a="1"/>
  <c r="AQ55" i="9" s="1"/>
  <c r="H54" i="9" a="1"/>
  <c r="H54" i="9" s="1"/>
  <c r="AP53" i="9" a="1"/>
  <c r="AP53" i="9" s="1"/>
  <c r="AQ51" i="9" a="1"/>
  <c r="AQ51" i="9" s="1"/>
  <c r="H50" i="9" a="1"/>
  <c r="H50" i="9" s="1"/>
  <c r="AP49" i="9" a="1"/>
  <c r="AP49" i="9" s="1"/>
  <c r="AQ46" i="9" a="1"/>
  <c r="AQ46" i="9" s="1"/>
  <c r="AQ45" i="9" a="1"/>
  <c r="AQ45" i="9" s="1"/>
  <c r="H44" i="9" a="1"/>
  <c r="H44" i="9" s="1"/>
  <c r="AP43" i="9" a="1"/>
  <c r="AP43" i="9" s="1"/>
  <c r="AQ57" i="9" a="1"/>
  <c r="AQ57" i="9" s="1"/>
  <c r="H56" i="9" a="1"/>
  <c r="H56" i="9" s="1"/>
  <c r="H55" i="9" a="1"/>
  <c r="H55" i="9" s="1"/>
  <c r="AP54" i="9" a="1"/>
  <c r="AP54" i="9" s="1"/>
  <c r="AQ52" i="9" a="1"/>
  <c r="AQ52" i="9" s="1"/>
  <c r="H51" i="9" a="1"/>
  <c r="H51" i="9" s="1"/>
  <c r="AP50" i="9" a="1"/>
  <c r="AP50" i="9" s="1"/>
  <c r="AQ48" i="9" a="1"/>
  <c r="AQ48" i="9" s="1"/>
  <c r="AQ47" i="9" a="1"/>
  <c r="AQ47" i="9" s="1"/>
  <c r="H45" i="9" a="1"/>
  <c r="H45" i="9" s="1"/>
  <c r="AP44" i="9" a="1"/>
  <c r="AP44" i="9" s="1"/>
  <c r="AQ42" i="9" a="1"/>
  <c r="AQ42" i="9" s="1"/>
  <c r="H40" i="9" a="1"/>
  <c r="H40" i="9" s="1"/>
  <c r="AP39" i="9" a="1"/>
  <c r="AP39" i="9" s="1"/>
  <c r="AQ37" i="9" a="1"/>
  <c r="AQ37" i="9" s="1"/>
  <c r="H36" i="9" a="1"/>
  <c r="H36" i="9" s="1"/>
  <c r="AP35" i="9" a="1"/>
  <c r="AP35" i="9" s="1"/>
  <c r="AQ33" i="9" a="1"/>
  <c r="AQ33" i="9" s="1"/>
  <c r="H32" i="9" a="1"/>
  <c r="H32" i="9" s="1"/>
  <c r="AP31" i="9" a="1"/>
  <c r="AP31" i="9" s="1"/>
  <c r="AP30" i="9" a="1"/>
  <c r="AP30" i="9" s="1"/>
  <c r="AP29" i="9" a="1"/>
  <c r="AP29" i="9" s="1"/>
  <c r="AP26" i="9" a="1"/>
  <c r="AP26" i="9" s="1"/>
  <c r="H23" i="9" a="1"/>
  <c r="H23" i="9" s="1"/>
  <c r="AP22" i="9" a="1"/>
  <c r="AP22" i="9" s="1"/>
  <c r="H21" i="9" a="1"/>
  <c r="H21" i="9" s="1"/>
  <c r="AP20" i="9" a="1"/>
  <c r="AP20" i="9" s="1"/>
  <c r="AP18" i="9" a="1"/>
  <c r="AP18" i="9" s="1"/>
  <c r="AP16" i="9" a="1"/>
  <c r="AP16" i="9" s="1"/>
  <c r="H16" i="9" a="1"/>
  <c r="H16" i="9" s="1"/>
  <c r="AP15" i="9" a="1"/>
  <c r="AP15" i="9" s="1"/>
  <c r="AP14" i="9" a="1"/>
  <c r="AP14" i="9" s="1"/>
  <c r="H14" i="9" a="1"/>
  <c r="H14" i="9" s="1"/>
  <c r="AP13" i="9" a="1"/>
  <c r="AP13" i="9" s="1"/>
  <c r="AP12" i="9" a="1"/>
  <c r="AP12" i="9" s="1"/>
  <c r="AP11" i="9" a="1"/>
  <c r="AP11" i="9" s="1"/>
  <c r="AP10" i="9" a="1"/>
  <c r="AP10" i="9" s="1"/>
  <c r="H10" i="9" a="1"/>
  <c r="H10" i="9" s="1"/>
  <c r="AP9" i="9" a="1"/>
  <c r="AP9" i="9" s="1"/>
  <c r="AQ40" i="9" a="1"/>
  <c r="AQ40" i="9" s="1"/>
  <c r="AQ38" i="9" a="1"/>
  <c r="AQ38" i="9" s="1"/>
  <c r="H37" i="9" a="1"/>
  <c r="H37" i="9" s="1"/>
  <c r="AP36" i="9" a="1"/>
  <c r="AP36" i="9" s="1"/>
  <c r="AQ34" i="9" a="1"/>
  <c r="AQ34" i="9" s="1"/>
  <c r="H33" i="9" a="1"/>
  <c r="H33" i="9" s="1"/>
  <c r="AP32" i="9" a="1"/>
  <c r="AP32" i="9" s="1"/>
  <c r="AQ28" i="9" a="1"/>
  <c r="AQ28" i="9" s="1"/>
  <c r="AQ27" i="9" a="1"/>
  <c r="AQ27" i="9" s="1"/>
  <c r="AQ25" i="9" a="1"/>
  <c r="AQ25" i="9" s="1"/>
  <c r="AP24" i="9" a="1"/>
  <c r="AP24" i="9" s="1"/>
  <c r="H24" i="9" a="1"/>
  <c r="H24" i="9" s="1"/>
  <c r="AP23" i="9" a="1"/>
  <c r="AP23" i="9" s="1"/>
  <c r="AP21" i="9" a="1"/>
  <c r="AP21" i="9" s="1"/>
  <c r="AQ19" i="9" a="1"/>
  <c r="AQ19" i="9" s="1"/>
  <c r="AQ17" i="9" a="1"/>
  <c r="AQ17" i="9" s="1"/>
  <c r="AQ41" i="9" a="1"/>
  <c r="AQ41" i="9" s="1"/>
  <c r="AQ39" i="9" a="1"/>
  <c r="AQ39" i="9" s="1"/>
  <c r="H38" i="9" a="1"/>
  <c r="H38" i="9" s="1"/>
  <c r="AP37" i="9" a="1"/>
  <c r="AP37" i="9" s="1"/>
  <c r="AQ35" i="9" a="1"/>
  <c r="AQ35" i="9" s="1"/>
  <c r="H34" i="9" a="1"/>
  <c r="H34" i="9" s="1"/>
  <c r="AP33" i="9" a="1"/>
  <c r="AP33" i="9" s="1"/>
  <c r="AQ31" i="9" a="1"/>
  <c r="AQ31" i="9" s="1"/>
  <c r="AQ30" i="9" a="1"/>
  <c r="AQ30" i="9" s="1"/>
  <c r="AQ29" i="9" a="1"/>
  <c r="AQ29" i="9" s="1"/>
  <c r="H28" i="9" a="1"/>
  <c r="H28" i="9" s="1"/>
  <c r="AQ26" i="9" a="1"/>
  <c r="AQ26" i="9" s="1"/>
  <c r="AQ22" i="9" a="1"/>
  <c r="AQ22" i="9" s="1"/>
  <c r="AQ20" i="9" a="1"/>
  <c r="AQ20" i="9" s="1"/>
  <c r="AQ18" i="9" a="1"/>
  <c r="AQ18" i="9" s="1"/>
  <c r="AQ16" i="9" a="1"/>
  <c r="AQ16" i="9" s="1"/>
  <c r="AQ15" i="9" a="1"/>
  <c r="AQ15" i="9" s="1"/>
  <c r="AQ14" i="9" a="1"/>
  <c r="AQ14" i="9" s="1"/>
  <c r="AQ13" i="9" a="1"/>
  <c r="AQ13" i="9" s="1"/>
  <c r="AQ12" i="9" a="1"/>
  <c r="AQ12" i="9" s="1"/>
  <c r="AQ11" i="9" a="1"/>
  <c r="AQ11" i="9" s="1"/>
  <c r="AQ10" i="9" a="1"/>
  <c r="AQ10" i="9" s="1"/>
  <c r="AQ9" i="9" a="1"/>
  <c r="AQ9" i="9" s="1"/>
  <c r="H39" i="9" a="1"/>
  <c r="H39" i="9" s="1"/>
  <c r="AP38" i="9" a="1"/>
  <c r="AP38" i="9" s="1"/>
  <c r="AQ36" i="9" a="1"/>
  <c r="AQ36" i="9" s="1"/>
  <c r="H35" i="9" a="1"/>
  <c r="H35" i="9" s="1"/>
  <c r="AP34" i="9" a="1"/>
  <c r="AP34" i="9" s="1"/>
  <c r="AQ32" i="9" a="1"/>
  <c r="AQ32" i="9" s="1"/>
  <c r="H31" i="9" a="1"/>
  <c r="H31" i="9" s="1"/>
  <c r="H30" i="9" a="1"/>
  <c r="H30" i="9" s="1"/>
  <c r="H29" i="9" a="1"/>
  <c r="H29" i="9" s="1"/>
  <c r="AP28" i="9" a="1"/>
  <c r="AP28" i="9" s="1"/>
  <c r="AP27" i="9" a="1"/>
  <c r="AP27" i="9" s="1"/>
  <c r="H27" i="9" a="1"/>
  <c r="H27" i="9" s="1"/>
  <c r="H26" i="9" a="1"/>
  <c r="H26" i="9" s="1"/>
  <c r="AP25" i="9" a="1"/>
  <c r="AP25" i="9" s="1"/>
  <c r="H25" i="9" a="1"/>
  <c r="H25" i="9" s="1"/>
  <c r="AQ24" i="9" a="1"/>
  <c r="AQ24" i="9" s="1"/>
  <c r="AQ23" i="9" a="1"/>
  <c r="AQ23" i="9" s="1"/>
  <c r="H22" i="9" a="1"/>
  <c r="H22" i="9" s="1"/>
  <c r="AQ21" i="9" a="1"/>
  <c r="AQ21" i="9" s="1"/>
  <c r="H20" i="9" a="1"/>
  <c r="H20" i="9" s="1"/>
  <c r="AP19" i="9" a="1"/>
  <c r="AP19" i="9" s="1"/>
  <c r="H19" i="9" a="1"/>
  <c r="H19" i="9" s="1"/>
  <c r="H18" i="9" a="1"/>
  <c r="H18" i="9" s="1"/>
  <c r="AP17" i="9" a="1"/>
  <c r="AP17" i="9" s="1"/>
  <c r="H17" i="9" a="1"/>
  <c r="H17" i="9" s="1"/>
  <c r="H15" i="9" a="1"/>
  <c r="H15" i="9" s="1"/>
  <c r="H13" i="9" a="1"/>
  <c r="H13" i="9" s="1"/>
  <c r="H12" i="9" a="1"/>
  <c r="H12" i="9" s="1"/>
  <c r="H11" i="9" a="1"/>
  <c r="H11" i="9" s="1"/>
  <c r="H9" i="9" a="1"/>
  <c r="H9" i="9" s="1"/>
  <c r="I98" i="5" l="1"/>
  <c r="AG99" i="5"/>
  <c r="AQ116" i="9"/>
  <c r="H116" i="9"/>
  <c r="AF99" i="5"/>
  <c r="AA98" i="5"/>
  <c r="AD98" i="5"/>
  <c r="AC98" i="5"/>
  <c r="AB98" i="5"/>
  <c r="S98" i="5"/>
  <c r="U98" i="5"/>
  <c r="T98" i="5"/>
  <c r="R98" i="5"/>
  <c r="AE99" i="5"/>
  <c r="L98" i="5"/>
  <c r="K98" i="5"/>
  <c r="J98" i="5"/>
  <c r="B100" i="5"/>
  <c r="C99" i="5"/>
  <c r="D42" i="10"/>
  <c r="H4" i="9" s="1"/>
  <c r="E42" i="10"/>
  <c r="E21" i="10" s="1"/>
  <c r="AQ3" i="9"/>
  <c r="C42" i="10"/>
  <c r="C21" i="10" s="1"/>
  <c r="AP3" i="9"/>
  <c r="I99" i="5" l="1"/>
  <c r="AG100" i="5"/>
  <c r="AF100" i="5"/>
  <c r="AD99" i="5"/>
  <c r="AC99" i="5"/>
  <c r="AB99" i="5"/>
  <c r="AA99" i="5"/>
  <c r="U99" i="5"/>
  <c r="T99" i="5"/>
  <c r="R99" i="5"/>
  <c r="S99" i="5"/>
  <c r="L99" i="5"/>
  <c r="J99" i="5"/>
  <c r="K99" i="5"/>
  <c r="H21" i="10"/>
  <c r="B101" i="5"/>
  <c r="C100" i="5"/>
  <c r="AE100" i="5"/>
  <c r="D21" i="10"/>
  <c r="G21" i="10"/>
  <c r="F21" i="10"/>
  <c r="H2" i="9"/>
  <c r="H3" i="9" s="1"/>
  <c r="I100" i="5" l="1"/>
  <c r="AG101" i="5"/>
  <c r="AF101" i="5"/>
  <c r="AB100" i="5"/>
  <c r="AD100" i="5"/>
  <c r="AC100" i="5"/>
  <c r="AA100" i="5"/>
  <c r="T100" i="5"/>
  <c r="U100" i="5"/>
  <c r="R100" i="5"/>
  <c r="S100" i="5"/>
  <c r="L100" i="5"/>
  <c r="K100" i="5"/>
  <c r="J100" i="5"/>
  <c r="B102" i="5"/>
  <c r="AE101" i="5"/>
  <c r="C101" i="5"/>
  <c r="I101" i="5" l="1"/>
  <c r="AG102" i="5"/>
  <c r="AF102" i="5"/>
  <c r="AC101" i="5"/>
  <c r="AB101" i="5"/>
  <c r="AD101" i="5"/>
  <c r="AA101" i="5"/>
  <c r="T101" i="5"/>
  <c r="U101" i="5"/>
  <c r="S101" i="5"/>
  <c r="R101" i="5"/>
  <c r="J101" i="5"/>
  <c r="L101" i="5"/>
  <c r="K101" i="5"/>
  <c r="B103" i="5"/>
  <c r="AE102" i="5"/>
  <c r="C102" i="5"/>
  <c r="I102" i="5" l="1"/>
  <c r="AG103" i="5"/>
  <c r="AF103" i="5"/>
  <c r="AC102" i="5"/>
  <c r="AD102" i="5"/>
  <c r="AB102" i="5"/>
  <c r="AA102" i="5"/>
  <c r="R102" i="5"/>
  <c r="U102" i="5"/>
  <c r="S102" i="5"/>
  <c r="T102" i="5"/>
  <c r="L102" i="5"/>
  <c r="J102" i="5"/>
  <c r="K102" i="5"/>
  <c r="B104" i="5"/>
  <c r="AE103" i="5"/>
  <c r="C103" i="5"/>
  <c r="I103" i="5" l="1"/>
  <c r="AG104" i="5"/>
  <c r="AF104" i="5"/>
  <c r="AB103" i="5"/>
  <c r="AD103" i="5"/>
  <c r="AC103" i="5"/>
  <c r="AA103" i="5"/>
  <c r="U103" i="5"/>
  <c r="R103" i="5"/>
  <c r="T103" i="5"/>
  <c r="S103" i="5"/>
  <c r="J103" i="5"/>
  <c r="L103" i="5"/>
  <c r="K103" i="5"/>
  <c r="AE104" i="5"/>
  <c r="B105" i="5"/>
  <c r="C104" i="5"/>
  <c r="I104" i="5" l="1"/>
  <c r="AG105" i="5"/>
  <c r="AF105" i="5"/>
  <c r="AC104" i="5"/>
  <c r="AB104" i="5"/>
  <c r="AD104" i="5"/>
  <c r="AA104" i="5"/>
  <c r="U104" i="5"/>
  <c r="T104" i="5"/>
  <c r="S104" i="5"/>
  <c r="R104" i="5"/>
  <c r="J104" i="5"/>
  <c r="L104" i="5"/>
  <c r="K104" i="5"/>
  <c r="B106" i="5"/>
  <c r="AE105" i="5"/>
  <c r="C105" i="5"/>
  <c r="I105" i="5" l="1"/>
  <c r="AG106" i="5"/>
  <c r="AF106" i="5"/>
  <c r="AD105" i="5"/>
  <c r="AC105" i="5"/>
  <c r="AB105" i="5"/>
  <c r="AA105" i="5"/>
  <c r="R105" i="5"/>
  <c r="U105" i="5"/>
  <c r="T105" i="5"/>
  <c r="S105" i="5"/>
  <c r="L105" i="5"/>
  <c r="K105" i="5"/>
  <c r="J105" i="5"/>
  <c r="C106" i="5"/>
  <c r="AE106" i="5"/>
  <c r="B107" i="5"/>
  <c r="I106" i="5" l="1"/>
  <c r="AG107" i="5"/>
  <c r="AF107" i="5"/>
  <c r="AB106" i="5"/>
  <c r="AC106" i="5"/>
  <c r="AD106" i="5"/>
  <c r="AA106" i="5"/>
  <c r="R106" i="5"/>
  <c r="U106" i="5"/>
  <c r="T106" i="5"/>
  <c r="S106" i="5"/>
  <c r="L106" i="5"/>
  <c r="K106" i="5"/>
  <c r="J106" i="5"/>
  <c r="C107" i="5"/>
  <c r="B108" i="5"/>
  <c r="AE107" i="5"/>
  <c r="I107" i="5" l="1"/>
  <c r="AG108" i="5"/>
  <c r="AF108" i="5"/>
  <c r="AB107" i="5"/>
  <c r="AD107" i="5"/>
  <c r="AC107" i="5"/>
  <c r="AA107" i="5"/>
  <c r="U107" i="5"/>
  <c r="T107" i="5"/>
  <c r="S107" i="5"/>
  <c r="R107" i="5"/>
  <c r="L107" i="5"/>
  <c r="K107" i="5"/>
  <c r="J107" i="5"/>
  <c r="C108" i="5"/>
  <c r="AE108" i="5"/>
  <c r="B109" i="5"/>
  <c r="I108" i="5" l="1"/>
  <c r="AG109" i="5"/>
  <c r="AF109" i="5"/>
  <c r="AC108" i="5"/>
  <c r="AB108" i="5"/>
  <c r="AD108" i="5"/>
  <c r="AA108" i="5"/>
  <c r="R108" i="5"/>
  <c r="U108" i="5"/>
  <c r="T108" i="5"/>
  <c r="S108" i="5"/>
  <c r="L108" i="5"/>
  <c r="K108" i="5"/>
  <c r="J108" i="5"/>
  <c r="C109" i="5"/>
  <c r="B110" i="5"/>
  <c r="AE109" i="5"/>
  <c r="I109" i="5" l="1"/>
  <c r="AG110" i="5"/>
  <c r="AF110" i="5"/>
  <c r="AD109" i="5"/>
  <c r="AB109" i="5"/>
  <c r="AC109" i="5"/>
  <c r="AA109" i="5"/>
  <c r="R109" i="5"/>
  <c r="U109" i="5"/>
  <c r="T109" i="5"/>
  <c r="S109" i="5"/>
  <c r="L109" i="5"/>
  <c r="K109" i="5"/>
  <c r="J109" i="5"/>
  <c r="AE110" i="5"/>
  <c r="C110" i="5"/>
  <c r="B111" i="5"/>
  <c r="I110" i="5" l="1"/>
  <c r="AG111" i="5"/>
  <c r="AF111" i="5"/>
  <c r="AB110" i="5"/>
  <c r="AD110" i="5"/>
  <c r="AC110" i="5"/>
  <c r="AA110" i="5"/>
  <c r="U110" i="5"/>
  <c r="S110" i="5"/>
  <c r="T110" i="5"/>
  <c r="R110" i="5"/>
  <c r="L110" i="5"/>
  <c r="K110" i="5"/>
  <c r="J110" i="5"/>
  <c r="C111" i="5"/>
  <c r="B112" i="5"/>
  <c r="AE111" i="5"/>
  <c r="I111" i="5" l="1"/>
  <c r="AG112" i="5"/>
  <c r="AF112" i="5"/>
  <c r="AD111" i="5"/>
  <c r="AC111" i="5"/>
  <c r="AB111" i="5"/>
  <c r="AA111" i="5"/>
  <c r="U111" i="5"/>
  <c r="T111" i="5"/>
  <c r="S111" i="5"/>
  <c r="R111" i="5"/>
  <c r="L111" i="5"/>
  <c r="K111" i="5"/>
  <c r="J111" i="5"/>
  <c r="AE112" i="5"/>
  <c r="B113" i="5"/>
  <c r="C112" i="5"/>
  <c r="I112" i="5" l="1"/>
  <c r="AG113" i="5"/>
  <c r="AF113" i="5"/>
  <c r="AC112" i="5"/>
  <c r="AB112" i="5"/>
  <c r="AD112" i="5"/>
  <c r="AA112" i="5"/>
  <c r="U112" i="5"/>
  <c r="T112" i="5"/>
  <c r="S112" i="5"/>
  <c r="R112" i="5"/>
  <c r="K112" i="5"/>
  <c r="L112" i="5"/>
  <c r="J112" i="5"/>
  <c r="B114" i="5"/>
  <c r="AE113" i="5"/>
  <c r="C113" i="5"/>
  <c r="I113" i="5" l="1"/>
  <c r="B115" i="5"/>
  <c r="B116" i="5" s="1"/>
  <c r="B117" i="5" s="1"/>
  <c r="B118" i="5" s="1"/>
  <c r="B119" i="5" s="1"/>
  <c r="B120" i="5" s="1"/>
  <c r="AG114" i="5"/>
  <c r="AF114" i="5"/>
  <c r="AD113" i="5"/>
  <c r="AC113" i="5"/>
  <c r="AB113" i="5"/>
  <c r="AA113" i="5"/>
  <c r="U113" i="5"/>
  <c r="S113" i="5"/>
  <c r="T113" i="5"/>
  <c r="R113" i="5"/>
  <c r="L113" i="5"/>
  <c r="J113" i="5"/>
  <c r="K113" i="5"/>
  <c r="AE114" i="5"/>
  <c r="C114" i="5"/>
  <c r="J114" i="5" l="1"/>
  <c r="I114" i="5"/>
  <c r="C115" i="5"/>
  <c r="AG115" i="5"/>
  <c r="AF115" i="5"/>
  <c r="AA114" i="5"/>
  <c r="AC114" i="5"/>
  <c r="AD114" i="5"/>
  <c r="AB114" i="5"/>
  <c r="U114" i="5"/>
  <c r="T114" i="5"/>
  <c r="S114" i="5"/>
  <c r="R114" i="5"/>
  <c r="K114" i="5"/>
  <c r="L114" i="5"/>
  <c r="C116" i="5"/>
  <c r="AE115" i="5"/>
  <c r="AG116" i="5" l="1"/>
  <c r="AF116" i="5"/>
  <c r="AA115" i="5"/>
  <c r="AD115" i="5"/>
  <c r="AC115" i="5"/>
  <c r="AB115" i="5"/>
  <c r="I115" i="5"/>
  <c r="U115" i="5"/>
  <c r="S115" i="5"/>
  <c r="T115" i="5"/>
  <c r="R115" i="5"/>
  <c r="L115" i="5"/>
  <c r="J115" i="5"/>
  <c r="K115" i="5"/>
  <c r="AE116" i="5"/>
  <c r="AG117" i="5" l="1"/>
  <c r="C117" i="5"/>
  <c r="AF117" i="5"/>
  <c r="AC116" i="5"/>
  <c r="AB116" i="5"/>
  <c r="AD116" i="5"/>
  <c r="AA116" i="5"/>
  <c r="S116" i="5"/>
  <c r="U116" i="5"/>
  <c r="T116" i="5"/>
  <c r="I116" i="5"/>
  <c r="R116" i="5"/>
  <c r="K116" i="5"/>
  <c r="L116" i="5"/>
  <c r="J116" i="5"/>
  <c r="AE117" i="5"/>
  <c r="AG118" i="5" l="1"/>
  <c r="C118" i="5"/>
  <c r="AF118" i="5"/>
  <c r="AD117" i="5"/>
  <c r="AB117" i="5"/>
  <c r="AC117" i="5"/>
  <c r="AA117" i="5"/>
  <c r="T117" i="5"/>
  <c r="U117" i="5"/>
  <c r="R117" i="5"/>
  <c r="S117" i="5"/>
  <c r="L117" i="5"/>
  <c r="I117" i="5"/>
  <c r="J117" i="5"/>
  <c r="K117" i="5"/>
  <c r="AE118" i="5"/>
  <c r="AG119" i="5" l="1"/>
  <c r="C119" i="5"/>
  <c r="AF119" i="5"/>
  <c r="AB118" i="5"/>
  <c r="AD118" i="5"/>
  <c r="AC118" i="5"/>
  <c r="AA118" i="5"/>
  <c r="T118" i="5"/>
  <c r="U118" i="5"/>
  <c r="S118" i="5"/>
  <c r="R118" i="5"/>
  <c r="K118" i="5"/>
  <c r="L118" i="5"/>
  <c r="J118" i="5"/>
  <c r="I118" i="5"/>
  <c r="AE119" i="5"/>
  <c r="AG120" i="5" l="1"/>
  <c r="C120" i="5"/>
  <c r="AF120" i="5"/>
  <c r="AB119" i="5"/>
  <c r="AD119" i="5"/>
  <c r="AC119" i="5"/>
  <c r="AA119" i="5"/>
  <c r="U119" i="5"/>
  <c r="S119" i="5"/>
  <c r="T119" i="5"/>
  <c r="R119" i="5"/>
  <c r="L119" i="5"/>
  <c r="J119" i="5"/>
  <c r="K119" i="5"/>
  <c r="I119" i="5"/>
  <c r="B121" i="5"/>
  <c r="AE120" i="5"/>
  <c r="U120" i="5" s="1"/>
  <c r="AG121" i="5" l="1"/>
  <c r="C121" i="5"/>
  <c r="L120" i="5"/>
  <c r="S120" i="5"/>
  <c r="J120" i="5"/>
  <c r="I120" i="5"/>
  <c r="K120" i="5"/>
  <c r="T120" i="5"/>
  <c r="AB120" i="5"/>
  <c r="AD120" i="5"/>
  <c r="AC120" i="5"/>
  <c r="AA120" i="5"/>
  <c r="R120" i="5"/>
  <c r="AF121" i="5"/>
  <c r="B122" i="5"/>
  <c r="AE121" i="5"/>
  <c r="AA121" i="5" s="1"/>
  <c r="AG122" i="5" l="1"/>
  <c r="C122" i="5"/>
  <c r="I121" i="5"/>
  <c r="K121" i="5"/>
  <c r="L121" i="5"/>
  <c r="AB121" i="5"/>
  <c r="T121" i="5"/>
  <c r="S121" i="5"/>
  <c r="U121" i="5"/>
  <c r="AC121" i="5"/>
  <c r="J121" i="5"/>
  <c r="AD121" i="5"/>
  <c r="R121" i="5"/>
  <c r="AF122" i="5"/>
  <c r="B123" i="5"/>
  <c r="AE122" i="5"/>
  <c r="AA122" i="5" s="1"/>
  <c r="AG123" i="5" l="1"/>
  <c r="C123" i="5"/>
  <c r="I122" i="5"/>
  <c r="L122" i="5"/>
  <c r="T122" i="5"/>
  <c r="S122" i="5"/>
  <c r="U122" i="5"/>
  <c r="AD122" i="5"/>
  <c r="K122" i="5"/>
  <c r="AC122" i="5"/>
  <c r="J122" i="5"/>
  <c r="AB122" i="5"/>
  <c r="R122" i="5"/>
  <c r="AF123" i="5"/>
  <c r="B124" i="5"/>
  <c r="AE123" i="5"/>
  <c r="S123" i="5" s="1"/>
  <c r="AG124" i="5" l="1"/>
  <c r="C124" i="5"/>
  <c r="I123" i="5"/>
  <c r="J123" i="5"/>
  <c r="K123" i="5"/>
  <c r="U123" i="5"/>
  <c r="AD123" i="5"/>
  <c r="AC123" i="5"/>
  <c r="AB123" i="5"/>
  <c r="R123" i="5"/>
  <c r="AA123" i="5"/>
  <c r="L123" i="5"/>
  <c r="T123" i="5"/>
  <c r="AF124" i="5"/>
  <c r="I124" i="5"/>
  <c r="AE124" i="5"/>
  <c r="L124" i="5" s="1"/>
  <c r="B125" i="5"/>
  <c r="AG125" i="5" l="1"/>
  <c r="C125" i="5"/>
  <c r="K124" i="5"/>
  <c r="T124" i="5"/>
  <c r="J124" i="5"/>
  <c r="S124" i="5"/>
  <c r="U124" i="5"/>
  <c r="AB124" i="5"/>
  <c r="AD124" i="5"/>
  <c r="AC124" i="5"/>
  <c r="R124" i="5"/>
  <c r="AA124" i="5"/>
  <c r="AF125" i="5"/>
  <c r="I125" i="5"/>
  <c r="K125" i="5"/>
  <c r="AE125" i="5"/>
  <c r="B126" i="5"/>
  <c r="AG126" i="5" l="1"/>
  <c r="C126" i="5"/>
  <c r="AA125" i="5"/>
  <c r="L125" i="5"/>
  <c r="T125" i="5"/>
  <c r="S125" i="5"/>
  <c r="U125" i="5"/>
  <c r="AC125" i="5"/>
  <c r="AB125" i="5"/>
  <c r="J125" i="5"/>
  <c r="AD125" i="5"/>
  <c r="R125" i="5"/>
  <c r="AF126" i="5"/>
  <c r="I126" i="5"/>
  <c r="B127" i="5"/>
  <c r="AE126" i="5"/>
  <c r="K126" i="5" s="1"/>
  <c r="AG127" i="5" l="1"/>
  <c r="C127" i="5"/>
  <c r="AA126" i="5"/>
  <c r="T126" i="5"/>
  <c r="L126" i="5"/>
  <c r="S126" i="5"/>
  <c r="U126" i="5"/>
  <c r="AD126" i="5"/>
  <c r="AC126" i="5"/>
  <c r="J126" i="5"/>
  <c r="AB126" i="5"/>
  <c r="R126" i="5"/>
  <c r="AF127" i="5"/>
  <c r="I127" i="5"/>
  <c r="AE127" i="5"/>
  <c r="L127" i="5" s="1"/>
  <c r="B128" i="5"/>
  <c r="R127" i="5"/>
  <c r="AG128" i="5" l="1"/>
  <c r="C128" i="5"/>
  <c r="K127" i="5"/>
  <c r="J127" i="5"/>
  <c r="T127" i="5"/>
  <c r="S127" i="5"/>
  <c r="U127" i="5"/>
  <c r="AD127" i="5"/>
  <c r="AC127" i="5"/>
  <c r="AB127" i="5"/>
  <c r="AA127" i="5"/>
  <c r="AF128" i="5"/>
  <c r="B129" i="5"/>
  <c r="AE128" i="5"/>
  <c r="J128" i="5" s="1"/>
  <c r="AG129" i="5" l="1"/>
  <c r="C129" i="5"/>
  <c r="AD128" i="5"/>
  <c r="R128" i="5"/>
  <c r="I128" i="5"/>
  <c r="AC128" i="5"/>
  <c r="AA128" i="5"/>
  <c r="L128" i="5"/>
  <c r="T128" i="5"/>
  <c r="S128" i="5"/>
  <c r="U128" i="5"/>
  <c r="AB128" i="5"/>
  <c r="K128" i="5"/>
  <c r="AF129" i="5"/>
  <c r="B130" i="5"/>
  <c r="AE129" i="5"/>
  <c r="L129" i="5" s="1"/>
  <c r="AG130" i="5" l="1"/>
  <c r="C130" i="5"/>
  <c r="I129" i="5"/>
  <c r="K129" i="5"/>
  <c r="J129" i="5"/>
  <c r="T129" i="5"/>
  <c r="S129" i="5"/>
  <c r="U129" i="5"/>
  <c r="AC129" i="5"/>
  <c r="AB129" i="5"/>
  <c r="AD129" i="5"/>
  <c r="R129" i="5"/>
  <c r="AA129" i="5"/>
  <c r="AF130" i="5"/>
  <c r="B131" i="5"/>
  <c r="AE130" i="5"/>
  <c r="L130" i="5" s="1"/>
  <c r="AG131" i="5" l="1"/>
  <c r="C131" i="5"/>
  <c r="I130" i="5"/>
  <c r="K130" i="5"/>
  <c r="J130" i="5"/>
  <c r="T130" i="5"/>
  <c r="S130" i="5"/>
  <c r="U130" i="5"/>
  <c r="AD130" i="5"/>
  <c r="AC130" i="5"/>
  <c r="AB130" i="5"/>
  <c r="R130" i="5"/>
  <c r="AA130" i="5"/>
  <c r="AF131" i="5"/>
  <c r="AE131" i="5"/>
  <c r="I131" i="5"/>
  <c r="B132" i="5"/>
  <c r="AG132" i="5" l="1"/>
  <c r="C132" i="5"/>
  <c r="AA131" i="5"/>
  <c r="K131" i="5"/>
  <c r="J131" i="5"/>
  <c r="R131" i="5"/>
  <c r="T131" i="5"/>
  <c r="L131" i="5"/>
  <c r="S131" i="5"/>
  <c r="U131" i="5"/>
  <c r="AD131" i="5"/>
  <c r="AC131" i="5"/>
  <c r="AB131" i="5"/>
  <c r="AF132" i="5"/>
  <c r="B133" i="5"/>
  <c r="AG133" i="5" s="1"/>
  <c r="AE132" i="5"/>
  <c r="AC132" i="5" s="1"/>
  <c r="I132" i="5" l="1"/>
  <c r="K132" i="5"/>
  <c r="J132" i="5"/>
  <c r="R132" i="5"/>
  <c r="AA132" i="5"/>
  <c r="L132" i="5"/>
  <c r="T132" i="5"/>
  <c r="S132" i="5"/>
  <c r="U132" i="5"/>
  <c r="AB132" i="5"/>
  <c r="AD132" i="5"/>
  <c r="AF133" i="5"/>
  <c r="AE133" i="5"/>
  <c r="L133" i="5" s="1"/>
  <c r="C133" i="5"/>
  <c r="U133" i="5" s="1"/>
  <c r="B134" i="5"/>
  <c r="AG134" i="5" s="1"/>
  <c r="I133" i="5" l="1"/>
  <c r="J133" i="5"/>
  <c r="K133" i="5"/>
  <c r="R133" i="5"/>
  <c r="T133" i="5"/>
  <c r="S133" i="5"/>
  <c r="AC133" i="5"/>
  <c r="AB133" i="5"/>
  <c r="AD133" i="5"/>
  <c r="AA133" i="5"/>
  <c r="AF134" i="5"/>
  <c r="K134" i="5"/>
  <c r="I134" i="5"/>
  <c r="AE134" i="5"/>
  <c r="C134" i="5"/>
  <c r="J134" i="5" s="1"/>
  <c r="B135" i="5"/>
  <c r="AG135" i="5" s="1"/>
  <c r="AD134" i="5" l="1"/>
  <c r="R134" i="5"/>
  <c r="AC134" i="5"/>
  <c r="AB134" i="5"/>
  <c r="AA134" i="5"/>
  <c r="L134" i="5"/>
  <c r="T134" i="5"/>
  <c r="S134" i="5"/>
  <c r="U134" i="5"/>
  <c r="AF135" i="5"/>
  <c r="J135" i="5"/>
  <c r="I135" i="5"/>
  <c r="B136" i="5"/>
  <c r="AG136" i="5" s="1"/>
  <c r="C135" i="5"/>
  <c r="AE135" i="5"/>
  <c r="AA135" i="5" s="1"/>
  <c r="K135" i="5" l="1"/>
  <c r="T135" i="5"/>
  <c r="L135" i="5"/>
  <c r="S135" i="5"/>
  <c r="U135" i="5"/>
  <c r="AD135" i="5"/>
  <c r="AC135" i="5"/>
  <c r="AB135" i="5"/>
  <c r="R135" i="5"/>
  <c r="AF136" i="5"/>
  <c r="K136" i="5"/>
  <c r="I136" i="5"/>
  <c r="AE136" i="5"/>
  <c r="C136" i="5"/>
  <c r="U136" i="5" s="1"/>
  <c r="B137" i="5"/>
  <c r="AG137" i="5" s="1"/>
  <c r="AA136" i="5" l="1"/>
  <c r="J136" i="5"/>
  <c r="R136" i="5"/>
  <c r="T136" i="5"/>
  <c r="S136" i="5"/>
  <c r="L136" i="5"/>
  <c r="AB136" i="5"/>
  <c r="AD136" i="5"/>
  <c r="AC136" i="5"/>
  <c r="AF137" i="5"/>
  <c r="K137" i="5"/>
  <c r="I137" i="5"/>
  <c r="B138" i="5"/>
  <c r="AG138" i="5" s="1"/>
  <c r="C137" i="5"/>
  <c r="AE137" i="5"/>
  <c r="AC137" i="5" s="1"/>
  <c r="J137" i="5" l="1"/>
  <c r="AB137" i="5"/>
  <c r="AD137" i="5"/>
  <c r="R137" i="5"/>
  <c r="AA137" i="5"/>
  <c r="L137" i="5"/>
  <c r="T137" i="5"/>
  <c r="S137" i="5"/>
  <c r="U137" i="5"/>
  <c r="AF138" i="5"/>
  <c r="K138" i="5"/>
  <c r="I138" i="5"/>
  <c r="AE138" i="5"/>
  <c r="L138" i="5" s="1"/>
  <c r="C138" i="5"/>
  <c r="U138" i="5" s="1"/>
  <c r="B139" i="5"/>
  <c r="AG139" i="5" s="1"/>
  <c r="J138" i="5" l="1"/>
  <c r="R138" i="5"/>
  <c r="T138" i="5"/>
  <c r="S138" i="5"/>
  <c r="AD138" i="5"/>
  <c r="AC138" i="5"/>
  <c r="AB138" i="5"/>
  <c r="AA138" i="5"/>
  <c r="AF139" i="5"/>
  <c r="R139" i="5"/>
  <c r="K139" i="5"/>
  <c r="I139" i="5"/>
  <c r="AE139" i="5"/>
  <c r="AD139" i="5" s="1"/>
  <c r="C139" i="5"/>
  <c r="B140" i="5"/>
  <c r="AG140" i="5" s="1"/>
  <c r="J139" i="5" l="1"/>
  <c r="AC139" i="5"/>
  <c r="AB139" i="5"/>
  <c r="AA139" i="5"/>
  <c r="L139" i="5"/>
  <c r="T139" i="5"/>
  <c r="S139" i="5"/>
  <c r="U139" i="5"/>
  <c r="AF140" i="5"/>
  <c r="AE140" i="5"/>
  <c r="AA140" i="5" s="1"/>
  <c r="B141" i="5"/>
  <c r="AG141" i="5" s="1"/>
  <c r="C140" i="5"/>
  <c r="R140" i="5" s="1"/>
  <c r="I140" i="5" l="1"/>
  <c r="K140" i="5"/>
  <c r="J140" i="5"/>
  <c r="T140" i="5"/>
  <c r="L140" i="5"/>
  <c r="S140" i="5"/>
  <c r="U140" i="5"/>
  <c r="AB140" i="5"/>
  <c r="AD140" i="5"/>
  <c r="AC140" i="5"/>
  <c r="AF141" i="5"/>
  <c r="I141" i="5"/>
  <c r="C141" i="5"/>
  <c r="AE141" i="5"/>
  <c r="AD141" i="5" s="1"/>
  <c r="B142" i="5"/>
  <c r="AG142" i="5" s="1"/>
  <c r="K141" i="5" l="1"/>
  <c r="J141" i="5"/>
  <c r="T141" i="5"/>
  <c r="R141" i="5"/>
  <c r="AA141" i="5"/>
  <c r="L141" i="5"/>
  <c r="S141" i="5"/>
  <c r="U141" i="5"/>
  <c r="AC141" i="5"/>
  <c r="AB141" i="5"/>
  <c r="AF142" i="5"/>
  <c r="K142" i="5"/>
  <c r="C142" i="5"/>
  <c r="B143" i="5"/>
  <c r="AG143" i="5" s="1"/>
  <c r="AE142" i="5"/>
  <c r="AA142" i="5" s="1"/>
  <c r="I142" i="5" l="1"/>
  <c r="J142" i="5"/>
  <c r="T142" i="5"/>
  <c r="L142" i="5"/>
  <c r="S142" i="5"/>
  <c r="U142" i="5"/>
  <c r="AD142" i="5"/>
  <c r="AC142" i="5"/>
  <c r="AB142" i="5"/>
  <c r="R142" i="5"/>
  <c r="AF143" i="5"/>
  <c r="K143" i="5"/>
  <c r="AE143" i="5"/>
  <c r="AA143" i="5" s="1"/>
  <c r="C143" i="5"/>
  <c r="B144" i="5"/>
  <c r="AG144" i="5" s="1"/>
  <c r="I143" i="5" l="1"/>
  <c r="R143" i="5"/>
  <c r="J143" i="5"/>
  <c r="T143" i="5"/>
  <c r="S143" i="5"/>
  <c r="L143" i="5"/>
  <c r="U143" i="5"/>
  <c r="AD143" i="5"/>
  <c r="AC143" i="5"/>
  <c r="AB143" i="5"/>
  <c r="AF144" i="5"/>
  <c r="I144" i="5"/>
  <c r="C144" i="5"/>
  <c r="AE144" i="5"/>
  <c r="AD144" i="5" s="1"/>
  <c r="B145" i="5"/>
  <c r="AG145" i="5" s="1"/>
  <c r="K144" i="5" l="1"/>
  <c r="T144" i="5"/>
  <c r="J144" i="5"/>
  <c r="R144" i="5"/>
  <c r="AC144" i="5"/>
  <c r="AA144" i="5"/>
  <c r="L144" i="5"/>
  <c r="S144" i="5"/>
  <c r="U144" i="5"/>
  <c r="AB144" i="5"/>
  <c r="AF145" i="5"/>
  <c r="AA145" i="5"/>
  <c r="AD145" i="5"/>
  <c r="AB145" i="5"/>
  <c r="AC145" i="5"/>
  <c r="U145" i="5"/>
  <c r="S145" i="5"/>
  <c r="T145" i="5"/>
  <c r="L145" i="5"/>
  <c r="R145" i="5"/>
  <c r="J145" i="5"/>
  <c r="K145" i="5"/>
  <c r="I145" i="5"/>
  <c r="AE145" i="5"/>
  <c r="B146" i="5"/>
  <c r="AG146" i="5" s="1"/>
  <c r="C145" i="5"/>
  <c r="AF146" i="5" l="1"/>
  <c r="AA146" i="5"/>
  <c r="AB146" i="5"/>
  <c r="AC146" i="5"/>
  <c r="AD146" i="5"/>
  <c r="U146" i="5"/>
  <c r="S146" i="5"/>
  <c r="T146" i="5"/>
  <c r="L146" i="5"/>
  <c r="R146" i="5"/>
  <c r="J146" i="5"/>
  <c r="K146" i="5"/>
  <c r="I146" i="5"/>
  <c r="AE146" i="5"/>
  <c r="C146" i="5"/>
  <c r="B147" i="5"/>
  <c r="AG147" i="5" s="1"/>
  <c r="AF147" i="5" l="1"/>
  <c r="AA147" i="5"/>
  <c r="AB147" i="5"/>
  <c r="AC147" i="5"/>
  <c r="AD147" i="5"/>
  <c r="U147" i="5"/>
  <c r="S147" i="5"/>
  <c r="T147" i="5"/>
  <c r="L147" i="5"/>
  <c r="R147" i="5"/>
  <c r="J147" i="5"/>
  <c r="K147" i="5"/>
  <c r="I147" i="5"/>
  <c r="C147" i="5"/>
  <c r="AE147" i="5"/>
  <c r="B148" i="5"/>
  <c r="AG148" i="5" s="1"/>
  <c r="AF148" i="5" l="1"/>
  <c r="AA148" i="5"/>
  <c r="AC148" i="5"/>
  <c r="AD148" i="5"/>
  <c r="AB148" i="5"/>
  <c r="U148" i="5"/>
  <c r="S148" i="5"/>
  <c r="T148" i="5"/>
  <c r="L148" i="5"/>
  <c r="R148" i="5"/>
  <c r="J148" i="5"/>
  <c r="K148" i="5"/>
  <c r="I148" i="5"/>
  <c r="AE148" i="5"/>
  <c r="B149" i="5"/>
  <c r="AG149" i="5" s="1"/>
  <c r="C148" i="5"/>
  <c r="AF149" i="5" l="1"/>
  <c r="AA149" i="5"/>
  <c r="AD149" i="5"/>
  <c r="AB149" i="5"/>
  <c r="AC149" i="5"/>
  <c r="U149" i="5"/>
  <c r="S149" i="5"/>
  <c r="T149" i="5"/>
  <c r="L149" i="5"/>
  <c r="R149" i="5"/>
  <c r="J149" i="5"/>
  <c r="K149" i="5"/>
  <c r="I149" i="5"/>
  <c r="AE149" i="5"/>
  <c r="B150" i="5"/>
  <c r="AG150" i="5" s="1"/>
  <c r="C149" i="5"/>
  <c r="AF150" i="5" l="1"/>
  <c r="AA150" i="5"/>
  <c r="AB150" i="5"/>
  <c r="AC150" i="5"/>
  <c r="AD150" i="5"/>
  <c r="U150" i="5"/>
  <c r="S150" i="5"/>
  <c r="T150" i="5"/>
  <c r="L150" i="5"/>
  <c r="R150" i="5"/>
  <c r="J150" i="5"/>
  <c r="K150" i="5"/>
  <c r="I150" i="5"/>
  <c r="B151" i="5"/>
  <c r="AG151" i="5" s="1"/>
  <c r="AE150" i="5"/>
  <c r="C150" i="5"/>
  <c r="AF151" i="5" l="1"/>
  <c r="AA151" i="5"/>
  <c r="AB151" i="5"/>
  <c r="AC151" i="5"/>
  <c r="AD151" i="5"/>
  <c r="U151" i="5"/>
  <c r="S151" i="5"/>
  <c r="T151" i="5"/>
  <c r="L151" i="5"/>
  <c r="R151" i="5"/>
  <c r="J151" i="5"/>
  <c r="K151" i="5"/>
  <c r="I151" i="5"/>
  <c r="AE151" i="5"/>
  <c r="C151" i="5"/>
  <c r="B152" i="5"/>
  <c r="AG152" i="5" s="1"/>
  <c r="AF152" i="5" l="1"/>
  <c r="AA152" i="5"/>
  <c r="AC152" i="5"/>
  <c r="AD152" i="5"/>
  <c r="AB152" i="5"/>
  <c r="U152" i="5"/>
  <c r="S152" i="5"/>
  <c r="T152" i="5"/>
  <c r="L152" i="5"/>
  <c r="R152" i="5"/>
  <c r="J152" i="5"/>
  <c r="K152" i="5"/>
  <c r="I152" i="5"/>
  <c r="AE152" i="5"/>
  <c r="C152" i="5"/>
  <c r="B153" i="5"/>
  <c r="AG153" i="5" s="1"/>
  <c r="AF153" i="5" l="1"/>
  <c r="AA153" i="5"/>
  <c r="AD153" i="5"/>
  <c r="AB153" i="5"/>
  <c r="AC153" i="5"/>
  <c r="U153" i="5"/>
  <c r="S153" i="5"/>
  <c r="T153" i="5"/>
  <c r="L153" i="5"/>
  <c r="R153" i="5"/>
  <c r="J153" i="5"/>
  <c r="K153" i="5"/>
  <c r="I153" i="5"/>
  <c r="C153" i="5"/>
  <c r="AE153" i="5"/>
  <c r="B154" i="5"/>
  <c r="AG154" i="5" s="1"/>
  <c r="AF154" i="5" l="1"/>
  <c r="AB154" i="5"/>
  <c r="AC154" i="5"/>
  <c r="AD154" i="5"/>
  <c r="U154" i="5"/>
  <c r="AA154" i="5"/>
  <c r="S154" i="5"/>
  <c r="T154" i="5"/>
  <c r="L154" i="5"/>
  <c r="R154" i="5"/>
  <c r="J154" i="5"/>
  <c r="K154" i="5"/>
  <c r="I154" i="5"/>
  <c r="C154" i="5"/>
  <c r="AE154" i="5"/>
  <c r="B155" i="5"/>
  <c r="AG155" i="5" s="1"/>
  <c r="AF155" i="5" l="1"/>
  <c r="AB155" i="5"/>
  <c r="AC155" i="5"/>
  <c r="AD155" i="5"/>
  <c r="U155" i="5"/>
  <c r="AA155" i="5"/>
  <c r="S155" i="5"/>
  <c r="T155" i="5"/>
  <c r="L155" i="5"/>
  <c r="R155" i="5"/>
  <c r="J155" i="5"/>
  <c r="K155" i="5"/>
  <c r="I155" i="5"/>
  <c r="C155" i="5"/>
  <c r="B156" i="5"/>
  <c r="AG156" i="5" s="1"/>
  <c r="AE155" i="5"/>
  <c r="AF156" i="5" l="1"/>
  <c r="AC156" i="5"/>
  <c r="AD156" i="5"/>
  <c r="AB156" i="5"/>
  <c r="U156" i="5"/>
  <c r="AA156" i="5"/>
  <c r="S156" i="5"/>
  <c r="T156" i="5"/>
  <c r="L156" i="5"/>
  <c r="R156" i="5"/>
  <c r="J156" i="5"/>
  <c r="K156" i="5"/>
  <c r="I156" i="5"/>
  <c r="AE156" i="5"/>
  <c r="B157" i="5"/>
  <c r="AG157" i="5" s="1"/>
  <c r="C156" i="5"/>
  <c r="AF157" i="5" l="1"/>
  <c r="AD157" i="5"/>
  <c r="AB157" i="5"/>
  <c r="AC157" i="5"/>
  <c r="U157" i="5"/>
  <c r="AA157" i="5"/>
  <c r="S157" i="5"/>
  <c r="T157" i="5"/>
  <c r="L157" i="5"/>
  <c r="R157" i="5"/>
  <c r="J157" i="5"/>
  <c r="K157" i="5"/>
  <c r="I157" i="5"/>
  <c r="AE157" i="5"/>
  <c r="C157" i="5"/>
  <c r="B158" i="5"/>
  <c r="AG158" i="5" s="1"/>
  <c r="AF158" i="5" l="1"/>
  <c r="AB158" i="5"/>
  <c r="AC158" i="5"/>
  <c r="AD158" i="5"/>
  <c r="U158" i="5"/>
  <c r="AA158" i="5"/>
  <c r="S158" i="5"/>
  <c r="T158" i="5"/>
  <c r="L158" i="5"/>
  <c r="R158" i="5"/>
  <c r="J158" i="5"/>
  <c r="K158" i="5"/>
  <c r="I158" i="5"/>
  <c r="B159" i="5"/>
  <c r="AG159" i="5" s="1"/>
  <c r="AE158" i="5"/>
  <c r="C158" i="5"/>
  <c r="AF159" i="5" l="1"/>
  <c r="AB159" i="5"/>
  <c r="AC159" i="5"/>
  <c r="AD159" i="5"/>
  <c r="U159" i="5"/>
  <c r="AA159" i="5"/>
  <c r="S159" i="5"/>
  <c r="T159" i="5"/>
  <c r="L159" i="5"/>
  <c r="R159" i="5"/>
  <c r="J159" i="5"/>
  <c r="K159" i="5"/>
  <c r="I159" i="5"/>
  <c r="AE159" i="5"/>
  <c r="C159" i="5"/>
  <c r="B160" i="5"/>
  <c r="AG160" i="5" s="1"/>
  <c r="AF160" i="5" l="1"/>
  <c r="AC160" i="5"/>
  <c r="AD160" i="5"/>
  <c r="AB160" i="5"/>
  <c r="U160" i="5"/>
  <c r="AA160" i="5"/>
  <c r="S160" i="5"/>
  <c r="T160" i="5"/>
  <c r="L160" i="5"/>
  <c r="R160" i="5"/>
  <c r="J160" i="5"/>
  <c r="K160" i="5"/>
  <c r="I160" i="5"/>
  <c r="AE160" i="5"/>
  <c r="B161" i="5"/>
  <c r="AG161" i="5" s="1"/>
  <c r="C160" i="5"/>
  <c r="AF161" i="5" l="1"/>
  <c r="AD161" i="5"/>
  <c r="AB161" i="5"/>
  <c r="AC161" i="5"/>
  <c r="U161" i="5"/>
  <c r="AA161" i="5"/>
  <c r="S161" i="5"/>
  <c r="T161" i="5"/>
  <c r="L161" i="5"/>
  <c r="R161" i="5"/>
  <c r="J161" i="5"/>
  <c r="K161" i="5"/>
  <c r="I161" i="5"/>
  <c r="AE161" i="5"/>
  <c r="B162" i="5"/>
  <c r="AG162" i="5" s="1"/>
  <c r="C161" i="5"/>
  <c r="AF162" i="5" l="1"/>
  <c r="AB162" i="5"/>
  <c r="AC162" i="5"/>
  <c r="AD162" i="5"/>
  <c r="U162" i="5"/>
  <c r="AA162" i="5"/>
  <c r="S162" i="5"/>
  <c r="T162" i="5"/>
  <c r="L162" i="5"/>
  <c r="R162" i="5"/>
  <c r="J162" i="5"/>
  <c r="K162" i="5"/>
  <c r="I162" i="5"/>
  <c r="C162" i="5"/>
  <c r="B163" i="5"/>
  <c r="AG163" i="5" s="1"/>
  <c r="AE162" i="5"/>
  <c r="AF163" i="5" l="1"/>
  <c r="AB163" i="5"/>
  <c r="AC163" i="5"/>
  <c r="AD163" i="5"/>
  <c r="U163" i="5"/>
  <c r="AA163" i="5"/>
  <c r="S163" i="5"/>
  <c r="T163" i="5"/>
  <c r="L163" i="5"/>
  <c r="R163" i="5"/>
  <c r="J163" i="5"/>
  <c r="K163" i="5"/>
  <c r="I163" i="5"/>
  <c r="AE163" i="5"/>
  <c r="B164" i="5"/>
  <c r="AG164" i="5" s="1"/>
  <c r="C163" i="5"/>
  <c r="AF164" i="5" l="1"/>
  <c r="AC164" i="5"/>
  <c r="AD164" i="5"/>
  <c r="AB164" i="5"/>
  <c r="U164" i="5"/>
  <c r="AA164" i="5"/>
  <c r="S164" i="5"/>
  <c r="T164" i="5"/>
  <c r="L164" i="5"/>
  <c r="R164" i="5"/>
  <c r="J164" i="5"/>
  <c r="K164" i="5"/>
  <c r="I164" i="5"/>
  <c r="AE164" i="5"/>
  <c r="C164" i="5"/>
  <c r="B165" i="5"/>
  <c r="AG165" i="5" s="1"/>
  <c r="AF165" i="5" l="1"/>
  <c r="AD165" i="5"/>
  <c r="AB165" i="5"/>
  <c r="AC165" i="5"/>
  <c r="U165" i="5"/>
  <c r="AA165" i="5"/>
  <c r="S165" i="5"/>
  <c r="T165" i="5"/>
  <c r="L165" i="5"/>
  <c r="R165" i="5"/>
  <c r="J165" i="5"/>
  <c r="K165" i="5"/>
  <c r="I165" i="5"/>
  <c r="AE165" i="5"/>
  <c r="B166" i="5"/>
  <c r="AG166" i="5" s="1"/>
  <c r="C165" i="5"/>
  <c r="AF166" i="5" l="1"/>
  <c r="AB166" i="5"/>
  <c r="AC166" i="5"/>
  <c r="AD166" i="5"/>
  <c r="U166" i="5"/>
  <c r="AA166" i="5"/>
  <c r="S166" i="5"/>
  <c r="T166" i="5"/>
  <c r="L166" i="5"/>
  <c r="R166" i="5"/>
  <c r="J166" i="5"/>
  <c r="K166" i="5"/>
  <c r="I166" i="5"/>
  <c r="C166" i="5"/>
  <c r="AE166" i="5"/>
  <c r="B167" i="5"/>
  <c r="AG167" i="5" s="1"/>
  <c r="AF167" i="5" l="1"/>
  <c r="AB167" i="5"/>
  <c r="AC167" i="5"/>
  <c r="AD167" i="5"/>
  <c r="U167" i="5"/>
  <c r="AA167" i="5"/>
  <c r="S167" i="5"/>
  <c r="T167" i="5"/>
  <c r="L167" i="5"/>
  <c r="R167" i="5"/>
  <c r="J167" i="5"/>
  <c r="K167" i="5"/>
  <c r="I167" i="5"/>
  <c r="AE167" i="5"/>
  <c r="C167" i="5"/>
  <c r="B168" i="5"/>
  <c r="AG168" i="5" s="1"/>
  <c r="AF168" i="5" l="1"/>
  <c r="AC168" i="5"/>
  <c r="AD168" i="5"/>
  <c r="AB168" i="5"/>
  <c r="U168" i="5"/>
  <c r="AA168" i="5"/>
  <c r="S168" i="5"/>
  <c r="T168" i="5"/>
  <c r="L168" i="5"/>
  <c r="R168" i="5"/>
  <c r="J168" i="5"/>
  <c r="K168" i="5"/>
  <c r="I168" i="5"/>
  <c r="AE168" i="5"/>
  <c r="B169" i="5"/>
  <c r="AG169" i="5" s="1"/>
  <c r="C168" i="5"/>
  <c r="AF169" i="5" l="1"/>
  <c r="AD169" i="5"/>
  <c r="AB169" i="5"/>
  <c r="AC169" i="5"/>
  <c r="U169" i="5"/>
  <c r="AA169" i="5"/>
  <c r="S169" i="5"/>
  <c r="T169" i="5"/>
  <c r="L169" i="5"/>
  <c r="R169" i="5"/>
  <c r="J169" i="5"/>
  <c r="K169" i="5"/>
  <c r="I169" i="5"/>
  <c r="B170" i="5"/>
  <c r="AG170" i="5" s="1"/>
  <c r="AE169" i="5"/>
  <c r="C169" i="5"/>
  <c r="AF170" i="5" l="1"/>
  <c r="AB170" i="5"/>
  <c r="AC170" i="5"/>
  <c r="AD170" i="5"/>
  <c r="U170" i="5"/>
  <c r="AA170" i="5"/>
  <c r="S170" i="5"/>
  <c r="T170" i="5"/>
  <c r="L170" i="5"/>
  <c r="R170" i="5"/>
  <c r="J170" i="5"/>
  <c r="K170" i="5"/>
  <c r="I170" i="5"/>
  <c r="B171" i="5"/>
  <c r="AG171" i="5" s="1"/>
  <c r="AE170" i="5"/>
  <c r="C170" i="5"/>
  <c r="AF171" i="5" l="1"/>
  <c r="AB171" i="5"/>
  <c r="AC171" i="5"/>
  <c r="AD171" i="5"/>
  <c r="U171" i="5"/>
  <c r="AA171" i="5"/>
  <c r="S171" i="5"/>
  <c r="T171" i="5"/>
  <c r="L171" i="5"/>
  <c r="R171" i="5"/>
  <c r="J171" i="5"/>
  <c r="K171" i="5"/>
  <c r="I171" i="5"/>
  <c r="C171" i="5"/>
  <c r="AE171" i="5"/>
  <c r="B172" i="5"/>
  <c r="AG172" i="5" s="1"/>
  <c r="AF172" i="5" l="1"/>
  <c r="AC172" i="5"/>
  <c r="AD172" i="5"/>
  <c r="AB172" i="5"/>
  <c r="U172" i="5"/>
  <c r="AA172" i="5"/>
  <c r="S172" i="5"/>
  <c r="T172" i="5"/>
  <c r="L172" i="5"/>
  <c r="R172" i="5"/>
  <c r="J172" i="5"/>
  <c r="K172" i="5"/>
  <c r="I172" i="5"/>
  <c r="B173" i="5"/>
  <c r="AG173" i="5" s="1"/>
  <c r="AE172" i="5"/>
  <c r="C172" i="5"/>
  <c r="AF173" i="5" l="1"/>
  <c r="AD173" i="5"/>
  <c r="AB173" i="5"/>
  <c r="AC173" i="5"/>
  <c r="U173" i="5"/>
  <c r="AA173" i="5"/>
  <c r="S173" i="5"/>
  <c r="T173" i="5"/>
  <c r="L173" i="5"/>
  <c r="R173" i="5"/>
  <c r="J173" i="5"/>
  <c r="K173" i="5"/>
  <c r="I173" i="5"/>
  <c r="B174" i="5"/>
  <c r="AG174" i="5" s="1"/>
  <c r="AE173" i="5"/>
  <c r="C173" i="5"/>
  <c r="AF174" i="5" l="1"/>
  <c r="AB174" i="5"/>
  <c r="AC174" i="5"/>
  <c r="AD174" i="5"/>
  <c r="U174" i="5"/>
  <c r="AA174" i="5"/>
  <c r="S174" i="5"/>
  <c r="T174" i="5"/>
  <c r="L174" i="5"/>
  <c r="R174" i="5"/>
  <c r="J174" i="5"/>
  <c r="K174" i="5"/>
  <c r="I174" i="5"/>
  <c r="B175" i="5"/>
  <c r="AG175" i="5" s="1"/>
  <c r="AE174" i="5"/>
  <c r="C174" i="5"/>
  <c r="AF175" i="5" l="1"/>
  <c r="AB175" i="5"/>
  <c r="AC175" i="5"/>
  <c r="AD175" i="5"/>
  <c r="U175" i="5"/>
  <c r="AA175" i="5"/>
  <c r="S175" i="5"/>
  <c r="T175" i="5"/>
  <c r="L175" i="5"/>
  <c r="R175" i="5"/>
  <c r="J175" i="5"/>
  <c r="K175" i="5"/>
  <c r="I175" i="5"/>
  <c r="C175" i="5"/>
  <c r="B176" i="5"/>
  <c r="AG176" i="5" s="1"/>
  <c r="AE175" i="5"/>
  <c r="AF176" i="5" l="1"/>
  <c r="AC176" i="5"/>
  <c r="AD176" i="5"/>
  <c r="AB176" i="5"/>
  <c r="U176" i="5"/>
  <c r="AA176" i="5"/>
  <c r="S176" i="5"/>
  <c r="T176" i="5"/>
  <c r="L176" i="5"/>
  <c r="R176" i="5"/>
  <c r="J176" i="5"/>
  <c r="K176" i="5"/>
  <c r="I176" i="5"/>
  <c r="C176" i="5"/>
  <c r="AE176" i="5"/>
  <c r="B177" i="5"/>
  <c r="AG177" i="5" s="1"/>
  <c r="AF177" i="5" l="1"/>
  <c r="AD177" i="5"/>
  <c r="AB177" i="5"/>
  <c r="AC177" i="5"/>
  <c r="U177" i="5"/>
  <c r="AA177" i="5"/>
  <c r="S177" i="5"/>
  <c r="T177" i="5"/>
  <c r="L177" i="5"/>
  <c r="R177" i="5"/>
  <c r="J177" i="5"/>
  <c r="K177" i="5"/>
  <c r="I177" i="5"/>
  <c r="AE177" i="5"/>
  <c r="B178" i="5"/>
  <c r="AG178" i="5" s="1"/>
  <c r="C177" i="5"/>
  <c r="AF178" i="5" l="1"/>
  <c r="AB178" i="5"/>
  <c r="AC178" i="5"/>
  <c r="AD178" i="5"/>
  <c r="U178" i="5"/>
  <c r="AA178" i="5"/>
  <c r="S178" i="5"/>
  <c r="T178" i="5"/>
  <c r="L178" i="5"/>
  <c r="R178" i="5"/>
  <c r="J178" i="5"/>
  <c r="K178" i="5"/>
  <c r="I178" i="5"/>
  <c r="C178" i="5"/>
  <c r="AE178" i="5"/>
  <c r="B179" i="5"/>
  <c r="AG179" i="5" s="1"/>
  <c r="AF179" i="5" l="1"/>
  <c r="AB179" i="5"/>
  <c r="AC179" i="5"/>
  <c r="AD179" i="5"/>
  <c r="U179" i="5"/>
  <c r="AA179" i="5"/>
  <c r="S179" i="5"/>
  <c r="T179" i="5"/>
  <c r="L179" i="5"/>
  <c r="R179" i="5"/>
  <c r="J179" i="5"/>
  <c r="K179" i="5"/>
  <c r="I179" i="5"/>
  <c r="AE179" i="5"/>
  <c r="C179" i="5"/>
  <c r="B180" i="5"/>
  <c r="AG180" i="5" s="1"/>
  <c r="AF180" i="5" l="1"/>
  <c r="AC180" i="5"/>
  <c r="AD180" i="5"/>
  <c r="AB180" i="5"/>
  <c r="U180" i="5"/>
  <c r="AA180" i="5"/>
  <c r="S180" i="5"/>
  <c r="T180" i="5"/>
  <c r="L180" i="5"/>
  <c r="R180" i="5"/>
  <c r="J180" i="5"/>
  <c r="K180" i="5"/>
  <c r="I180" i="5"/>
  <c r="AE180" i="5"/>
  <c r="B181" i="5"/>
  <c r="AG181" i="5" s="1"/>
  <c r="C180" i="5"/>
  <c r="AF181" i="5" l="1"/>
  <c r="AD181" i="5"/>
  <c r="AB181" i="5"/>
  <c r="AC181" i="5"/>
  <c r="U181" i="5"/>
  <c r="AA181" i="5"/>
  <c r="S181" i="5"/>
  <c r="T181" i="5"/>
  <c r="L181" i="5"/>
  <c r="R181" i="5"/>
  <c r="J181" i="5"/>
  <c r="K181" i="5"/>
  <c r="I181" i="5"/>
  <c r="AE181" i="5"/>
  <c r="B182" i="5"/>
  <c r="AG182" i="5" s="1"/>
  <c r="C181" i="5"/>
  <c r="AF182" i="5" l="1"/>
  <c r="AB182" i="5"/>
  <c r="AC182" i="5"/>
  <c r="AD182" i="5"/>
  <c r="U182" i="5"/>
  <c r="AA182" i="5"/>
  <c r="S182" i="5"/>
  <c r="T182" i="5"/>
  <c r="L182" i="5"/>
  <c r="R182" i="5"/>
  <c r="J182" i="5"/>
  <c r="K182" i="5"/>
  <c r="I182" i="5"/>
  <c r="C182" i="5"/>
  <c r="AE182" i="5"/>
  <c r="B183" i="5"/>
  <c r="AG183" i="5" s="1"/>
  <c r="AF183" i="5" l="1"/>
  <c r="AB183" i="5"/>
  <c r="AC183" i="5"/>
  <c r="AD183" i="5"/>
  <c r="U183" i="5"/>
  <c r="AA183" i="5"/>
  <c r="S183" i="5"/>
  <c r="T183" i="5"/>
  <c r="L183" i="5"/>
  <c r="R183" i="5"/>
  <c r="J183" i="5"/>
  <c r="K183" i="5"/>
  <c r="I183" i="5"/>
  <c r="AE183" i="5"/>
  <c r="C183" i="5"/>
  <c r="B184" i="5"/>
  <c r="AG184" i="5" s="1"/>
  <c r="AF184" i="5" l="1"/>
  <c r="AC184" i="5"/>
  <c r="AD184" i="5"/>
  <c r="AB184" i="5"/>
  <c r="U184" i="5"/>
  <c r="AA184" i="5"/>
  <c r="S184" i="5"/>
  <c r="T184" i="5"/>
  <c r="L184" i="5"/>
  <c r="R184" i="5"/>
  <c r="J184" i="5"/>
  <c r="K184" i="5"/>
  <c r="I184" i="5"/>
  <c r="B185" i="5"/>
  <c r="AG185" i="5" s="1"/>
  <c r="AE184" i="5"/>
  <c r="C184" i="5"/>
  <c r="AF185" i="5" l="1"/>
  <c r="AD185" i="5"/>
  <c r="AB185" i="5"/>
  <c r="AC185" i="5"/>
  <c r="U185" i="5"/>
  <c r="AA185" i="5"/>
  <c r="S185" i="5"/>
  <c r="T185" i="5"/>
  <c r="L185" i="5"/>
  <c r="R185" i="5"/>
  <c r="J185" i="5"/>
  <c r="K185" i="5"/>
  <c r="I185" i="5"/>
  <c r="B186" i="5"/>
  <c r="AG186" i="5" s="1"/>
  <c r="AE185" i="5"/>
  <c r="C185" i="5"/>
  <c r="AF186" i="5" l="1"/>
  <c r="AB186" i="5"/>
  <c r="AC186" i="5"/>
  <c r="AD186" i="5"/>
  <c r="U186" i="5"/>
  <c r="AA186" i="5"/>
  <c r="S186" i="5"/>
  <c r="T186" i="5"/>
  <c r="L186" i="5"/>
  <c r="R186" i="5"/>
  <c r="J186" i="5"/>
  <c r="K186" i="5"/>
  <c r="I186" i="5"/>
  <c r="C186" i="5"/>
  <c r="AE186" i="5"/>
  <c r="B187" i="5"/>
  <c r="AG187" i="5" s="1"/>
  <c r="AF187" i="5" l="1"/>
  <c r="AB187" i="5"/>
  <c r="AC187" i="5"/>
  <c r="AD187" i="5"/>
  <c r="U187" i="5"/>
  <c r="AA187" i="5"/>
  <c r="S187" i="5"/>
  <c r="T187" i="5"/>
  <c r="L187" i="5"/>
  <c r="R187" i="5"/>
  <c r="J187" i="5"/>
  <c r="K187" i="5"/>
  <c r="I187" i="5"/>
  <c r="AE187" i="5"/>
  <c r="C187" i="5"/>
  <c r="B188" i="5"/>
  <c r="AG188" i="5" s="1"/>
  <c r="AF188" i="5" l="1"/>
  <c r="AC188" i="5"/>
  <c r="AD188" i="5"/>
  <c r="AB188" i="5"/>
  <c r="U188" i="5"/>
  <c r="AA188" i="5"/>
  <c r="S188" i="5"/>
  <c r="T188" i="5"/>
  <c r="L188" i="5"/>
  <c r="R188" i="5"/>
  <c r="J188" i="5"/>
  <c r="K188" i="5"/>
  <c r="I188" i="5"/>
  <c r="AE188" i="5"/>
  <c r="B189" i="5"/>
  <c r="AG189" i="5" s="1"/>
  <c r="C188" i="5"/>
  <c r="AF189" i="5" l="1"/>
  <c r="AD189" i="5"/>
  <c r="AB189" i="5"/>
  <c r="AC189" i="5"/>
  <c r="U189" i="5"/>
  <c r="AA189" i="5"/>
  <c r="S189" i="5"/>
  <c r="T189" i="5"/>
  <c r="L189" i="5"/>
  <c r="R189" i="5"/>
  <c r="J189" i="5"/>
  <c r="K189" i="5"/>
  <c r="I189" i="5"/>
  <c r="B190" i="5"/>
  <c r="AG190" i="5" s="1"/>
  <c r="AE189" i="5"/>
  <c r="C189" i="5"/>
  <c r="AF190" i="5" l="1"/>
  <c r="AB190" i="5"/>
  <c r="AC190" i="5"/>
  <c r="AD190" i="5"/>
  <c r="U190" i="5"/>
  <c r="AA190" i="5"/>
  <c r="S190" i="5"/>
  <c r="T190" i="5"/>
  <c r="L190" i="5"/>
  <c r="R190" i="5"/>
  <c r="J190" i="5"/>
  <c r="K190" i="5"/>
  <c r="I190" i="5"/>
  <c r="C190" i="5"/>
  <c r="B191" i="5"/>
  <c r="AG191" i="5" s="1"/>
  <c r="AE190" i="5"/>
  <c r="AF191" i="5" l="1"/>
  <c r="AB191" i="5"/>
  <c r="AC191" i="5"/>
  <c r="AD191" i="5"/>
  <c r="U191" i="5"/>
  <c r="AA191" i="5"/>
  <c r="S191" i="5"/>
  <c r="T191" i="5"/>
  <c r="L191" i="5"/>
  <c r="R191" i="5"/>
  <c r="J191" i="5"/>
  <c r="K191" i="5"/>
  <c r="I191" i="5"/>
  <c r="B192" i="5"/>
  <c r="AG192" i="5" s="1"/>
  <c r="C191" i="5"/>
  <c r="AE191" i="5"/>
  <c r="AF192" i="5" l="1"/>
  <c r="AC192" i="5"/>
  <c r="AD192" i="5"/>
  <c r="AB192" i="5"/>
  <c r="U192" i="5"/>
  <c r="AA192" i="5"/>
  <c r="S192" i="5"/>
  <c r="T192" i="5"/>
  <c r="L192" i="5"/>
  <c r="R192" i="5"/>
  <c r="J192" i="5"/>
  <c r="K192" i="5"/>
  <c r="I192" i="5"/>
  <c r="AE192" i="5"/>
  <c r="B193" i="5"/>
  <c r="AG193" i="5" s="1"/>
  <c r="C192" i="5"/>
  <c r="AF193" i="5" l="1"/>
  <c r="AD193" i="5"/>
  <c r="AB193" i="5"/>
  <c r="AC193" i="5"/>
  <c r="U193" i="5"/>
  <c r="AA193" i="5"/>
  <c r="S193" i="5"/>
  <c r="T193" i="5"/>
  <c r="L193" i="5"/>
  <c r="R193" i="5"/>
  <c r="J193" i="5"/>
  <c r="K193" i="5"/>
  <c r="I193" i="5"/>
  <c r="AE193" i="5"/>
  <c r="B194" i="5"/>
  <c r="AG194" i="5" s="1"/>
  <c r="C193" i="5"/>
  <c r="B90" i="16" l="1"/>
  <c r="AF194" i="5"/>
  <c r="AB194" i="5"/>
  <c r="AC194" i="5"/>
  <c r="AD194" i="5"/>
  <c r="U194" i="5"/>
  <c r="AA194" i="5"/>
  <c r="S194" i="5"/>
  <c r="T194" i="5"/>
  <c r="L194" i="5"/>
  <c r="R194" i="5"/>
  <c r="C194" i="5"/>
  <c r="AE194" i="5"/>
  <c r="J194" i="5"/>
  <c r="K194" i="5"/>
  <c r="I194" i="5"/>
  <c r="D23" i="5" l="1" a="1"/>
  <c r="D23" i="5" s="1"/>
  <c r="L63" i="5" a="1"/>
  <c r="L63" i="5" s="1"/>
  <c r="C91" i="10" s="1"/>
  <c r="K63" i="5" a="1"/>
  <c r="K63" i="5" s="1"/>
  <c r="C90" i="10" s="1"/>
  <c r="L59" i="5" a="1"/>
  <c r="L59" i="5" s="1"/>
  <c r="C65" i="10" s="1"/>
  <c r="O2" i="9" s="1"/>
  <c r="J63" i="5" a="1"/>
  <c r="J63" i="5" s="1"/>
  <c r="K59" i="5" a="1"/>
  <c r="K59" i="5" s="1"/>
  <c r="C64" i="10" s="1"/>
  <c r="N2" i="9" s="1"/>
  <c r="J58" i="5" a="1"/>
  <c r="J58" i="5" s="1"/>
  <c r="C58" i="10" s="1"/>
  <c r="L58" i="5" a="1"/>
  <c r="L58" i="5" s="1"/>
  <c r="C60" i="10" s="1"/>
  <c r="M16" i="9" a="1"/>
  <c r="M16" i="9" s="1"/>
  <c r="M9" i="9" a="1"/>
  <c r="M9" i="9" s="1"/>
  <c r="K65" i="5" a="1"/>
  <c r="K65" i="5" s="1"/>
  <c r="C102" i="10" s="1"/>
  <c r="AF2" i="9" s="1"/>
  <c r="K89" i="5" a="1"/>
  <c r="K89" i="5" s="1"/>
  <c r="E102" i="10" s="1"/>
  <c r="K77" i="5" a="1"/>
  <c r="K77" i="5" s="1"/>
  <c r="D102" i="10" s="1"/>
  <c r="AF4" i="9" s="1"/>
  <c r="K90" i="5" a="1"/>
  <c r="K90" i="5" s="1"/>
  <c r="E107" i="10" s="1"/>
  <c r="K85" i="5" a="1"/>
  <c r="K85" i="5" s="1"/>
  <c r="E74" i="10" s="1"/>
  <c r="K88" i="5" a="1"/>
  <c r="K88" i="5" s="1"/>
  <c r="E96" i="10" s="1"/>
  <c r="K70" i="5" a="1"/>
  <c r="K70" i="5" s="1"/>
  <c r="L70" i="5" a="1"/>
  <c r="L70" i="5" s="1"/>
  <c r="K60" i="5" a="1"/>
  <c r="K60" i="5" s="1"/>
  <c r="C69" i="10" s="1"/>
  <c r="K64" i="5" a="1"/>
  <c r="K64" i="5" s="1"/>
  <c r="C96" i="10" s="1"/>
  <c r="K61" i="5" a="1"/>
  <c r="K61" i="5" s="1"/>
  <c r="C74" i="10" s="1"/>
  <c r="K62" i="5" a="1"/>
  <c r="K62" i="5" s="1"/>
  <c r="C85" i="10" s="1"/>
  <c r="K73" i="5" a="1"/>
  <c r="K73" i="5" s="1"/>
  <c r="L90" i="5" a="1"/>
  <c r="L90" i="5" s="1"/>
  <c r="E108" i="10" s="1"/>
  <c r="L89" i="5" a="1"/>
  <c r="L89" i="5" s="1"/>
  <c r="E103" i="10" s="1"/>
  <c r="L88" i="5" a="1"/>
  <c r="L88" i="5" s="1"/>
  <c r="E97" i="10" s="1"/>
  <c r="L86" i="5" a="1"/>
  <c r="L86" i="5" s="1"/>
  <c r="E86" i="10" s="1"/>
  <c r="L87" i="5" a="1"/>
  <c r="L87" i="5" s="1"/>
  <c r="E91" i="10" s="1"/>
  <c r="L83" i="5" a="1"/>
  <c r="L83" i="5" s="1"/>
  <c r="E65" i="10" s="1"/>
  <c r="L84" i="5" a="1"/>
  <c r="L84" i="5" s="1"/>
  <c r="E70" i="10" s="1"/>
  <c r="L78" i="5" a="1"/>
  <c r="L78" i="5" s="1"/>
  <c r="D108" i="10" s="1"/>
  <c r="AJ4" i="9" s="1"/>
  <c r="L82" i="5" a="1"/>
  <c r="L82" i="5" s="1"/>
  <c r="E60" i="10" s="1"/>
  <c r="L76" i="5" a="1"/>
  <c r="L76" i="5" s="1"/>
  <c r="D97" i="10" s="1"/>
  <c r="L77" i="5" a="1"/>
  <c r="L77" i="5" s="1"/>
  <c r="D103" i="10" s="1"/>
  <c r="AG4" i="9" s="1"/>
  <c r="L74" i="5" a="1"/>
  <c r="L74" i="5" s="1"/>
  <c r="D86" i="10" s="1"/>
  <c r="L75" i="5" a="1"/>
  <c r="L75" i="5" s="1"/>
  <c r="D91" i="10" s="1"/>
  <c r="L72" i="5" a="1"/>
  <c r="L72" i="5" s="1"/>
  <c r="L73" i="5" a="1"/>
  <c r="L73" i="5" s="1"/>
  <c r="L65" i="5" a="1"/>
  <c r="L65" i="5" s="1"/>
  <c r="C103" i="10" s="1"/>
  <c r="AG2" i="9" s="1"/>
  <c r="L64" i="5" a="1"/>
  <c r="L64" i="5" s="1"/>
  <c r="C97" i="10" s="1"/>
  <c r="L60" i="5" a="1"/>
  <c r="L60" i="5" s="1"/>
  <c r="C70" i="10" s="1"/>
  <c r="L66" i="5" a="1"/>
  <c r="L66" i="5" s="1"/>
  <c r="C108" i="10" s="1"/>
  <c r="AJ2" i="9" s="1"/>
  <c r="L71" i="5" a="1"/>
  <c r="L71" i="5" s="1"/>
  <c r="L61" i="5" a="1"/>
  <c r="L61" i="5" s="1"/>
  <c r="C75" i="10" s="1"/>
  <c r="L62" i="5" a="1"/>
  <c r="L62" i="5" s="1"/>
  <c r="C86" i="10" s="1"/>
  <c r="F23" i="5" a="1"/>
  <c r="F23" i="5" s="1"/>
  <c r="E111" i="10" s="1"/>
  <c r="AM113" i="9" a="1"/>
  <c r="AM113" i="9" s="1"/>
  <c r="E23" i="5" a="1"/>
  <c r="E23" i="5" s="1"/>
  <c r="D111" i="10" s="1"/>
  <c r="F24" i="5" a="1"/>
  <c r="F24" i="5" s="1"/>
  <c r="E112" i="10" s="1"/>
  <c r="E24" i="5" a="1"/>
  <c r="E24" i="5" s="1"/>
  <c r="D112" i="10" s="1"/>
  <c r="AN4" i="9" s="1"/>
  <c r="D24" i="5" a="1"/>
  <c r="D24" i="5" s="1"/>
  <c r="C112" i="10" s="1"/>
  <c r="AN2" i="9" s="1"/>
  <c r="EG114" i="9" a="1"/>
  <c r="EG114" i="9" s="1"/>
  <c r="DC114" i="9" a="1"/>
  <c r="DC114" i="9" s="1"/>
  <c r="DM113" i="9" a="1"/>
  <c r="DM113" i="9" s="1"/>
  <c r="EC114" i="9" a="1"/>
  <c r="EC114" i="9" s="1"/>
  <c r="DX114" i="9" a="1"/>
  <c r="DX114" i="9" s="1"/>
  <c r="DQ113" i="9" a="1"/>
  <c r="DQ113" i="9" s="1"/>
  <c r="DO114" i="9" a="1"/>
  <c r="DO114" i="9" s="1"/>
  <c r="DG114" i="9" a="1"/>
  <c r="DG114" i="9" s="1"/>
  <c r="DY114" i="9" a="1"/>
  <c r="DY114" i="9" s="1"/>
  <c r="DD113" i="9" a="1"/>
  <c r="DD113" i="9" s="1"/>
  <c r="DP113" i="9" a="1"/>
  <c r="DP113" i="9" s="1"/>
  <c r="DN114" i="9" a="1"/>
  <c r="DN114" i="9" s="1"/>
  <c r="DU114" i="9" a="1"/>
  <c r="DU114" i="9" s="1"/>
  <c r="DL113" i="9" a="1"/>
  <c r="DL113" i="9" s="1"/>
  <c r="DF114" i="9" a="1"/>
  <c r="DF114" i="9" s="1"/>
  <c r="EA114" i="9" a="1"/>
  <c r="EA114" i="9" s="1"/>
  <c r="DJ114" i="9" a="1"/>
  <c r="DJ114" i="9" s="1"/>
  <c r="DH113" i="9" a="1"/>
  <c r="DH113" i="9" s="1"/>
  <c r="DE114" i="9" a="1"/>
  <c r="DE114" i="9" s="1"/>
  <c r="DH114" i="9" a="1"/>
  <c r="DH114" i="9" s="1"/>
  <c r="DR114" i="9" a="1"/>
  <c r="DR114" i="9" s="1"/>
  <c r="DW114" i="9" a="1"/>
  <c r="DW114" i="9" s="1"/>
  <c r="DP114" i="9" a="1"/>
  <c r="DP114" i="9" s="1"/>
  <c r="DK113" i="9" a="1"/>
  <c r="DK113" i="9" s="1"/>
  <c r="DZ113" i="9" a="1"/>
  <c r="DZ113" i="9" s="1"/>
  <c r="DT113" i="9" a="1"/>
  <c r="DT113" i="9" s="1"/>
  <c r="DE113" i="9" a="1"/>
  <c r="DE113" i="9" s="1"/>
  <c r="DD114" i="9" a="1"/>
  <c r="DD114" i="9" s="1"/>
  <c r="DO113" i="9" a="1"/>
  <c r="DO113" i="9" s="1"/>
  <c r="DQ114" i="9" a="1"/>
  <c r="DQ114" i="9" s="1"/>
  <c r="DJ113" i="9" a="1"/>
  <c r="DJ113" i="9" s="1"/>
  <c r="DX113" i="9" a="1"/>
  <c r="DX113" i="9" s="1"/>
  <c r="DI114" i="9" a="1"/>
  <c r="DI114" i="9" s="1"/>
  <c r="DV114" i="9" a="1"/>
  <c r="DV114" i="9" s="1"/>
  <c r="DY113" i="9" a="1"/>
  <c r="DY113" i="9" s="1"/>
  <c r="DV113" i="9" a="1"/>
  <c r="DV113" i="9" s="1"/>
  <c r="DL114" i="9" a="1"/>
  <c r="DL114" i="9" s="1"/>
  <c r="DG113" i="9" a="1"/>
  <c r="DG113" i="9" s="1"/>
  <c r="DU113" i="9" a="1"/>
  <c r="DU113" i="9" s="1"/>
  <c r="DK114" i="9" a="1"/>
  <c r="DK114" i="9" s="1"/>
  <c r="DI113" i="9" a="1"/>
  <c r="DI113" i="9" s="1"/>
  <c r="DR113" i="9" a="1"/>
  <c r="DR113" i="9" s="1"/>
  <c r="DM114" i="9" a="1"/>
  <c r="DM114" i="9" s="1"/>
  <c r="DC113" i="9" a="1"/>
  <c r="DC113" i="9" s="1"/>
  <c r="EB114" i="9" a="1"/>
  <c r="EB114" i="9" s="1"/>
  <c r="EB113" i="9" a="1"/>
  <c r="EB113" i="9" s="1"/>
  <c r="DS114" i="9" a="1"/>
  <c r="DS114" i="9" s="1"/>
  <c r="DF113" i="9" a="1"/>
  <c r="DF113" i="9" s="1"/>
  <c r="DZ114" i="9" a="1"/>
  <c r="DZ114" i="9" s="1"/>
  <c r="DN113" i="9" a="1"/>
  <c r="DN113" i="9" s="1"/>
  <c r="EA113" i="9" a="1"/>
  <c r="EA113" i="9" s="1"/>
  <c r="DS113" i="9" a="1"/>
  <c r="DS113" i="9" s="1"/>
  <c r="EC113" i="9" a="1"/>
  <c r="EC113" i="9" s="1"/>
  <c r="DW113" i="9" a="1"/>
  <c r="DW113" i="9" s="1"/>
  <c r="DT114" i="9" a="1"/>
  <c r="DT114" i="9" s="1"/>
  <c r="EG113" i="9" a="1"/>
  <c r="EG113" i="9" s="1"/>
  <c r="EF114" i="9" a="1"/>
  <c r="EF114" i="9" s="1"/>
  <c r="CI114" i="9" a="1"/>
  <c r="CI114" i="9" s="1"/>
  <c r="EF113" i="9" a="1"/>
  <c r="EF113" i="9" s="1"/>
  <c r="CI113" i="9" a="1"/>
  <c r="CI113" i="9" s="1"/>
  <c r="BF114" i="9" a="1"/>
  <c r="BF114" i="9" s="1"/>
  <c r="BR114" i="9" a="1"/>
  <c r="BR114" i="9" s="1"/>
  <c r="BG113" i="9" a="1"/>
  <c r="BG113" i="9" s="1"/>
  <c r="BK114" i="9" a="1"/>
  <c r="BK114" i="9" s="1"/>
  <c r="BL114" i="9" a="1"/>
  <c r="BL114" i="9" s="1"/>
  <c r="BX114" i="9" a="1"/>
  <c r="BX114" i="9" s="1"/>
  <c r="BR113" i="9" a="1"/>
  <c r="BR113" i="9" s="1"/>
  <c r="BS114" i="9" a="1"/>
  <c r="BS114" i="9" s="1"/>
  <c r="BF113" i="9" a="1"/>
  <c r="BF113" i="9" s="1"/>
  <c r="BU113" i="9" a="1"/>
  <c r="BU113" i="9" s="1"/>
  <c r="CB114" i="9" a="1"/>
  <c r="CB114" i="9" s="1"/>
  <c r="BU114" i="9" a="1"/>
  <c r="BU114" i="9" s="1"/>
  <c r="BZ113" i="9" a="1"/>
  <c r="BZ113" i="9" s="1"/>
  <c r="BP113" i="9" a="1"/>
  <c r="BP113" i="9" s="1"/>
  <c r="BQ113" i="9" a="1"/>
  <c r="BQ113" i="9" s="1"/>
  <c r="CC113" i="9" a="1"/>
  <c r="CC113" i="9" s="1"/>
  <c r="BW113" i="9" a="1"/>
  <c r="BW113" i="9" s="1"/>
  <c r="BX113" i="9" a="1"/>
  <c r="BX113" i="9" s="1"/>
  <c r="BM114" i="9" a="1"/>
  <c r="BM114" i="9" s="1"/>
  <c r="BY113" i="9" a="1"/>
  <c r="BY113" i="9" s="1"/>
  <c r="BI113" i="9" a="1"/>
  <c r="BI113" i="9" s="1"/>
  <c r="BN113" i="9" a="1"/>
  <c r="BN113" i="9" s="1"/>
  <c r="BJ114" i="9" a="1"/>
  <c r="BJ114" i="9" s="1"/>
  <c r="BT114" i="9" a="1"/>
  <c r="BT114" i="9" s="1"/>
  <c r="BY114" i="9" a="1"/>
  <c r="BY114" i="9" s="1"/>
  <c r="BJ113" i="9" a="1"/>
  <c r="BJ113" i="9" s="1"/>
  <c r="CA114" i="9" a="1"/>
  <c r="CA114" i="9" s="1"/>
  <c r="BH113" i="9" a="1"/>
  <c r="BH113" i="9" s="1"/>
  <c r="BV113" i="9" a="1"/>
  <c r="BV113" i="9" s="1"/>
  <c r="CE113" i="9" a="1"/>
  <c r="CE113" i="9" s="1"/>
  <c r="BO113" i="9" a="1"/>
  <c r="BO113" i="9" s="1"/>
  <c r="CD113" i="9" a="1"/>
  <c r="CD113" i="9" s="1"/>
  <c r="BL113" i="9" a="1"/>
  <c r="BL113" i="9" s="1"/>
  <c r="CD114" i="9" a="1"/>
  <c r="CD114" i="9" s="1"/>
  <c r="BG114" i="9" a="1"/>
  <c r="BG114" i="9" s="1"/>
  <c r="BN114" i="9" a="1"/>
  <c r="BN114" i="9" s="1"/>
  <c r="BM113" i="9" a="1"/>
  <c r="BM113" i="9" s="1"/>
  <c r="CA113" i="9" a="1"/>
  <c r="CA113" i="9" s="1"/>
  <c r="BH114" i="9" a="1"/>
  <c r="BH114" i="9" s="1"/>
  <c r="BZ114" i="9" a="1"/>
  <c r="BZ114" i="9" s="1"/>
  <c r="CF114" i="9" a="1"/>
  <c r="CF114" i="9" s="1"/>
  <c r="BI114" i="9" a="1"/>
  <c r="BI114" i="9" s="1"/>
  <c r="CF113" i="9" a="1"/>
  <c r="CF113" i="9" s="1"/>
  <c r="BP114" i="9" a="1"/>
  <c r="BP114" i="9" s="1"/>
  <c r="CB113" i="9" a="1"/>
  <c r="CB113" i="9" s="1"/>
  <c r="BW114" i="9" a="1"/>
  <c r="BW114" i="9" s="1"/>
  <c r="BQ114" i="9" a="1"/>
  <c r="BQ114" i="9" s="1"/>
  <c r="BT113" i="9" a="1"/>
  <c r="BT113" i="9" s="1"/>
  <c r="CE114" i="9" a="1"/>
  <c r="CE114" i="9" s="1"/>
  <c r="BO114" i="9" a="1"/>
  <c r="BO114" i="9" s="1"/>
  <c r="BV114" i="9" a="1"/>
  <c r="BV114" i="9" s="1"/>
  <c r="CC114" i="9" a="1"/>
  <c r="CC114" i="9" s="1"/>
  <c r="BS113" i="9" a="1"/>
  <c r="BS113" i="9" s="1"/>
  <c r="BK113" i="9" a="1"/>
  <c r="BK113" i="9" s="1"/>
  <c r="CJ113" i="9" a="1"/>
  <c r="CJ113" i="9" s="1"/>
  <c r="CJ114" i="9" a="1"/>
  <c r="CJ114" i="9" s="1"/>
  <c r="O114" i="9" a="1"/>
  <c r="O114" i="9" s="1"/>
  <c r="AJ114" i="9" a="1"/>
  <c r="AJ114" i="9" s="1"/>
  <c r="S114" i="9" a="1"/>
  <c r="S114" i="9" s="1"/>
  <c r="AD114" i="9" a="1"/>
  <c r="AD114" i="9" s="1"/>
  <c r="X114" i="9" a="1"/>
  <c r="X114" i="9" s="1"/>
  <c r="L114" i="9" a="1"/>
  <c r="L114" i="9" s="1"/>
  <c r="U114" i="9" a="1"/>
  <c r="U114" i="9" s="1"/>
  <c r="N114" i="9" a="1"/>
  <c r="N114" i="9" s="1"/>
  <c r="AC114" i="9" a="1"/>
  <c r="AC114" i="9" s="1"/>
  <c r="K114" i="9" a="1"/>
  <c r="K114" i="9" s="1"/>
  <c r="AF114" i="9" a="1"/>
  <c r="AF114" i="9" s="1"/>
  <c r="T114" i="9" a="1"/>
  <c r="T114" i="9" s="1"/>
  <c r="R114" i="9" a="1"/>
  <c r="R114" i="9" s="1"/>
  <c r="AG114" i="9" a="1"/>
  <c r="AG114" i="9" s="1"/>
  <c r="Z114" i="9" a="1"/>
  <c r="Z114" i="9" s="1"/>
  <c r="Q114" i="9" a="1"/>
  <c r="Q114" i="9" s="1"/>
  <c r="W114" i="9" a="1"/>
  <c r="W114" i="9" s="1"/>
  <c r="J114" i="9" a="1"/>
  <c r="J114" i="9" s="1"/>
  <c r="AA114" i="9" a="1"/>
  <c r="AA114" i="9" s="1"/>
  <c r="AI114" i="9" a="1"/>
  <c r="AI114" i="9" s="1"/>
  <c r="AM114" i="9" a="1"/>
  <c r="AM114" i="9" s="1"/>
  <c r="AN114" i="9" a="1"/>
  <c r="AN114" i="9" s="1"/>
  <c r="AI113" i="9" a="1"/>
  <c r="AI113" i="9" s="1"/>
  <c r="Q113" i="9" a="1"/>
  <c r="Q113" i="9" s="1"/>
  <c r="K113" i="9" a="1"/>
  <c r="K113" i="9" s="1"/>
  <c r="X113" i="9" a="1"/>
  <c r="X113" i="9" s="1"/>
  <c r="AA113" i="9" a="1"/>
  <c r="AA113" i="9" s="1"/>
  <c r="J113" i="9" a="1"/>
  <c r="J113" i="9" s="1"/>
  <c r="AG113" i="9" a="1"/>
  <c r="AG113" i="9" s="1"/>
  <c r="Z113" i="9" a="1"/>
  <c r="Z113" i="9" s="1"/>
  <c r="AD113" i="9" a="1"/>
  <c r="AD113" i="9" s="1"/>
  <c r="N113" i="9" a="1"/>
  <c r="N113" i="9" s="1"/>
  <c r="L113" i="9" a="1"/>
  <c r="L113" i="9" s="1"/>
  <c r="T113" i="9" a="1"/>
  <c r="T113" i="9" s="1"/>
  <c r="U113" i="9" a="1"/>
  <c r="U113" i="9" s="1"/>
  <c r="W113" i="9" a="1"/>
  <c r="W113" i="9" s="1"/>
  <c r="S113" i="9" a="1"/>
  <c r="S113" i="9" s="1"/>
  <c r="O113" i="9" a="1"/>
  <c r="O113" i="9" s="1"/>
  <c r="AC113" i="9" a="1"/>
  <c r="AC113" i="9" s="1"/>
  <c r="R113" i="9" a="1"/>
  <c r="R113" i="9" s="1"/>
  <c r="AJ113" i="9" a="1"/>
  <c r="AJ113" i="9" s="1"/>
  <c r="AF113" i="9" a="1"/>
  <c r="AF113" i="9" s="1"/>
  <c r="AN113" i="9" a="1"/>
  <c r="AN113" i="9" s="1"/>
  <c r="J9" i="9" a="1"/>
  <c r="J9" i="9" s="1"/>
  <c r="EF109" i="9" a="1"/>
  <c r="EF109" i="9" s="1"/>
  <c r="CJ62" i="9" a="1"/>
  <c r="CJ62" i="9" s="1"/>
  <c r="CJ88" i="9" a="1"/>
  <c r="CJ88" i="9" s="1"/>
  <c r="CJ37" i="9" a="1"/>
  <c r="CJ37" i="9" s="1"/>
  <c r="CJ83" i="9" a="1"/>
  <c r="CJ83" i="9" s="1"/>
  <c r="AN67" i="9" a="1"/>
  <c r="AN67" i="9" s="1"/>
  <c r="CI34" i="9" a="1"/>
  <c r="CI34" i="9" s="1"/>
  <c r="CI37" i="9" a="1"/>
  <c r="CI37" i="9" s="1"/>
  <c r="CI55" i="9" a="1"/>
  <c r="CI55" i="9" s="1"/>
  <c r="CI69" i="9" a="1"/>
  <c r="CI69" i="9" s="1"/>
  <c r="CI39" i="9" a="1"/>
  <c r="CI39" i="9" s="1"/>
  <c r="CJ54" i="9" a="1"/>
  <c r="CJ54" i="9" s="1"/>
  <c r="CI18" i="9" a="1"/>
  <c r="CI18" i="9" s="1"/>
  <c r="CI109" i="9" a="1"/>
  <c r="CI109" i="9" s="1"/>
  <c r="CJ93" i="9" a="1"/>
  <c r="CJ93" i="9" s="1"/>
  <c r="CJ38" i="9" a="1"/>
  <c r="CJ38" i="9" s="1"/>
  <c r="CI43" i="9" a="1"/>
  <c r="CI43" i="9" s="1"/>
  <c r="CJ59" i="9" a="1"/>
  <c r="CJ59" i="9" s="1"/>
  <c r="CI42" i="9" a="1"/>
  <c r="CI42" i="9" s="1"/>
  <c r="CJ43" i="9" a="1"/>
  <c r="CJ43" i="9" s="1"/>
  <c r="CJ11" i="9" a="1"/>
  <c r="CJ11" i="9" s="1"/>
  <c r="CJ33" i="9" a="1"/>
  <c r="CJ33" i="9" s="1"/>
  <c r="CI36" i="9" a="1"/>
  <c r="CI36" i="9" s="1"/>
  <c r="CJ46" i="9" a="1"/>
  <c r="CJ46" i="9" s="1"/>
  <c r="CJ94" i="9" a="1"/>
  <c r="CJ94" i="9" s="1"/>
  <c r="CJ90" i="9" a="1"/>
  <c r="CJ90" i="9" s="1"/>
  <c r="CJ27" i="9" a="1"/>
  <c r="CJ27" i="9" s="1"/>
  <c r="CJ61" i="9" a="1"/>
  <c r="CJ61" i="9" s="1"/>
  <c r="CI111" i="9" a="1"/>
  <c r="CI111" i="9" s="1"/>
  <c r="CJ51" i="9" a="1"/>
  <c r="CJ51" i="9" s="1"/>
  <c r="CJ84" i="9" a="1"/>
  <c r="CJ84" i="9" s="1"/>
  <c r="CJ92" i="9" a="1"/>
  <c r="CJ92" i="9" s="1"/>
  <c r="CI22" i="9" a="1"/>
  <c r="CI22" i="9" s="1"/>
  <c r="CJ81" i="9" a="1"/>
  <c r="CJ81" i="9" s="1"/>
  <c r="CI65" i="9" a="1"/>
  <c r="CI65" i="9" s="1"/>
  <c r="CI58" i="9" a="1"/>
  <c r="CI58" i="9" s="1"/>
  <c r="CI75" i="9" a="1"/>
  <c r="CI75" i="9" s="1"/>
  <c r="CJ12" i="9" a="1"/>
  <c r="CJ12" i="9" s="1"/>
  <c r="CI79" i="9" a="1"/>
  <c r="CI79" i="9" s="1"/>
  <c r="CI64" i="9" a="1"/>
  <c r="CI64" i="9" s="1"/>
  <c r="CJ111" i="9" a="1"/>
  <c r="CJ111" i="9" s="1"/>
  <c r="CI107" i="9" a="1"/>
  <c r="CI107" i="9" s="1"/>
  <c r="CJ65" i="9" a="1"/>
  <c r="CJ65" i="9" s="1"/>
  <c r="CI87" i="9" a="1"/>
  <c r="CI87" i="9" s="1"/>
  <c r="CI102" i="9" a="1"/>
  <c r="CI102" i="9" s="1"/>
  <c r="CI99" i="9" a="1"/>
  <c r="CI99" i="9" s="1"/>
  <c r="CI23" i="9" a="1"/>
  <c r="CI23" i="9" s="1"/>
  <c r="CJ110" i="9" a="1"/>
  <c r="CJ110" i="9" s="1"/>
  <c r="CJ55" i="9" a="1"/>
  <c r="CJ55" i="9" s="1"/>
  <c r="CJ74" i="9" a="1"/>
  <c r="CJ74" i="9" s="1"/>
  <c r="CJ34" i="9" a="1"/>
  <c r="CJ34" i="9" s="1"/>
  <c r="CJ25" i="9" a="1"/>
  <c r="CJ25" i="9" s="1"/>
  <c r="CJ36" i="9" a="1"/>
  <c r="CJ36" i="9" s="1"/>
  <c r="CI9" i="9" a="1"/>
  <c r="CI9" i="9" s="1"/>
  <c r="CJ57" i="9" a="1"/>
  <c r="CJ57" i="9" s="1"/>
  <c r="CJ64" i="9" a="1"/>
  <c r="CJ64" i="9" s="1"/>
  <c r="CI93" i="9" a="1"/>
  <c r="CI93" i="9" s="1"/>
  <c r="CJ109" i="9" a="1"/>
  <c r="CJ109" i="9" s="1"/>
  <c r="CJ75" i="9" a="1"/>
  <c r="CJ75" i="9" s="1"/>
  <c r="CI90" i="9" a="1"/>
  <c r="CI90" i="9" s="1"/>
  <c r="CJ68" i="9" a="1"/>
  <c r="CJ68" i="9" s="1"/>
  <c r="CI54" i="9" a="1"/>
  <c r="CI54" i="9" s="1"/>
  <c r="CJ70" i="9" a="1"/>
  <c r="CJ70" i="9" s="1"/>
  <c r="CI78" i="9" a="1"/>
  <c r="CI78" i="9" s="1"/>
  <c r="CJ77" i="9" a="1"/>
  <c r="CJ77" i="9" s="1"/>
  <c r="CJ87" i="9" a="1"/>
  <c r="CJ87" i="9" s="1"/>
  <c r="CI48" i="9" a="1"/>
  <c r="CI48" i="9" s="1"/>
  <c r="CI89" i="9" a="1"/>
  <c r="CI89" i="9" s="1"/>
  <c r="CI60" i="9" a="1"/>
  <c r="CI60" i="9" s="1"/>
  <c r="CJ24" i="9" a="1"/>
  <c r="CJ24" i="9" s="1"/>
  <c r="CJ45" i="9" a="1"/>
  <c r="CJ45" i="9" s="1"/>
  <c r="CI17" i="9" a="1"/>
  <c r="CI17" i="9" s="1"/>
  <c r="CJ20" i="9" a="1"/>
  <c r="CJ20" i="9" s="1"/>
  <c r="CI57" i="9" a="1"/>
  <c r="CI57" i="9" s="1"/>
  <c r="CJ31" i="9" a="1"/>
  <c r="CJ31" i="9" s="1"/>
  <c r="CJ17" i="9" a="1"/>
  <c r="CJ17" i="9" s="1"/>
  <c r="CI71" i="9" a="1"/>
  <c r="CI71" i="9" s="1"/>
  <c r="CI106" i="9" a="1"/>
  <c r="CI106" i="9" s="1"/>
  <c r="CJ73" i="9" a="1"/>
  <c r="CJ73" i="9" s="1"/>
  <c r="CI24" i="9" a="1"/>
  <c r="CI24" i="9" s="1"/>
  <c r="CJ15" i="9" a="1"/>
  <c r="CJ15" i="9" s="1"/>
  <c r="CI86" i="9" a="1"/>
  <c r="CI86" i="9" s="1"/>
  <c r="CI35" i="9" a="1"/>
  <c r="CI35" i="9" s="1"/>
  <c r="CI77" i="9" a="1"/>
  <c r="CI77" i="9" s="1"/>
  <c r="CJ56" i="9" a="1"/>
  <c r="CJ56" i="9" s="1"/>
  <c r="CI44" i="9" a="1"/>
  <c r="CI44" i="9" s="1"/>
  <c r="CI94" i="9" a="1"/>
  <c r="CI94" i="9" s="1"/>
  <c r="CJ86" i="9" a="1"/>
  <c r="CJ86" i="9" s="1"/>
  <c r="CI46" i="9" a="1"/>
  <c r="CI46" i="9" s="1"/>
  <c r="CI70" i="9" a="1"/>
  <c r="CI70" i="9" s="1"/>
  <c r="CI19" i="9" a="1"/>
  <c r="CI19" i="9" s="1"/>
  <c r="CI21" i="9" a="1"/>
  <c r="CI21" i="9" s="1"/>
  <c r="CJ18" i="9" a="1"/>
  <c r="CJ18" i="9" s="1"/>
  <c r="CI29" i="9" a="1"/>
  <c r="CI29" i="9" s="1"/>
  <c r="CI56" i="9" a="1"/>
  <c r="CI56" i="9" s="1"/>
  <c r="CI32" i="9" a="1"/>
  <c r="CI32" i="9" s="1"/>
  <c r="EG33" i="9" a="1"/>
  <c r="EG33" i="9" s="1"/>
  <c r="CJ60" i="9" a="1"/>
  <c r="CJ60" i="9" s="1"/>
  <c r="CI103" i="9" a="1"/>
  <c r="CI103" i="9" s="1"/>
  <c r="CI62" i="9" a="1"/>
  <c r="CI62" i="9" s="1"/>
  <c r="CI72" i="9" a="1"/>
  <c r="CI72" i="9" s="1"/>
  <c r="CJ91" i="9" a="1"/>
  <c r="CJ91" i="9" s="1"/>
  <c r="CI27" i="9" a="1"/>
  <c r="CI27" i="9" s="1"/>
  <c r="CI53" i="9" a="1"/>
  <c r="CI53" i="9" s="1"/>
  <c r="CJ63" i="9" a="1"/>
  <c r="CJ63" i="9" s="1"/>
  <c r="CJ32" i="9" a="1"/>
  <c r="CJ32" i="9" s="1"/>
  <c r="CI10" i="9" a="1"/>
  <c r="CI10" i="9" s="1"/>
  <c r="CI13" i="9" a="1"/>
  <c r="CI13" i="9" s="1"/>
  <c r="CJ107" i="9" a="1"/>
  <c r="CJ107" i="9" s="1"/>
  <c r="CI88" i="9" a="1"/>
  <c r="CI88" i="9" s="1"/>
  <c r="CI50" i="9" a="1"/>
  <c r="CI50" i="9" s="1"/>
  <c r="CI105" i="9" a="1"/>
  <c r="CI105" i="9" s="1"/>
  <c r="CJ49" i="9" a="1"/>
  <c r="CJ49" i="9" s="1"/>
  <c r="CJ13" i="9" a="1"/>
  <c r="CJ13" i="9" s="1"/>
  <c r="CJ102" i="9" a="1"/>
  <c r="CJ102" i="9" s="1"/>
  <c r="CI97" i="9" a="1"/>
  <c r="CI97" i="9" s="1"/>
  <c r="CJ14" i="9" a="1"/>
  <c r="CJ14" i="9" s="1"/>
  <c r="CI76" i="9" a="1"/>
  <c r="CI76" i="9" s="1"/>
  <c r="CJ42" i="9" a="1"/>
  <c r="CJ42" i="9" s="1"/>
  <c r="EG68" i="9" a="1"/>
  <c r="EG68" i="9" s="1"/>
  <c r="CI16" i="9" a="1"/>
  <c r="CI16" i="9" s="1"/>
  <c r="CJ53" i="9" a="1"/>
  <c r="CJ53" i="9" s="1"/>
  <c r="EF14" i="9" a="1"/>
  <c r="EF14" i="9" s="1"/>
  <c r="CI112" i="9" a="1"/>
  <c r="CI112" i="9" s="1"/>
  <c r="CI25" i="9" a="1"/>
  <c r="CI25" i="9" s="1"/>
  <c r="EF87" i="9" a="1"/>
  <c r="EF87" i="9" s="1"/>
  <c r="CI110" i="9" a="1"/>
  <c r="CI110" i="9" s="1"/>
  <c r="CI84" i="9" a="1"/>
  <c r="CI84" i="9" s="1"/>
  <c r="EG61" i="9" a="1"/>
  <c r="EG61" i="9" s="1"/>
  <c r="CJ104" i="9" a="1"/>
  <c r="CJ104" i="9" s="1"/>
  <c r="CJ39" i="9" a="1"/>
  <c r="CJ39" i="9" s="1"/>
  <c r="EG75" i="9" a="1"/>
  <c r="EG75" i="9" s="1"/>
  <c r="EF98" i="9" a="1"/>
  <c r="EF98" i="9" s="1"/>
  <c r="EG70" i="9" a="1"/>
  <c r="EG70" i="9" s="1"/>
  <c r="EG77" i="9" a="1"/>
  <c r="EG77" i="9" s="1"/>
  <c r="EG98" i="9" a="1"/>
  <c r="EG98" i="9" s="1"/>
  <c r="EG83" i="9" a="1"/>
  <c r="EG83" i="9" s="1"/>
  <c r="EF74" i="9" a="1"/>
  <c r="EF74" i="9" s="1"/>
  <c r="EG47" i="9" a="1"/>
  <c r="EG47" i="9" s="1"/>
  <c r="EF71" i="9" a="1"/>
  <c r="EF71" i="9" s="1"/>
  <c r="EF73" i="9" a="1"/>
  <c r="EF73" i="9" s="1"/>
  <c r="EF10" i="9" a="1"/>
  <c r="EF10" i="9" s="1"/>
  <c r="EG28" i="9" a="1"/>
  <c r="EG28" i="9" s="1"/>
  <c r="EF23" i="9" a="1"/>
  <c r="EF23" i="9" s="1"/>
  <c r="EG62" i="9" a="1"/>
  <c r="EG62" i="9" s="1"/>
  <c r="EG78" i="9" a="1"/>
  <c r="EG78" i="9" s="1"/>
  <c r="EG43" i="9" a="1"/>
  <c r="EG43" i="9" s="1"/>
  <c r="EF43" i="9" a="1"/>
  <c r="EF43" i="9" s="1"/>
  <c r="EG66" i="9" a="1"/>
  <c r="EG66" i="9" s="1"/>
  <c r="EG76" i="9" a="1"/>
  <c r="EG76" i="9" s="1"/>
  <c r="EF50" i="9" a="1"/>
  <c r="EF50" i="9" s="1"/>
  <c r="EF100" i="9" a="1"/>
  <c r="EF100" i="9" s="1"/>
  <c r="EF41" i="9" a="1"/>
  <c r="EF41" i="9" s="1"/>
  <c r="EG69" i="9" a="1"/>
  <c r="EG69" i="9" s="1"/>
  <c r="EG44" i="9" a="1"/>
  <c r="EG44" i="9" s="1"/>
  <c r="EF83" i="9" a="1"/>
  <c r="EF83" i="9" s="1"/>
  <c r="EF34" i="9" a="1"/>
  <c r="EF34" i="9" s="1"/>
  <c r="EF112" i="9" a="1"/>
  <c r="EF112" i="9" s="1"/>
  <c r="EF56" i="9" a="1"/>
  <c r="EF56" i="9" s="1"/>
  <c r="EG56" i="9" a="1"/>
  <c r="EG56" i="9" s="1"/>
  <c r="EG96" i="9" a="1"/>
  <c r="EG96" i="9" s="1"/>
  <c r="EG17" i="9" a="1"/>
  <c r="EG17" i="9" s="1"/>
  <c r="EF108" i="9" a="1"/>
  <c r="EF108" i="9" s="1"/>
  <c r="EG101" i="9" a="1"/>
  <c r="EG101" i="9" s="1"/>
  <c r="EF68" i="9" a="1"/>
  <c r="EF68" i="9" s="1"/>
  <c r="EG97" i="9" a="1"/>
  <c r="EG97" i="9" s="1"/>
  <c r="EG59" i="9" a="1"/>
  <c r="EG59" i="9" s="1"/>
  <c r="EG100" i="9" a="1"/>
  <c r="EG100" i="9" s="1"/>
  <c r="EG104" i="9" a="1"/>
  <c r="EG104" i="9" s="1"/>
  <c r="EF24" i="9" a="1"/>
  <c r="EF24" i="9" s="1"/>
  <c r="EF12" i="9" a="1"/>
  <c r="EF12" i="9" s="1"/>
  <c r="EF105" i="9" a="1"/>
  <c r="EF105" i="9" s="1"/>
  <c r="EF13" i="9" a="1"/>
  <c r="EF13" i="9" s="1"/>
  <c r="EF19" i="9" a="1"/>
  <c r="EF19" i="9" s="1"/>
  <c r="EF26" i="9" a="1"/>
  <c r="EF26" i="9" s="1"/>
  <c r="EF27" i="9" a="1"/>
  <c r="EF27" i="9" s="1"/>
  <c r="EF89" i="9" a="1"/>
  <c r="EF89" i="9" s="1"/>
  <c r="EG110" i="9" a="1"/>
  <c r="EG110" i="9" s="1"/>
  <c r="EF30" i="9" a="1"/>
  <c r="EF30" i="9" s="1"/>
  <c r="EF49" i="9" a="1"/>
  <c r="EF49" i="9" s="1"/>
  <c r="EF25" i="9" a="1"/>
  <c r="EF25" i="9" s="1"/>
  <c r="EF79" i="9" a="1"/>
  <c r="EF79" i="9" s="1"/>
  <c r="EF110" i="9" a="1"/>
  <c r="EF110" i="9" s="1"/>
  <c r="EF31" i="9" a="1"/>
  <c r="EF31" i="9" s="1"/>
  <c r="EG36" i="9" a="1"/>
  <c r="EG36" i="9" s="1"/>
  <c r="AM44" i="9" a="1"/>
  <c r="AM44" i="9" s="1"/>
  <c r="EF84" i="9" a="1"/>
  <c r="EF84" i="9" s="1"/>
  <c r="EF28" i="9" a="1"/>
  <c r="EF28" i="9" s="1"/>
  <c r="EG42" i="9" a="1"/>
  <c r="EG42" i="9" s="1"/>
  <c r="EF35" i="9" a="1"/>
  <c r="EF35" i="9" s="1"/>
  <c r="EG79" i="9" a="1"/>
  <c r="EG79" i="9" s="1"/>
  <c r="CI85" i="9" a="1"/>
  <c r="CI85" i="9" s="1"/>
  <c r="EF22" i="9" a="1"/>
  <c r="EF22" i="9" s="1"/>
  <c r="EG106" i="9" a="1"/>
  <c r="EG106" i="9" s="1"/>
  <c r="EF86" i="9" a="1"/>
  <c r="EF86" i="9" s="1"/>
  <c r="EF69" i="9" a="1"/>
  <c r="EF69" i="9" s="1"/>
  <c r="EF32" i="9" a="1"/>
  <c r="EF32" i="9" s="1"/>
  <c r="EG46" i="9" a="1"/>
  <c r="EG46" i="9" s="1"/>
  <c r="EF18" i="9" a="1"/>
  <c r="EF18" i="9" s="1"/>
  <c r="EF62" i="9" a="1"/>
  <c r="EF62" i="9" s="1"/>
  <c r="EG19" i="9" a="1"/>
  <c r="EG19" i="9" s="1"/>
  <c r="EG52" i="9" a="1"/>
  <c r="EG52" i="9" s="1"/>
  <c r="CI104" i="9" a="1"/>
  <c r="CI104" i="9" s="1"/>
  <c r="EG112" i="9" a="1"/>
  <c r="EG112" i="9" s="1"/>
  <c r="EF85" i="9" a="1"/>
  <c r="EF85" i="9" s="1"/>
  <c r="EG41" i="9" a="1"/>
  <c r="EG41" i="9" s="1"/>
  <c r="DJ25" i="9" a="1"/>
  <c r="DJ25" i="9" s="1"/>
  <c r="DD21" i="9" a="1"/>
  <c r="DD21" i="9" s="1"/>
  <c r="DC10" i="9" a="1"/>
  <c r="DC10" i="9" s="1"/>
  <c r="DK32" i="9" a="1"/>
  <c r="DK32" i="9" s="1"/>
  <c r="DP33" i="9" a="1"/>
  <c r="DP33" i="9" s="1"/>
  <c r="DD41" i="9" a="1"/>
  <c r="DD41" i="9" s="1"/>
  <c r="DM90" i="9" a="1"/>
  <c r="DM90" i="9" s="1"/>
  <c r="DW25" i="9" a="1"/>
  <c r="DW25" i="9" s="1"/>
  <c r="DD57" i="9" a="1"/>
  <c r="DD57" i="9" s="1"/>
  <c r="EC58" i="9" a="1"/>
  <c r="EC58" i="9" s="1"/>
  <c r="DT26" i="9" a="1"/>
  <c r="DT26" i="9" s="1"/>
  <c r="DQ12" i="9" a="1"/>
  <c r="DQ12" i="9" s="1"/>
  <c r="DH81" i="9" a="1"/>
  <c r="DH81" i="9" s="1"/>
  <c r="DC34" i="9" a="1"/>
  <c r="DC34" i="9" s="1"/>
  <c r="DT105" i="9" a="1"/>
  <c r="DT105" i="9" s="1"/>
  <c r="DZ52" i="9" a="1"/>
  <c r="DZ52" i="9" s="1"/>
  <c r="DZ68" i="9" a="1"/>
  <c r="DZ68" i="9" s="1"/>
  <c r="DC74" i="9" a="1"/>
  <c r="DC74" i="9" s="1"/>
  <c r="DD105" i="9" a="1"/>
  <c r="DD105" i="9" s="1"/>
  <c r="DG56" i="9" a="1"/>
  <c r="DG56" i="9" s="1"/>
  <c r="DN83" i="9" a="1"/>
  <c r="DN83" i="9" s="1"/>
  <c r="DZ86" i="9" a="1"/>
  <c r="DZ86" i="9" s="1"/>
  <c r="DT35" i="9" a="1"/>
  <c r="DT35" i="9" s="1"/>
  <c r="EC104" i="9" a="1"/>
  <c r="EC104" i="9" s="1"/>
  <c r="DL54" i="9" a="1"/>
  <c r="DL54" i="9" s="1"/>
  <c r="DL70" i="9" a="1"/>
  <c r="DL70" i="9" s="1"/>
  <c r="DP75" i="9" a="1"/>
  <c r="DP75" i="9" s="1"/>
  <c r="EB107" i="9" a="1"/>
  <c r="EB107" i="9" s="1"/>
  <c r="DY110" i="9" a="1"/>
  <c r="DY110" i="9" s="1"/>
  <c r="DE61" i="9" a="1"/>
  <c r="DE61" i="9" s="1"/>
  <c r="DT83" i="9" a="1"/>
  <c r="DT83" i="9" s="1"/>
  <c r="DT81" i="9" a="1"/>
  <c r="DT81" i="9" s="1"/>
  <c r="DE110" i="9" a="1"/>
  <c r="DE110" i="9" s="1"/>
  <c r="DG35" i="9" a="1"/>
  <c r="DG35" i="9" s="1"/>
  <c r="DG37" i="9" a="1"/>
  <c r="DG37" i="9" s="1"/>
  <c r="DK10" i="9" a="1"/>
  <c r="DK10" i="9" s="1"/>
  <c r="DM35" i="9" a="1"/>
  <c r="DM35" i="9" s="1"/>
  <c r="DM26" i="9" a="1"/>
  <c r="DM26" i="9" s="1"/>
  <c r="DQ66" i="9" a="1"/>
  <c r="DQ66" i="9" s="1"/>
  <c r="DZ66" i="9" a="1"/>
  <c r="DZ66" i="9" s="1"/>
  <c r="DL85" i="9" a="1"/>
  <c r="DL85" i="9" s="1"/>
  <c r="DV98" i="9" a="1"/>
  <c r="DV98" i="9" s="1"/>
  <c r="DV41" i="9" a="1"/>
  <c r="DV41" i="9" s="1"/>
  <c r="DK76" i="9" a="1"/>
  <c r="DK76" i="9" s="1"/>
  <c r="DS96" i="9" a="1"/>
  <c r="DS96" i="9" s="1"/>
  <c r="DY112" i="9" a="1"/>
  <c r="DY112" i="9" s="1"/>
  <c r="DV66" i="9" a="1"/>
  <c r="DV66" i="9" s="1"/>
  <c r="DV75" i="9" a="1"/>
  <c r="DV75" i="9" s="1"/>
  <c r="DL68" i="9" a="1"/>
  <c r="DL68" i="9" s="1"/>
  <c r="DY86" i="9" a="1"/>
  <c r="DY86" i="9" s="1"/>
  <c r="DT100" i="9" a="1"/>
  <c r="DT100" i="9" s="1"/>
  <c r="DH43" i="9" a="1"/>
  <c r="DH43" i="9" s="1"/>
  <c r="DE58" i="9" a="1"/>
  <c r="DE58" i="9" s="1"/>
  <c r="DQ76" i="9" a="1"/>
  <c r="DQ76" i="9" s="1"/>
  <c r="DQ95" i="9" a="1"/>
  <c r="DQ95" i="9" s="1"/>
  <c r="DC95" i="9" a="1"/>
  <c r="DC95" i="9" s="1"/>
  <c r="EB41" i="9" a="1"/>
  <c r="EB41" i="9" s="1"/>
  <c r="EB75" i="9" a="1"/>
  <c r="EB75" i="9" s="1"/>
  <c r="DH40" i="9" a="1"/>
  <c r="DH40" i="9" s="1"/>
  <c r="DW35" i="9" a="1"/>
  <c r="DW35" i="9" s="1"/>
  <c r="DP32" i="9" a="1"/>
  <c r="DP32" i="9" s="1"/>
  <c r="DZ47" i="9" a="1"/>
  <c r="DZ47" i="9" s="1"/>
  <c r="DP41" i="9" a="1"/>
  <c r="DP41" i="9" s="1"/>
  <c r="DP36" i="9" a="1"/>
  <c r="DP36" i="9" s="1"/>
  <c r="DT84" i="9" a="1"/>
  <c r="DT84" i="9" s="1"/>
  <c r="DL110" i="9" a="1"/>
  <c r="DL110" i="9" s="1"/>
  <c r="DJ61" i="9" a="1"/>
  <c r="DJ61" i="9" s="1"/>
  <c r="DD67" i="9" a="1"/>
  <c r="DD67" i="9" s="1"/>
  <c r="DK102" i="9" a="1"/>
  <c r="DK102" i="9" s="1"/>
  <c r="DT51" i="9" a="1"/>
  <c r="DT51" i="9" s="1"/>
  <c r="DM66" i="9" a="1"/>
  <c r="DM66" i="9" s="1"/>
  <c r="DK81" i="9" a="1"/>
  <c r="DK81" i="9" s="1"/>
  <c r="DV101" i="9" a="1"/>
  <c r="DV101" i="9" s="1"/>
  <c r="DM85" i="9" a="1"/>
  <c r="DM85" i="9" s="1"/>
  <c r="EC111" i="9" a="1"/>
  <c r="EC111" i="9" s="1"/>
  <c r="DY64" i="9" a="1"/>
  <c r="DY64" i="9" s="1"/>
  <c r="DV68" i="9" a="1"/>
  <c r="DV68" i="9" s="1"/>
  <c r="DE85" i="9" a="1"/>
  <c r="DE85" i="9" s="1"/>
  <c r="DT91" i="9" a="1"/>
  <c r="DT91" i="9" s="1"/>
  <c r="DP112" i="9" a="1"/>
  <c r="DP112" i="9" s="1"/>
  <c r="DP68" i="9" a="1"/>
  <c r="DP68" i="9" s="1"/>
  <c r="DP64" i="9" a="1"/>
  <c r="DP64" i="9" s="1"/>
  <c r="DD91" i="9" a="1"/>
  <c r="DD91" i="9" s="1"/>
  <c r="DT43" i="9" a="1"/>
  <c r="DT43" i="9" s="1"/>
  <c r="DC39" i="9" a="1"/>
  <c r="DC39" i="9" s="1"/>
  <c r="DQ38" i="9" a="1"/>
  <c r="DQ38" i="9" s="1"/>
  <c r="DS15" i="9" a="1"/>
  <c r="DS15" i="9" s="1"/>
  <c r="DK49" i="9" a="1"/>
  <c r="DK49" i="9" s="1"/>
  <c r="DW27" i="9" a="1"/>
  <c r="DW27" i="9" s="1"/>
  <c r="DD34" i="9" a="1"/>
  <c r="DD34" i="9" s="1"/>
  <c r="DE30" i="9" a="1"/>
  <c r="DE30" i="9" s="1"/>
  <c r="DW24" i="9" a="1"/>
  <c r="DW24" i="9" s="1"/>
  <c r="DJ97" i="9" a="1"/>
  <c r="DJ97" i="9" s="1"/>
  <c r="DV50" i="9" a="1"/>
  <c r="DV50" i="9" s="1"/>
  <c r="DZ57" i="9" a="1"/>
  <c r="DZ57" i="9" s="1"/>
  <c r="DN70" i="9" a="1"/>
  <c r="DN70" i="9" s="1"/>
  <c r="DH109" i="9" a="1"/>
  <c r="DH109" i="9" s="1"/>
  <c r="DQ57" i="9" a="1"/>
  <c r="DQ57" i="9" s="1"/>
  <c r="EC81" i="9" a="1"/>
  <c r="EC81" i="9" s="1"/>
  <c r="EC79" i="9" a="1"/>
  <c r="EC79" i="9" s="1"/>
  <c r="DS108" i="9" a="1"/>
  <c r="DS108" i="9" s="1"/>
  <c r="EB98" i="9" a="1"/>
  <c r="EB98" i="9" s="1"/>
  <c r="DM52" i="9" a="1"/>
  <c r="DM52" i="9" s="1"/>
  <c r="DL59" i="9" a="1"/>
  <c r="DL59" i="9" s="1"/>
  <c r="DK73" i="9" a="1"/>
  <c r="DK73" i="9" s="1"/>
  <c r="DL98" i="9" a="1"/>
  <c r="DL98" i="9" s="1"/>
  <c r="DG101" i="9" a="1"/>
  <c r="DG101" i="9" s="1"/>
  <c r="EB50" i="9" a="1"/>
  <c r="EB50" i="9" s="1"/>
  <c r="DV55" i="9" a="1"/>
  <c r="DV55" i="9" s="1"/>
  <c r="DE80" i="9" a="1"/>
  <c r="DE80" i="9" s="1"/>
  <c r="DM100" i="9" a="1"/>
  <c r="DM100" i="9" s="1"/>
  <c r="DG25" i="9" a="1"/>
  <c r="DG25" i="9" s="1"/>
  <c r="EB12" i="9" a="1"/>
  <c r="EB12" i="9" s="1"/>
  <c r="DW20" i="9" a="1"/>
  <c r="DW20" i="9" s="1"/>
  <c r="DL22" i="9" a="1"/>
  <c r="DL22" i="9" s="1"/>
  <c r="DE23" i="9" a="1"/>
  <c r="DE23" i="9" s="1"/>
  <c r="DV20" i="9" a="1"/>
  <c r="DV20" i="9" s="1"/>
  <c r="DJ24" i="9" a="1"/>
  <c r="DJ24" i="9" s="1"/>
  <c r="DW10" i="9" a="1"/>
  <c r="DW10" i="9" s="1"/>
  <c r="EB29" i="9" a="1"/>
  <c r="EB29" i="9" s="1"/>
  <c r="DT14" i="9" a="1"/>
  <c r="DT14" i="9" s="1"/>
  <c r="DK21" i="9" a="1"/>
  <c r="DK21" i="9" s="1"/>
  <c r="DN19" i="9" a="1"/>
  <c r="DN19" i="9" s="1"/>
  <c r="DP22" i="9" a="1"/>
  <c r="DP22" i="9" s="1"/>
  <c r="DP15" i="9" a="1"/>
  <c r="DP15" i="9" s="1"/>
  <c r="DY20" i="9" a="1"/>
  <c r="DY20" i="9" s="1"/>
  <c r="DJ65" i="9" a="1"/>
  <c r="DJ65" i="9" s="1"/>
  <c r="DJ15" i="9" a="1"/>
  <c r="DJ15" i="9" s="1"/>
  <c r="DG17" i="9" a="1"/>
  <c r="DG17" i="9" s="1"/>
  <c r="DG23" i="9" a="1"/>
  <c r="DG23" i="9" s="1"/>
  <c r="DV27" i="9" a="1"/>
  <c r="DV27" i="9" s="1"/>
  <c r="DK30" i="9" a="1"/>
  <c r="DK30" i="9" s="1"/>
  <c r="DJ31" i="9" a="1"/>
  <c r="DJ31" i="9" s="1"/>
  <c r="DT97" i="9" a="1"/>
  <c r="DT97" i="9" s="1"/>
  <c r="DV28" i="9" a="1"/>
  <c r="DV28" i="9" s="1"/>
  <c r="DH73" i="9" a="1"/>
  <c r="DH73" i="9" s="1"/>
  <c r="DD43" i="9" a="1"/>
  <c r="DD43" i="9" s="1"/>
  <c r="DQ20" i="9" a="1"/>
  <c r="DQ20" i="9" s="1"/>
  <c r="DC43" i="9" a="1"/>
  <c r="DC43" i="9" s="1"/>
  <c r="DN30" i="9" a="1"/>
  <c r="DN30" i="9" s="1"/>
  <c r="DT48" i="9" a="1"/>
  <c r="DT48" i="9" s="1"/>
  <c r="DY30" i="9" a="1"/>
  <c r="DY30" i="9" s="1"/>
  <c r="DP16" i="9" a="1"/>
  <c r="DP16" i="9" s="1"/>
  <c r="DT78" i="9" a="1"/>
  <c r="DT78" i="9" s="1"/>
  <c r="DY99" i="9" a="1"/>
  <c r="DY99" i="9" s="1"/>
  <c r="DM104" i="9" a="1"/>
  <c r="DM104" i="9" s="1"/>
  <c r="DS53" i="9" a="1"/>
  <c r="DS53" i="9" s="1"/>
  <c r="EB87" i="9" a="1"/>
  <c r="EB87" i="9" s="1"/>
  <c r="DZ109" i="9" a="1"/>
  <c r="DZ109" i="9" s="1"/>
  <c r="DH61" i="9" a="1"/>
  <c r="DH61" i="9" s="1"/>
  <c r="DY59" i="9" a="1"/>
  <c r="DY59" i="9" s="1"/>
  <c r="DQ87" i="9" a="1"/>
  <c r="DQ87" i="9" s="1"/>
  <c r="DK80" i="9" a="1"/>
  <c r="DK80" i="9" s="1"/>
  <c r="DL97" i="9" a="1"/>
  <c r="DL97" i="9" s="1"/>
  <c r="DP100" i="9" a="1"/>
  <c r="DP100" i="9" s="1"/>
  <c r="DN58" i="9" a="1"/>
  <c r="DN58" i="9" s="1"/>
  <c r="DV79" i="9" a="1"/>
  <c r="DV79" i="9" s="1"/>
  <c r="DY80" i="9" a="1"/>
  <c r="DY80" i="9" s="1"/>
  <c r="DG92" i="9" a="1"/>
  <c r="DG92" i="9" s="1"/>
  <c r="DQ108" i="9" a="1"/>
  <c r="DQ108" i="9" s="1"/>
  <c r="EB53" i="9" a="1"/>
  <c r="EB53" i="9" s="1"/>
  <c r="DL80" i="9" a="1"/>
  <c r="DL80" i="9" s="1"/>
  <c r="EC31" i="9" a="1"/>
  <c r="EC31" i="9" s="1"/>
  <c r="DP29" i="9" a="1"/>
  <c r="DP29" i="9" s="1"/>
  <c r="DK36" i="9" a="1"/>
  <c r="DK36" i="9" s="1"/>
  <c r="DP40" i="9" a="1"/>
  <c r="DP40" i="9" s="1"/>
  <c r="DQ31" i="9" a="1"/>
  <c r="DQ31" i="9" s="1"/>
  <c r="DG87" i="9" a="1"/>
  <c r="DG87" i="9" s="1"/>
  <c r="DN107" i="9" a="1"/>
  <c r="DN107" i="9" s="1"/>
  <c r="DM67" i="9" a="1"/>
  <c r="DM67" i="9" s="1"/>
  <c r="DH70" i="9" a="1"/>
  <c r="DH70" i="9" s="1"/>
  <c r="DT103" i="9" a="1"/>
  <c r="DT103" i="9" s="1"/>
  <c r="DJ56" i="9" a="1"/>
  <c r="DJ56" i="9" s="1"/>
  <c r="DT69" i="9" a="1"/>
  <c r="DT69" i="9" s="1"/>
  <c r="DQ84" i="9" a="1"/>
  <c r="DQ84" i="9" s="1"/>
  <c r="DC106" i="9" a="1"/>
  <c r="DC106" i="9" s="1"/>
  <c r="DW88" i="9" a="1"/>
  <c r="DW88" i="9" s="1"/>
  <c r="DD109" i="9" a="1"/>
  <c r="DD109" i="9" s="1"/>
  <c r="DL57" i="9" a="1"/>
  <c r="DL57" i="9" s="1"/>
  <c r="DZ72" i="9" a="1"/>
  <c r="DZ72" i="9" s="1"/>
  <c r="DG88" i="9" a="1"/>
  <c r="DG88" i="9" s="1"/>
  <c r="DS94" i="9" a="1"/>
  <c r="DS94" i="9" s="1"/>
  <c r="DJ12" i="9" a="1"/>
  <c r="DJ12" i="9" s="1"/>
  <c r="DS72" i="9" a="1"/>
  <c r="DS72" i="9" s="1"/>
  <c r="DD68" i="9" a="1"/>
  <c r="DD68" i="9" s="1"/>
  <c r="DH94" i="9" a="1"/>
  <c r="DH94" i="9" s="1"/>
  <c r="DD38" i="9" a="1"/>
  <c r="DD38" i="9" s="1"/>
  <c r="EC35" i="9" a="1"/>
  <c r="EC35" i="9" s="1"/>
  <c r="DJ35" i="9" a="1"/>
  <c r="DJ35" i="9" s="1"/>
  <c r="DL45" i="9" a="1"/>
  <c r="DL45" i="9" s="1"/>
  <c r="DJ100" i="9" a="1"/>
  <c r="DJ100" i="9" s="1"/>
  <c r="DL50" i="9" a="1"/>
  <c r="DL50" i="9" s="1"/>
  <c r="DL55" i="9" a="1"/>
  <c r="DL55" i="9" s="1"/>
  <c r="DH79" i="9" a="1"/>
  <c r="DH79" i="9" s="1"/>
  <c r="DE10" i="9" a="1"/>
  <c r="DE10" i="9" s="1"/>
  <c r="DM74" i="9" a="1"/>
  <c r="DM74" i="9" s="1"/>
  <c r="DQ73" i="9" a="1"/>
  <c r="DQ73" i="9" s="1"/>
  <c r="DN87" i="9" a="1"/>
  <c r="DN87" i="9" s="1"/>
  <c r="DJ11" i="9" a="1"/>
  <c r="DJ11" i="9" s="1"/>
  <c r="DD102" i="9" a="1"/>
  <c r="DD102" i="9" s="1"/>
  <c r="DY51" i="9" a="1"/>
  <c r="DY51" i="9" s="1"/>
  <c r="DE56" i="9" a="1"/>
  <c r="DE56" i="9" s="1"/>
  <c r="EC80" i="9" a="1"/>
  <c r="EC80" i="9" s="1"/>
  <c r="DJ101" i="9" a="1"/>
  <c r="DJ101" i="9" s="1"/>
  <c r="EB104" i="9" a="1"/>
  <c r="EB104" i="9" s="1"/>
  <c r="DH50" i="9" a="1"/>
  <c r="DH50" i="9" s="1"/>
  <c r="DV71" i="9" a="1"/>
  <c r="DV71" i="9" s="1"/>
  <c r="DW71" i="9" a="1"/>
  <c r="DW71" i="9" s="1"/>
  <c r="DQ104" i="9" a="1"/>
  <c r="DQ104" i="9" s="1"/>
  <c r="DG43" i="9" a="1"/>
  <c r="DG43" i="9" s="1"/>
  <c r="DQ44" i="9" a="1"/>
  <c r="DQ44" i="9" s="1"/>
  <c r="DN36" i="9" a="1"/>
  <c r="DN36" i="9" s="1"/>
  <c r="EC30" i="9" a="1"/>
  <c r="EC30" i="9" s="1"/>
  <c r="DE42" i="9" a="1"/>
  <c r="DE42" i="9" s="1"/>
  <c r="EC37" i="9" a="1"/>
  <c r="EC37" i="9" s="1"/>
  <c r="DJ37" i="9" a="1"/>
  <c r="DJ37" i="9" s="1"/>
  <c r="DW56" i="9" a="1"/>
  <c r="DW56" i="9" s="1"/>
  <c r="DM56" i="9" a="1"/>
  <c r="DM56" i="9" s="1"/>
  <c r="EC60" i="9" a="1"/>
  <c r="EC60" i="9" s="1"/>
  <c r="DC110" i="9" a="1"/>
  <c r="DC110" i="9" s="1"/>
  <c r="DM61" i="9" a="1"/>
  <c r="DM61" i="9" s="1"/>
  <c r="DG72" i="9" a="1"/>
  <c r="DG72" i="9" s="1"/>
  <c r="DJ77" i="9" a="1"/>
  <c r="DJ77" i="9" s="1"/>
  <c r="DE108" i="9" a="1"/>
  <c r="DE108" i="9" s="1"/>
  <c r="DW59" i="9" a="1"/>
  <c r="DW59" i="9" s="1"/>
  <c r="DH87" i="9" a="1"/>
  <c r="DH87" i="9" s="1"/>
  <c r="DY89" i="9" a="1"/>
  <c r="DY89" i="9" s="1"/>
  <c r="DS38" i="9" a="1"/>
  <c r="DS38" i="9" s="1"/>
  <c r="DP111" i="9" a="1"/>
  <c r="DP111" i="9" s="1"/>
  <c r="DW64" i="9" a="1"/>
  <c r="DW64" i="9" s="1"/>
  <c r="DK71" i="9" a="1"/>
  <c r="DK71" i="9" s="1"/>
  <c r="DD79" i="9" a="1"/>
  <c r="DD79" i="9" s="1"/>
  <c r="DD111" i="9" a="1"/>
  <c r="DD111" i="9" s="1"/>
  <c r="DJ106" i="9" a="1"/>
  <c r="DJ106" i="9" s="1"/>
  <c r="DS67" i="9" a="1"/>
  <c r="DS67" i="9" s="1"/>
  <c r="DD77" i="9" a="1"/>
  <c r="DD77" i="9" s="1"/>
  <c r="DW84" i="9" a="1"/>
  <c r="DW84" i="9" s="1"/>
  <c r="EC105" i="9" a="1"/>
  <c r="EC105" i="9" s="1"/>
  <c r="DN39" i="9" a="1"/>
  <c r="DN39" i="9" s="1"/>
  <c r="DK24" i="9" a="1"/>
  <c r="DK24" i="9" s="1"/>
  <c r="DP34" i="9" a="1"/>
  <c r="DP34" i="9" s="1"/>
  <c r="DP26" i="9" a="1"/>
  <c r="DP26" i="9" s="1"/>
  <c r="DV17" i="9" a="1"/>
  <c r="DV17" i="9" s="1"/>
  <c r="DT15" i="9" a="1"/>
  <c r="DT15" i="9" s="1"/>
  <c r="DD15" i="9" a="1"/>
  <c r="DD15" i="9" s="1"/>
  <c r="DN49" i="9" a="1"/>
  <c r="DN49" i="9" s="1"/>
  <c r="DW40" i="9" a="1"/>
  <c r="DW40" i="9" s="1"/>
  <c r="DP52" i="9" a="1"/>
  <c r="DP52" i="9" s="1"/>
  <c r="DS71" i="9" a="1"/>
  <c r="DS71" i="9" s="1"/>
  <c r="DD16" i="9" a="1"/>
  <c r="DD16" i="9" s="1"/>
  <c r="EC13" i="9" a="1"/>
  <c r="EC13" i="9" s="1"/>
  <c r="DJ13" i="9" a="1"/>
  <c r="DJ13" i="9" s="1"/>
  <c r="DQ63" i="9" a="1"/>
  <c r="DQ63" i="9" s="1"/>
  <c r="DS18" i="9" a="1"/>
  <c r="DS18" i="9" s="1"/>
  <c r="DY9" i="9" a="1"/>
  <c r="DY9" i="9" s="1"/>
  <c r="DP9" i="9" a="1"/>
  <c r="DP9" i="9" s="1"/>
  <c r="DV52" i="9" a="1"/>
  <c r="DV52" i="9" s="1"/>
  <c r="DW50" i="9" a="1"/>
  <c r="DW50" i="9" s="1"/>
  <c r="DQ16" i="9" a="1"/>
  <c r="DQ16" i="9" s="1"/>
  <c r="DY44" i="9" a="1"/>
  <c r="DY44" i="9" s="1"/>
  <c r="DM12" i="9" a="1"/>
  <c r="DM12" i="9" s="1"/>
  <c r="DP49" i="9" a="1"/>
  <c r="DP49" i="9" s="1"/>
  <c r="DV15" i="9" a="1"/>
  <c r="DV15" i="9" s="1"/>
  <c r="DD42" i="9" a="1"/>
  <c r="DD42" i="9" s="1"/>
  <c r="DK43" i="9" a="1"/>
  <c r="DK43" i="9" s="1"/>
  <c r="DE48" i="9" a="1"/>
  <c r="DE48" i="9" s="1"/>
  <c r="DT23" i="9" a="1"/>
  <c r="DT23" i="9" s="1"/>
  <c r="DP19" i="9" a="1"/>
  <c r="DP19" i="9" s="1"/>
  <c r="EB23" i="9" a="1"/>
  <c r="EB23" i="9" s="1"/>
  <c r="DN25" i="9" a="1"/>
  <c r="DN25" i="9" s="1"/>
  <c r="DC70" i="9" a="1"/>
  <c r="DC70" i="9" s="1"/>
  <c r="DE97" i="9" a="1"/>
  <c r="DE97" i="9" s="1"/>
  <c r="DY43" i="9" a="1"/>
  <c r="DY43" i="9" s="1"/>
  <c r="DL67" i="9" a="1"/>
  <c r="DL67" i="9" s="1"/>
  <c r="EC72" i="9" a="1"/>
  <c r="EC72" i="9" s="1"/>
  <c r="DN110" i="9" a="1"/>
  <c r="DN110" i="9" s="1"/>
  <c r="DV64" i="9" a="1"/>
  <c r="DV64" i="9" s="1"/>
  <c r="DP81" i="9" a="1"/>
  <c r="DP81" i="9" s="1"/>
  <c r="DL90" i="9" a="1"/>
  <c r="DL90" i="9" s="1"/>
  <c r="DY109" i="9" a="1"/>
  <c r="DY109" i="9" s="1"/>
  <c r="DZ98" i="9" a="1"/>
  <c r="DZ98" i="9" s="1"/>
  <c r="DK45" i="9" a="1"/>
  <c r="DK45" i="9" s="1"/>
  <c r="DY68" i="9" a="1"/>
  <c r="DY68" i="9" s="1"/>
  <c r="DW74" i="9" a="1"/>
  <c r="DW74" i="9" s="1"/>
  <c r="DE98" i="9" a="1"/>
  <c r="DE98" i="9" s="1"/>
  <c r="DY100" i="9" a="1"/>
  <c r="DY100" i="9" s="1"/>
  <c r="EC49" i="9" a="1"/>
  <c r="EC49" i="9" s="1"/>
  <c r="DS64" i="9" a="1"/>
  <c r="DS64" i="9" s="1"/>
  <c r="DY79" i="9" a="1"/>
  <c r="DY79" i="9" s="1"/>
  <c r="DN100" i="9" a="1"/>
  <c r="DN100" i="9" s="1"/>
  <c r="DT34" i="9" a="1"/>
  <c r="DT34" i="9" s="1"/>
  <c r="DC17" i="9" a="1"/>
  <c r="DC17" i="9" s="1"/>
  <c r="DQ37" i="9" a="1"/>
  <c r="DQ37" i="9" s="1"/>
  <c r="DN22" i="9" a="1"/>
  <c r="DN22" i="9" s="1"/>
  <c r="DH16" i="9" a="1"/>
  <c r="DH16" i="9" s="1"/>
  <c r="DN60" i="9" a="1"/>
  <c r="DN60" i="9" s="1"/>
  <c r="DM77" i="9" a="1"/>
  <c r="DM77" i="9" s="1"/>
  <c r="DE93" i="9" a="1"/>
  <c r="DE93" i="9" s="1"/>
  <c r="DL20" i="9" a="1"/>
  <c r="DL20" i="9" s="1"/>
  <c r="DP74" i="9" a="1"/>
  <c r="DP74" i="9" s="1"/>
  <c r="EB89" i="9" a="1"/>
  <c r="EB89" i="9" s="1"/>
  <c r="DG106" i="9" a="1"/>
  <c r="DG106" i="9" s="1"/>
  <c r="EB49" i="9" a="1"/>
  <c r="EB49" i="9" s="1"/>
  <c r="EB83" i="9" a="1"/>
  <c r="EB83" i="9" s="1"/>
  <c r="DV61" i="9" a="1"/>
  <c r="DV61" i="9" s="1"/>
  <c r="DG79" i="9" a="1"/>
  <c r="DG79" i="9" s="1"/>
  <c r="DN96" i="9" a="1"/>
  <c r="DN96" i="9" s="1"/>
  <c r="DY21" i="9" a="1"/>
  <c r="DY21" i="9" s="1"/>
  <c r="DN44" i="9" a="1"/>
  <c r="DN44" i="9" s="1"/>
  <c r="EC57" i="9" a="1"/>
  <c r="EC57" i="9" s="1"/>
  <c r="DD85" i="9" a="1"/>
  <c r="DD85" i="9" s="1"/>
  <c r="DL88" i="9" a="1"/>
  <c r="DL88" i="9" s="1"/>
  <c r="EB36" i="9" a="1"/>
  <c r="EB36" i="9" s="1"/>
  <c r="DD62" i="9" a="1"/>
  <c r="DD62" i="9" s="1"/>
  <c r="DG48" i="9" a="1"/>
  <c r="DG48" i="9" s="1"/>
  <c r="DV45" i="9" a="1"/>
  <c r="DV45" i="9" s="1"/>
  <c r="DC52" i="9" a="1"/>
  <c r="DC52" i="9" s="1"/>
  <c r="EB72" i="9" a="1"/>
  <c r="EB72" i="9" s="1"/>
  <c r="DW11" i="9" a="1"/>
  <c r="DW11" i="9" s="1"/>
  <c r="DH17" i="9" a="1"/>
  <c r="DH17" i="9" s="1"/>
  <c r="DM87" i="9" a="1"/>
  <c r="DM87" i="9" s="1"/>
  <c r="DK105" i="9" a="1"/>
  <c r="DK105" i="9" s="1"/>
  <c r="DM110" i="9" a="1"/>
  <c r="DM110" i="9" s="1"/>
  <c r="DK60" i="9" a="1"/>
  <c r="DK60" i="9" s="1"/>
  <c r="DT99" i="9" a="1"/>
  <c r="DT99" i="9" s="1"/>
  <c r="DJ53" i="9" a="1"/>
  <c r="DJ53" i="9" s="1"/>
  <c r="EB59" i="9" a="1"/>
  <c r="EB59" i="9" s="1"/>
  <c r="EB74" i="9" a="1"/>
  <c r="EB74" i="9" s="1"/>
  <c r="DD99" i="9" a="1"/>
  <c r="DD99" i="9" s="1"/>
  <c r="DG89" i="9" a="1"/>
  <c r="DG89" i="9" s="1"/>
  <c r="DS100" i="9" a="1"/>
  <c r="DS100" i="9" s="1"/>
  <c r="DC112" i="9" a="1"/>
  <c r="DC112" i="9" s="1"/>
  <c r="DZ63" i="9" a="1"/>
  <c r="DZ63" i="9" s="1"/>
  <c r="DM88" i="9" a="1"/>
  <c r="DM88" i="9" s="1"/>
  <c r="DT86" i="9" a="1"/>
  <c r="DT86" i="9" s="1"/>
  <c r="DV109" i="9" a="1"/>
  <c r="DV109" i="9" s="1"/>
  <c r="DD54" i="9" a="1"/>
  <c r="DD54" i="9" s="1"/>
  <c r="DL58" i="9" a="1"/>
  <c r="DL58" i="9" s="1"/>
  <c r="DD86" i="9" a="1"/>
  <c r="DD86" i="9" s="1"/>
  <c r="DY32" i="9" a="1"/>
  <c r="DY32" i="9" s="1"/>
  <c r="DZ30" i="9" a="1"/>
  <c r="DZ30" i="9" s="1"/>
  <c r="DG30" i="9" a="1"/>
  <c r="DG30" i="9" s="1"/>
  <c r="DW39" i="9" a="1"/>
  <c r="DW39" i="9" s="1"/>
  <c r="DJ45" i="9" a="1"/>
  <c r="DJ45" i="9" s="1"/>
  <c r="DK42" i="9" a="1"/>
  <c r="DK42" i="9" s="1"/>
  <c r="DT67" i="9" a="1"/>
  <c r="DT67" i="9" s="1"/>
  <c r="EC26" i="9" a="1"/>
  <c r="EC26" i="9" s="1"/>
  <c r="DS24" i="9" a="1"/>
  <c r="DS24" i="9" s="1"/>
  <c r="DC24" i="9" a="1"/>
  <c r="DC24" i="9" s="1"/>
  <c r="DG93" i="9" a="1"/>
  <c r="DG93" i="9" s="1"/>
  <c r="DE107" i="9" a="1"/>
  <c r="DE107" i="9" s="1"/>
  <c r="DW54" i="9" a="1"/>
  <c r="DW54" i="9" s="1"/>
  <c r="EC63" i="9" a="1"/>
  <c r="EC63" i="9" s="1"/>
  <c r="DS104" i="9" a="1"/>
  <c r="DS104" i="9" s="1"/>
  <c r="DH48" i="9" a="1"/>
  <c r="DH48" i="9" s="1"/>
  <c r="DK63" i="9" a="1"/>
  <c r="DK63" i="9" s="1"/>
  <c r="DL78" i="9" a="1"/>
  <c r="DL78" i="9" s="1"/>
  <c r="EC103" i="9" a="1"/>
  <c r="EC103" i="9" s="1"/>
  <c r="EB95" i="9" a="1"/>
  <c r="EB95" i="9" s="1"/>
  <c r="DZ108" i="9" a="1"/>
  <c r="DZ108" i="9" s="1"/>
  <c r="DV57" i="9" a="1"/>
  <c r="DV57" i="9" s="1"/>
  <c r="DW65" i="9" a="1"/>
  <c r="DW65" i="9" s="1"/>
  <c r="EB94" i="9" a="1"/>
  <c r="EB94" i="9" s="1"/>
  <c r="DC99" i="9" a="1"/>
  <c r="DC99" i="9" s="1"/>
  <c r="DM109" i="9" a="1"/>
  <c r="DM109" i="9" s="1"/>
  <c r="EB62" i="9" a="1"/>
  <c r="EB62" i="9" s="1"/>
  <c r="DQ61" i="9" a="1"/>
  <c r="DQ61" i="9" s="1"/>
  <c r="DQ98" i="9" a="1"/>
  <c r="DQ98" i="9" s="1"/>
  <c r="DN10" i="9" a="1"/>
  <c r="DN10" i="9" s="1"/>
  <c r="EB45" i="9" a="1"/>
  <c r="EB45" i="9" s="1"/>
  <c r="DT44" i="9" a="1"/>
  <c r="DT44" i="9" s="1"/>
  <c r="DW19" i="9" a="1"/>
  <c r="DW19" i="9" s="1"/>
  <c r="EC16" i="9" a="1"/>
  <c r="EC16" i="9" s="1"/>
  <c r="EC32" i="9" a="1"/>
  <c r="EC32" i="9" s="1"/>
  <c r="DL19" i="9" a="1"/>
  <c r="DL19" i="9" s="1"/>
  <c r="DV14" i="9" a="1"/>
  <c r="DV14" i="9" s="1"/>
  <c r="DV35" i="9" a="1"/>
  <c r="DV35" i="9" s="1"/>
  <c r="DM17" i="9" a="1"/>
  <c r="DM17" i="9" s="1"/>
  <c r="DH15" i="9" a="1"/>
  <c r="DH15" i="9" s="1"/>
  <c r="DV29" i="9" a="1"/>
  <c r="DV29" i="9" s="1"/>
  <c r="DL29" i="9" a="1"/>
  <c r="DL29" i="9" s="1"/>
  <c r="DJ57" i="9" a="1"/>
  <c r="DJ57" i="9" s="1"/>
  <c r="DG10" i="9" a="1"/>
  <c r="DG10" i="9" s="1"/>
  <c r="DC25" i="9" a="1"/>
  <c r="DC25" i="9" s="1"/>
  <c r="DY27" i="9" a="1"/>
  <c r="DY27" i="9" s="1"/>
  <c r="DH34" i="9" a="1"/>
  <c r="DH34" i="9" s="1"/>
  <c r="DP30" i="9" a="1"/>
  <c r="DP30" i="9" s="1"/>
  <c r="DK25" i="9" a="1"/>
  <c r="DK25" i="9" s="1"/>
  <c r="DT79" i="9" a="1"/>
  <c r="DT79" i="9" s="1"/>
  <c r="DJ16" i="9" a="1"/>
  <c r="DJ16" i="9" s="1"/>
  <c r="DV13" i="9" a="1"/>
  <c r="DV13" i="9" s="1"/>
  <c r="EC50" i="9" a="1"/>
  <c r="EC50" i="9" s="1"/>
  <c r="DJ60" i="9" a="1"/>
  <c r="DJ60" i="9" s="1"/>
  <c r="DN90" i="9" a="1"/>
  <c r="DN90" i="9" s="1"/>
  <c r="DQ110" i="9" a="1"/>
  <c r="DQ110" i="9" s="1"/>
  <c r="DP60" i="9" a="1"/>
  <c r="DP60" i="9" s="1"/>
  <c r="DJ55" i="9" a="1"/>
  <c r="DJ55" i="9" s="1"/>
  <c r="DZ104" i="9" a="1"/>
  <c r="DZ104" i="9" s="1"/>
  <c r="EC51" i="9" a="1"/>
  <c r="EC51" i="9" s="1"/>
  <c r="EC67" i="9" a="1"/>
  <c r="EC67" i="9" s="1"/>
  <c r="DN73" i="9" a="1"/>
  <c r="DN73" i="9" s="1"/>
  <c r="EC108" i="9" a="1"/>
  <c r="EC108" i="9" s="1"/>
  <c r="DM93" i="9" a="1"/>
  <c r="DM93" i="9" s="1"/>
  <c r="DG112" i="9" a="1"/>
  <c r="DG112" i="9" s="1"/>
  <c r="DD64" i="9" a="1"/>
  <c r="DD64" i="9" s="1"/>
  <c r="DC56" i="9" a="1"/>
  <c r="DC56" i="9" s="1"/>
  <c r="DH92" i="9" a="1"/>
  <c r="DH92" i="9" s="1"/>
  <c r="DG98" i="9" a="1"/>
  <c r="DG98" i="9" s="1"/>
  <c r="DP51" i="9" a="1"/>
  <c r="DP51" i="9" s="1"/>
  <c r="DT58" i="9" a="1"/>
  <c r="DT58" i="9" s="1"/>
  <c r="DQ71" i="9" a="1"/>
  <c r="DQ71" i="9" s="1"/>
  <c r="DW97" i="9" a="1"/>
  <c r="DW97" i="9" s="1"/>
  <c r="DC48" i="9" a="1"/>
  <c r="DC48" i="9" s="1"/>
  <c r="EC34" i="9" a="1"/>
  <c r="EC34" i="9" s="1"/>
  <c r="DS32" i="9" a="1"/>
  <c r="DS32" i="9" s="1"/>
  <c r="DC32" i="9" a="1"/>
  <c r="DC32" i="9" s="1"/>
  <c r="DD39" i="9" a="1"/>
  <c r="DD39" i="9" s="1"/>
  <c r="DL74" i="9" a="1"/>
  <c r="DL74" i="9" s="1"/>
  <c r="DW109" i="9" a="1"/>
  <c r="DW109" i="9" s="1"/>
  <c r="DE60" i="9" a="1"/>
  <c r="DE60" i="9" s="1"/>
  <c r="DL76" i="9" a="1"/>
  <c r="DL76" i="9" s="1"/>
  <c r="DP83" i="9" a="1"/>
  <c r="DP83" i="9" s="1"/>
  <c r="DG109" i="9" a="1"/>
  <c r="DG109" i="9" s="1"/>
  <c r="EC65" i="9" a="1"/>
  <c r="EC65" i="9" s="1"/>
  <c r="DE99" i="9" a="1"/>
  <c r="DE99" i="9" s="1"/>
  <c r="DY97" i="9" a="1"/>
  <c r="DY97" i="9" s="1"/>
  <c r="DY40" i="9" a="1"/>
  <c r="DY40" i="9" s="1"/>
  <c r="DM111" i="9" a="1"/>
  <c r="DM111" i="9" s="1"/>
  <c r="DT63" i="9" a="1"/>
  <c r="DT63" i="9" s="1"/>
  <c r="DY77" i="9" a="1"/>
  <c r="DY77" i="9" s="1"/>
  <c r="DY75" i="9" a="1"/>
  <c r="DY75" i="9" s="1"/>
  <c r="DT110" i="9" a="1"/>
  <c r="DT110" i="9" s="1"/>
  <c r="DD112" i="9" a="1"/>
  <c r="DD112" i="9" s="1"/>
  <c r="DC68" i="9" a="1"/>
  <c r="DC68" i="9" s="1"/>
  <c r="DJ83" i="9" a="1"/>
  <c r="DJ83" i="9" s="1"/>
  <c r="DJ93" i="9" a="1"/>
  <c r="DJ93" i="9" s="1"/>
  <c r="DK111" i="9" a="1"/>
  <c r="DK111" i="9" s="1"/>
  <c r="DP43" i="9" a="1"/>
  <c r="DP43" i="9" s="1"/>
  <c r="DH65" i="9" a="1"/>
  <c r="DH65" i="9" s="1"/>
  <c r="DY15" i="9" a="1"/>
  <c r="DY15" i="9" s="1"/>
  <c r="DL21" i="9" a="1"/>
  <c r="DL21" i="9" s="1"/>
  <c r="DH11" i="9" a="1"/>
  <c r="DH11" i="9" s="1"/>
  <c r="DV48" i="9" a="1"/>
  <c r="DV48" i="9" s="1"/>
  <c r="EC84" i="9" a="1"/>
  <c r="EC84" i="9" s="1"/>
  <c r="DQ91" i="9" a="1"/>
  <c r="DQ91" i="9" s="1"/>
  <c r="DQ100" i="9" a="1"/>
  <c r="DQ100" i="9" s="1"/>
  <c r="DM49" i="9" a="1"/>
  <c r="DM49" i="9" s="1"/>
  <c r="DP98" i="9" a="1"/>
  <c r="DP98" i="9" s="1"/>
  <c r="DS109" i="9" a="1"/>
  <c r="DS109" i="9" s="1"/>
  <c r="DP59" i="9" a="1"/>
  <c r="DP59" i="9" s="1"/>
  <c r="DL66" i="9" a="1"/>
  <c r="DL66" i="9" s="1"/>
  <c r="DQ96" i="9" a="1"/>
  <c r="DQ96" i="9" s="1"/>
  <c r="DD72" i="9" a="1"/>
  <c r="DD72" i="9" s="1"/>
  <c r="DC93" i="9" a="1"/>
  <c r="DC93" i="9" s="1"/>
  <c r="DC102" i="9" a="1"/>
  <c r="DC102" i="9" s="1"/>
  <c r="DG51" i="9" a="1"/>
  <c r="DG51" i="9" s="1"/>
  <c r="DT71" i="9" a="1"/>
  <c r="DT71" i="9" s="1"/>
  <c r="DS77" i="9" a="1"/>
  <c r="DS77" i="9" s="1"/>
  <c r="DM98" i="9" a="1"/>
  <c r="DM98" i="9" s="1"/>
  <c r="DY107" i="9" a="1"/>
  <c r="DY107" i="9" s="1"/>
  <c r="DM55" i="9" a="1"/>
  <c r="DM55" i="9" s="1"/>
  <c r="DH77" i="9" a="1"/>
  <c r="DH77" i="9" s="1"/>
  <c r="DT25" i="9" a="1"/>
  <c r="DT25" i="9" s="1"/>
  <c r="DJ23" i="9" a="1"/>
  <c r="DJ23" i="9" s="1"/>
  <c r="DQ27" i="9" a="1"/>
  <c r="DQ27" i="9" s="1"/>
  <c r="DG52" i="9" a="1"/>
  <c r="DG52" i="9" s="1"/>
  <c r="EB57" i="9" a="1"/>
  <c r="EB57" i="9" s="1"/>
  <c r="DQ54" i="9" a="1"/>
  <c r="DQ54" i="9" s="1"/>
  <c r="DN88" i="9" a="1"/>
  <c r="DN88" i="9" s="1"/>
  <c r="DN18" i="9" a="1"/>
  <c r="DN18" i="9" s="1"/>
  <c r="DL16" i="9" a="1"/>
  <c r="DL16" i="9" s="1"/>
  <c r="DW15" i="9" a="1"/>
  <c r="DW15" i="9" s="1"/>
  <c r="DQ83" i="9" a="1"/>
  <c r="DQ83" i="9" s="1"/>
  <c r="EC100" i="9" a="1"/>
  <c r="EC100" i="9" s="1"/>
  <c r="DJ107" i="9" a="1"/>
  <c r="DJ107" i="9" s="1"/>
  <c r="DH67" i="9" a="1"/>
  <c r="DH67" i="9" s="1"/>
  <c r="DM96" i="9" a="1"/>
  <c r="DM96" i="9" s="1"/>
  <c r="DC9" i="9" a="1"/>
  <c r="DC9" i="9" s="1"/>
  <c r="EC56" i="9" a="1"/>
  <c r="EC56" i="9" s="1"/>
  <c r="DQ69" i="9" a="1"/>
  <c r="DQ69" i="9" s="1"/>
  <c r="EC95" i="9" a="1"/>
  <c r="EC95" i="9" s="1"/>
  <c r="DH85" i="9" a="1"/>
  <c r="DH85" i="9" s="1"/>
  <c r="DT102" i="9" a="1"/>
  <c r="DT102" i="9" s="1"/>
  <c r="DW108" i="9" a="1"/>
  <c r="DW108" i="9" s="1"/>
  <c r="EB56" i="9" a="1"/>
  <c r="EB56" i="9" s="1"/>
  <c r="DS84" i="9" a="1"/>
  <c r="DS84" i="9" s="1"/>
  <c r="DE94" i="9" a="1"/>
  <c r="DE94" i="9" s="1"/>
  <c r="DH107" i="9" a="1"/>
  <c r="DH107" i="9" s="1"/>
  <c r="DZ12" i="9" a="1"/>
  <c r="DZ12" i="9" s="1"/>
  <c r="DN72" i="9" a="1"/>
  <c r="DN72" i="9" s="1"/>
  <c r="DP92" i="9" a="1"/>
  <c r="DP92" i="9" s="1"/>
  <c r="DE36" i="9" a="1"/>
  <c r="DE36" i="9" s="1"/>
  <c r="DY33" i="9" a="1"/>
  <c r="DY33" i="9" s="1"/>
  <c r="DN33" i="9" a="1"/>
  <c r="DN33" i="9" s="1"/>
  <c r="DS43" i="9" a="1"/>
  <c r="DS43" i="9" s="1"/>
  <c r="DQ49" i="9" a="1"/>
  <c r="DQ49" i="9" s="1"/>
  <c r="DZ46" i="9" a="1"/>
  <c r="DZ46" i="9" s="1"/>
  <c r="DV72" i="9" a="1"/>
  <c r="DV72" i="9" s="1"/>
  <c r="DD30" i="9" a="1"/>
  <c r="DD30" i="9" s="1"/>
  <c r="EC27" i="9" a="1"/>
  <c r="EC27" i="9" s="1"/>
  <c r="DJ27" i="9" a="1"/>
  <c r="DJ27" i="9" s="1"/>
  <c r="DY41" i="9" a="1"/>
  <c r="DY41" i="9" s="1"/>
  <c r="DT47" i="9" a="1"/>
  <c r="DT47" i="9" s="1"/>
  <c r="DM44" i="9" a="1"/>
  <c r="DM44" i="9" s="1"/>
  <c r="DL61" i="9" a="1"/>
  <c r="DL61" i="9" s="1"/>
  <c r="EC20" i="9" a="1"/>
  <c r="EC20" i="9" s="1"/>
  <c r="EC11" i="9" a="1"/>
  <c r="EC11" i="9" s="1"/>
  <c r="DH30" i="9" a="1"/>
  <c r="DH30" i="9" s="1"/>
  <c r="DC49" i="9" a="1"/>
  <c r="DC49" i="9" s="1"/>
  <c r="DN56" i="9" a="1"/>
  <c r="DN56" i="9" s="1"/>
  <c r="DZ41" i="9" a="1"/>
  <c r="DZ41" i="9" s="1"/>
  <c r="DL40" i="9" a="1"/>
  <c r="DL40" i="9" s="1"/>
  <c r="DG9" i="9" a="1"/>
  <c r="DG9" i="9" s="1"/>
  <c r="DT33" i="9" a="1"/>
  <c r="DT33" i="9" s="1"/>
  <c r="DQ35" i="9" a="1"/>
  <c r="DQ35" i="9" s="1"/>
  <c r="DZ28" i="9" a="1"/>
  <c r="DZ28" i="9" s="1"/>
  <c r="EC91" i="9" a="1"/>
  <c r="EC91" i="9" s="1"/>
  <c r="DG33" i="9" a="1"/>
  <c r="DG33" i="9" s="1"/>
  <c r="DJ54" i="9" a="1"/>
  <c r="DJ54" i="9" s="1"/>
  <c r="DE34" i="9" a="1"/>
  <c r="DE34" i="9" s="1"/>
  <c r="DM33" i="9" a="1"/>
  <c r="DM33" i="9" s="1"/>
  <c r="DD70" i="9" a="1"/>
  <c r="DD70" i="9" s="1"/>
  <c r="DH36" i="9" a="1"/>
  <c r="DH36" i="9" s="1"/>
  <c r="DL35" i="9" a="1"/>
  <c r="DL35" i="9" s="1"/>
  <c r="DM63" i="9" a="1"/>
  <c r="DM63" i="9" s="1"/>
  <c r="DT80" i="9" a="1"/>
  <c r="DT80" i="9" s="1"/>
  <c r="DG86" i="9" a="1"/>
  <c r="DG86" i="9" s="1"/>
  <c r="DK23" i="9" a="1"/>
  <c r="DK23" i="9" s="1"/>
  <c r="EB77" i="9" a="1"/>
  <c r="EB77" i="9" s="1"/>
  <c r="DN97" i="9" a="1"/>
  <c r="DN97" i="9" s="1"/>
  <c r="DD103" i="9" a="1"/>
  <c r="DD103" i="9" s="1"/>
  <c r="DC53" i="9" a="1"/>
  <c r="DC53" i="9" s="1"/>
  <c r="DL77" i="9" a="1"/>
  <c r="DL77" i="9" s="1"/>
  <c r="DG65" i="9" a="1"/>
  <c r="DG65" i="9" s="1"/>
  <c r="DK82" i="9" a="1"/>
  <c r="DK82" i="9" s="1"/>
  <c r="DT87" i="9" a="1"/>
  <c r="DT87" i="9" s="1"/>
  <c r="DE25" i="9" a="1"/>
  <c r="DE25" i="9" s="1"/>
  <c r="DY50" i="9" a="1"/>
  <c r="DY50" i="9" s="1"/>
  <c r="DD61" i="9" a="1"/>
  <c r="DD61" i="9" s="1"/>
  <c r="EC88" i="9" a="1"/>
  <c r="EC88" i="9" s="1"/>
  <c r="DS92" i="9" a="1"/>
  <c r="DS92" i="9" s="1"/>
  <c r="DC41" i="9" a="1"/>
  <c r="DC41" i="9" s="1"/>
  <c r="DL62" i="9" a="1"/>
  <c r="DL62" i="9" s="1"/>
  <c r="DW41" i="9" a="1"/>
  <c r="DW41" i="9" s="1"/>
  <c r="DD50" i="9" a="1"/>
  <c r="DD50" i="9" s="1"/>
  <c r="DP45" i="9" a="1"/>
  <c r="DP45" i="9" s="1"/>
  <c r="EC74" i="9" a="1"/>
  <c r="EC74" i="9" s="1"/>
  <c r="DJ49" i="9" a="1"/>
  <c r="DJ49" i="9" s="1"/>
  <c r="DZ37" i="9" a="1"/>
  <c r="DZ37" i="9" s="1"/>
  <c r="DV73" i="9" a="1"/>
  <c r="DV73" i="9" s="1"/>
  <c r="DP94" i="9" a="1"/>
  <c r="DP94" i="9" s="1"/>
  <c r="DP103" i="9" a="1"/>
  <c r="DP103" i="9" s="1"/>
  <c r="DT52" i="9" a="1"/>
  <c r="DT52" i="9" s="1"/>
  <c r="DJ86" i="9" a="1"/>
  <c r="DJ86" i="9" s="1"/>
  <c r="DZ112" i="9" a="1"/>
  <c r="DZ112" i="9" s="1"/>
  <c r="DC66" i="9" a="1"/>
  <c r="DC66" i="9" s="1"/>
  <c r="DN69" i="9" a="1"/>
  <c r="DN69" i="9" s="1"/>
  <c r="DP85" i="9" a="1"/>
  <c r="DP85" i="9" s="1"/>
  <c r="DH75" i="9" a="1"/>
  <c r="DH75" i="9" s="1"/>
  <c r="DJ96" i="9" a="1"/>
  <c r="DJ96" i="9" s="1"/>
  <c r="DD107" i="9" a="1"/>
  <c r="DD107" i="9" s="1"/>
  <c r="DK54" i="9" a="1"/>
  <c r="DK54" i="9" s="1"/>
  <c r="DS74" i="9" a="1"/>
  <c r="DS74" i="9" s="1"/>
  <c r="DG81" i="9" a="1"/>
  <c r="DG81" i="9" s="1"/>
  <c r="DK103" i="9" a="1"/>
  <c r="DK103" i="9" s="1"/>
  <c r="EB110" i="9" a="1"/>
  <c r="EB110" i="9" s="1"/>
  <c r="DT62" i="9" a="1"/>
  <c r="DT62" i="9" s="1"/>
  <c r="DW80" i="9" a="1"/>
  <c r="DW80" i="9" s="1"/>
  <c r="DH22" i="9" a="1"/>
  <c r="DH22" i="9" s="1"/>
  <c r="DC20" i="9" a="1"/>
  <c r="DC20" i="9" s="1"/>
  <c r="DM23" i="9" a="1"/>
  <c r="DM23" i="9" s="1"/>
  <c r="DW51" i="9" a="1"/>
  <c r="DW51" i="9" s="1"/>
  <c r="DY58" i="9" a="1"/>
  <c r="DY58" i="9" s="1"/>
  <c r="DK92" i="9" a="1"/>
  <c r="DK92" i="9" s="1"/>
  <c r="DY104" i="9" a="1"/>
  <c r="DY104" i="9" s="1"/>
  <c r="DL14" i="9" a="1"/>
  <c r="DL14" i="9" s="1"/>
  <c r="EC70" i="9" a="1"/>
  <c r="EC70" i="9" s="1"/>
  <c r="DH105" i="9" a="1"/>
  <c r="DH105" i="9" s="1"/>
  <c r="DT49" i="9" a="1"/>
  <c r="DT49" i="9" s="1"/>
  <c r="EC54" i="9" a="1"/>
  <c r="EC54" i="9" s="1"/>
  <c r="DN78" i="9" a="1"/>
  <c r="DN78" i="9" s="1"/>
  <c r="DC104" i="9" a="1"/>
  <c r="DC104" i="9" s="1"/>
  <c r="DZ95" i="9" a="1"/>
  <c r="DZ95" i="9" s="1"/>
  <c r="DW104" i="9" a="1"/>
  <c r="DW104" i="9" s="1"/>
  <c r="DE11" i="9" a="1"/>
  <c r="DE11" i="9" s="1"/>
  <c r="DS73" i="9" a="1"/>
  <c r="DS73" i="9" s="1"/>
  <c r="DJ94" i="9" a="1"/>
  <c r="DJ94" i="9" s="1"/>
  <c r="DD88" i="9" a="1"/>
  <c r="DD88" i="9" s="1"/>
  <c r="DG108" i="9" a="1"/>
  <c r="DG108" i="9" s="1"/>
  <c r="DH56" i="9" a="1"/>
  <c r="DH56" i="9" s="1"/>
  <c r="DC71" i="9" a="1"/>
  <c r="DC71" i="9" s="1"/>
  <c r="DJ87" i="9" a="1"/>
  <c r="DJ87" i="9" s="1"/>
  <c r="DE20" i="9" a="1"/>
  <c r="DE20" i="9" s="1"/>
  <c r="DY17" i="9" a="1"/>
  <c r="DY17" i="9" s="1"/>
  <c r="DN17" i="9" a="1"/>
  <c r="DN17" i="9" s="1"/>
  <c r="DH29" i="9" a="1"/>
  <c r="DH29" i="9" s="1"/>
  <c r="DM32" i="9" a="1"/>
  <c r="DM32" i="9" s="1"/>
  <c r="DQ29" i="9" a="1"/>
  <c r="DQ29" i="9" s="1"/>
  <c r="DZ39" i="9" a="1"/>
  <c r="DZ39" i="9" s="1"/>
  <c r="EC10" i="9" a="1"/>
  <c r="EC10" i="9" s="1"/>
  <c r="DK17" i="9" a="1"/>
  <c r="DK17" i="9" s="1"/>
  <c r="DJ19" i="9" a="1"/>
  <c r="DJ19" i="9" s="1"/>
  <c r="DH98" i="9" a="1"/>
  <c r="DH98" i="9" s="1"/>
  <c r="DH106" i="9" a="1"/>
  <c r="DH106" i="9" s="1"/>
  <c r="DN67" i="9" a="1"/>
  <c r="DN67" i="9" s="1"/>
  <c r="DM57" i="9" a="1"/>
  <c r="DM57" i="9" s="1"/>
  <c r="DP107" i="9" a="1"/>
  <c r="DP107" i="9" s="1"/>
  <c r="DQ55" i="9" a="1"/>
  <c r="DQ55" i="9" s="1"/>
  <c r="DE71" i="9" a="1"/>
  <c r="DE71" i="9" s="1"/>
  <c r="DM76" i="9" a="1"/>
  <c r="DM76" i="9" s="1"/>
  <c r="DE105" i="9" a="1"/>
  <c r="DE105" i="9" s="1"/>
  <c r="DW96" i="9" a="1"/>
  <c r="DW96" i="9" s="1"/>
  <c r="DC107" i="9" a="1"/>
  <c r="DC107" i="9" s="1"/>
  <c r="DH58" i="9" a="1"/>
  <c r="DH58" i="9" s="1"/>
  <c r="DG59" i="9" a="1"/>
  <c r="DG59" i="9" s="1"/>
  <c r="DG96" i="9" a="1"/>
  <c r="DG96" i="9" s="1"/>
  <c r="DW91" i="9" a="1"/>
  <c r="DW91" i="9" s="1"/>
  <c r="DT56" i="9" a="1"/>
  <c r="DT56" i="9" s="1"/>
  <c r="DS61" i="9" a="1"/>
  <c r="DS61" i="9" s="1"/>
  <c r="DJ69" i="9" a="1"/>
  <c r="DJ69" i="9" s="1"/>
  <c r="EC90" i="9" a="1"/>
  <c r="EC90" i="9" s="1"/>
  <c r="DK12" i="9" a="1"/>
  <c r="DK12" i="9" s="1"/>
  <c r="DV31" i="9" a="1"/>
  <c r="DV31" i="9" s="1"/>
  <c r="DT29" i="9" a="1"/>
  <c r="DT29" i="9" s="1"/>
  <c r="DD29" i="9" a="1"/>
  <c r="DD29" i="9" s="1"/>
  <c r="DY35" i="9" a="1"/>
  <c r="DY35" i="9" s="1"/>
  <c r="DW33" i="9" a="1"/>
  <c r="DW33" i="9" s="1"/>
  <c r="DL44" i="9" a="1"/>
  <c r="DL44" i="9" s="1"/>
  <c r="DJ30" i="9" a="1"/>
  <c r="DJ30" i="9" s="1"/>
  <c r="EB31" i="9" a="1"/>
  <c r="EB31" i="9" s="1"/>
  <c r="DT24" i="9" a="1"/>
  <c r="DT24" i="9" s="1"/>
  <c r="DL34" i="9" a="1"/>
  <c r="DL34" i="9" s="1"/>
  <c r="DG32" i="9" a="1"/>
  <c r="DG32" i="9" s="1"/>
  <c r="DS39" i="9" a="1"/>
  <c r="DS39" i="9" s="1"/>
  <c r="DG21" i="9" a="1"/>
  <c r="DG21" i="9" s="1"/>
  <c r="DC51" i="9" a="1"/>
  <c r="DC51" i="9" s="1"/>
  <c r="DN48" i="9" a="1"/>
  <c r="DN48" i="9" s="1"/>
  <c r="DC28" i="9" a="1"/>
  <c r="DC28" i="9" s="1"/>
  <c r="EB33" i="9" a="1"/>
  <c r="EB33" i="9" s="1"/>
  <c r="EB38" i="9" a="1"/>
  <c r="EB38" i="9" s="1"/>
  <c r="DC33" i="9" a="1"/>
  <c r="DC33" i="9" s="1"/>
  <c r="DE31" i="9" a="1"/>
  <c r="DE31" i="9" s="1"/>
  <c r="DE13" i="9" a="1"/>
  <c r="DE13" i="9" s="1"/>
  <c r="DC44" i="9" a="1"/>
  <c r="DC44" i="9" s="1"/>
  <c r="DV9" i="9" a="1"/>
  <c r="DV9" i="9" s="1"/>
  <c r="DJ46" i="9" a="1"/>
  <c r="DJ46" i="9" s="1"/>
  <c r="DD23" i="9" a="1"/>
  <c r="DD23" i="9" s="1"/>
  <c r="DT32" i="9" a="1"/>
  <c r="DT32" i="9" s="1"/>
  <c r="DG38" i="9" a="1"/>
  <c r="DG38" i="9" s="1"/>
  <c r="DG29" i="9" a="1"/>
  <c r="DG29" i="9" s="1"/>
  <c r="DC19" i="9" a="1"/>
  <c r="DC19" i="9" s="1"/>
  <c r="DG42" i="9" a="1"/>
  <c r="DG42" i="9" s="1"/>
  <c r="DY25" i="9" a="1"/>
  <c r="DY25" i="9" s="1"/>
  <c r="DP99" i="9" a="1"/>
  <c r="DP99" i="9" s="1"/>
  <c r="DV100" i="9" a="1"/>
  <c r="DV100" i="9" s="1"/>
  <c r="DL108" i="9" a="1"/>
  <c r="DL108" i="9" s="1"/>
  <c r="DG61" i="9" a="1"/>
  <c r="DG61" i="9" s="1"/>
  <c r="DH96" i="9" a="1"/>
  <c r="DH96" i="9" s="1"/>
  <c r="EB42" i="9" a="1"/>
  <c r="EB42" i="9" s="1"/>
  <c r="DT66" i="9" a="1"/>
  <c r="DT66" i="9" s="1"/>
  <c r="DE72" i="9" a="1"/>
  <c r="DE72" i="9" s="1"/>
  <c r="DS95" i="9" a="1"/>
  <c r="DS95" i="9" s="1"/>
  <c r="DN86" i="9" a="1"/>
  <c r="DN86" i="9" s="1"/>
  <c r="DH102" i="9" a="1"/>
  <c r="DH102" i="9" s="1"/>
  <c r="EC109" i="9" a="1"/>
  <c r="EC109" i="9" s="1"/>
  <c r="EB63" i="9" a="1"/>
  <c r="EB63" i="9" s="1"/>
  <c r="DT85" i="9" a="1"/>
  <c r="DT85" i="9" s="1"/>
  <c r="DW94" i="9" a="1"/>
  <c r="DW94" i="9" s="1"/>
  <c r="EC107" i="9" a="1"/>
  <c r="EC107" i="9" s="1"/>
  <c r="EC55" i="9" a="1"/>
  <c r="EC55" i="9" s="1"/>
  <c r="DZ64" i="9" a="1"/>
  <c r="DZ64" i="9" s="1"/>
  <c r="DW93" i="9" a="1"/>
  <c r="DW93" i="9" s="1"/>
  <c r="DN26" i="9" a="1"/>
  <c r="DN26" i="9" s="1"/>
  <c r="DL24" i="9" a="1"/>
  <c r="DL24" i="9" s="1"/>
  <c r="DW23" i="9" a="1"/>
  <c r="DW23" i="9" s="1"/>
  <c r="DV53" i="9" a="1"/>
  <c r="DV53" i="9" s="1"/>
  <c r="DQ103" i="9" a="1"/>
  <c r="DQ103" i="9" s="1"/>
  <c r="DK53" i="9" a="1"/>
  <c r="DK53" i="9" s="1"/>
  <c r="DP57" i="9" a="1"/>
  <c r="DP57" i="9" s="1"/>
  <c r="DW82" i="9" a="1"/>
  <c r="DW82" i="9" s="1"/>
  <c r="EB102" i="9" a="1"/>
  <c r="EB102" i="9" s="1"/>
  <c r="DQ59" i="9" a="1"/>
  <c r="DQ59" i="9" s="1"/>
  <c r="DP76" i="9" a="1"/>
  <c r="DP76" i="9" s="1"/>
  <c r="DK91" i="9" a="1"/>
  <c r="DK91" i="9" s="1"/>
  <c r="DT19" i="9" a="1"/>
  <c r="DT19" i="9" s="1"/>
  <c r="DH100" i="9" a="1"/>
  <c r="DH100" i="9" s="1"/>
  <c r="DY55" i="9" a="1"/>
  <c r="DY55" i="9" s="1"/>
  <c r="DJ59" i="9" a="1"/>
  <c r="DJ59" i="9" s="1"/>
  <c r="DD84" i="9" a="1"/>
  <c r="DD84" i="9" s="1"/>
  <c r="DK106" i="9" a="1"/>
  <c r="DK106" i="9" s="1"/>
  <c r="DL107" i="9" a="1"/>
  <c r="DL107" i="9" s="1"/>
  <c r="DT53" i="9" a="1"/>
  <c r="DT53" i="9" s="1"/>
  <c r="DW69" i="9" a="1"/>
  <c r="DW69" i="9" s="1"/>
  <c r="DV74" i="9" a="1"/>
  <c r="DV74" i="9" s="1"/>
  <c r="EB105" i="9" a="1"/>
  <c r="EB105" i="9" s="1"/>
  <c r="DS14" i="9" a="1"/>
  <c r="DS14" i="9" s="1"/>
  <c r="DN28" i="9" a="1"/>
  <c r="DN28" i="9" s="1"/>
  <c r="DZ23" i="9" a="1"/>
  <c r="DZ23" i="9" s="1"/>
  <c r="DL17" i="9" a="1"/>
  <c r="DL17" i="9" s="1"/>
  <c r="EC36" i="9" a="1"/>
  <c r="EC36" i="9" s="1"/>
  <c r="DS34" i="9" a="1"/>
  <c r="DS34" i="9" s="1"/>
  <c r="DH71" i="9" a="1"/>
  <c r="DH71" i="9" s="1"/>
  <c r="DL86" i="9" a="1"/>
  <c r="DL86" i="9" s="1"/>
  <c r="DZ97" i="9" a="1"/>
  <c r="DZ97" i="9" s="1"/>
  <c r="DH51" i="9" a="1"/>
  <c r="DH51" i="9" s="1"/>
  <c r="DP86" i="9" a="1"/>
  <c r="DP86" i="9" s="1"/>
  <c r="DL103" i="9" a="1"/>
  <c r="DL103" i="9" s="1"/>
  <c r="DP109" i="9" a="1"/>
  <c r="DP109" i="9" s="1"/>
  <c r="DQ58" i="9" a="1"/>
  <c r="DQ58" i="9" s="1"/>
  <c r="DC86" i="9" a="1"/>
  <c r="DC86" i="9" s="1"/>
  <c r="EB73" i="9" a="1"/>
  <c r="EB73" i="9" s="1"/>
  <c r="DY87" i="9" a="1"/>
  <c r="DY87" i="9" s="1"/>
  <c r="DL99" i="9" a="1"/>
  <c r="DL99" i="9" s="1"/>
  <c r="EC52" i="9" a="1"/>
  <c r="EC52" i="9" s="1"/>
  <c r="DG73" i="9" a="1"/>
  <c r="DG73" i="9" s="1"/>
  <c r="DJ76" i="9" a="1"/>
  <c r="DJ76" i="9" s="1"/>
  <c r="DH93" i="9" a="1"/>
  <c r="DH93" i="9" s="1"/>
  <c r="DW101" i="9" a="1"/>
  <c r="DW101" i="9" s="1"/>
  <c r="DQ51" i="9" a="1"/>
  <c r="DQ51" i="9" s="1"/>
  <c r="DZ75" i="9" a="1"/>
  <c r="DZ75" i="9" s="1"/>
  <c r="DV22" i="9" a="1"/>
  <c r="DV22" i="9" s="1"/>
  <c r="EB19" i="9" a="1"/>
  <c r="EB19" i="9" s="1"/>
  <c r="DK38" i="9" a="1"/>
  <c r="DK38" i="9" s="1"/>
  <c r="DT38" i="9" a="1"/>
  <c r="DT38" i="9" s="1"/>
  <c r="DS11" i="9" a="1"/>
  <c r="DS11" i="9" s="1"/>
  <c r="EB37" i="9" a="1"/>
  <c r="EB37" i="9" s="1"/>
  <c r="EB10" i="9" a="1"/>
  <c r="EB10" i="9" s="1"/>
  <c r="DY46" i="9" a="1"/>
  <c r="DY46" i="9" s="1"/>
  <c r="DZ44" i="9" a="1"/>
  <c r="DZ44" i="9" s="1"/>
  <c r="DS81" i="9" a="1"/>
  <c r="DS81" i="9" s="1"/>
  <c r="DY98" i="9" a="1"/>
  <c r="DY98" i="9" s="1"/>
  <c r="DJ102" i="9" a="1"/>
  <c r="DJ102" i="9" s="1"/>
  <c r="DK46" i="9" a="1"/>
  <c r="DK46" i="9" s="1"/>
  <c r="DM91" i="9" a="1"/>
  <c r="DM91" i="9" s="1"/>
  <c r="DM106" i="9" a="1"/>
  <c r="DM106" i="9" s="1"/>
  <c r="DK67" i="9" a="1"/>
  <c r="DK67" i="9" s="1"/>
  <c r="DE63" i="9" a="1"/>
  <c r="DE63" i="9" s="1"/>
  <c r="DQ90" i="9" a="1"/>
  <c r="DQ90" i="9" s="1"/>
  <c r="DM83" i="9" a="1"/>
  <c r="DM83" i="9" s="1"/>
  <c r="DD101" i="9" a="1"/>
  <c r="DD101" i="9" s="1"/>
  <c r="DE104" i="9" a="1"/>
  <c r="DE104" i="9" s="1"/>
  <c r="DS47" i="9" a="1"/>
  <c r="DS47" i="9" s="1"/>
  <c r="EC82" i="9" a="1"/>
  <c r="EC82" i="9" s="1"/>
  <c r="DE84" i="9" a="1"/>
  <c r="DE84" i="9" s="1"/>
  <c r="DK95" i="9" a="1"/>
  <c r="DK95" i="9" s="1"/>
  <c r="DH111" i="9" a="1"/>
  <c r="DH111" i="9" s="1"/>
  <c r="DG64" i="9" a="1"/>
  <c r="DG64" i="9" s="1"/>
  <c r="DK83" i="9" a="1"/>
  <c r="DK83" i="9" s="1"/>
  <c r="DS28" i="9" a="1"/>
  <c r="DS28" i="9" s="1"/>
  <c r="DQ26" i="9" a="1"/>
  <c r="DQ26" i="9" s="1"/>
  <c r="DJ32" i="9" a="1"/>
  <c r="DJ32" i="9" s="1"/>
  <c r="DY63" i="9" a="1"/>
  <c r="DY63" i="9" s="1"/>
  <c r="EC69" i="9" a="1"/>
  <c r="EC69" i="9" s="1"/>
  <c r="DY66" i="9" a="1"/>
  <c r="DY66" i="9" s="1"/>
  <c r="DT89" i="9" a="1"/>
  <c r="DT89" i="9" s="1"/>
  <c r="DZ21" i="9" a="1"/>
  <c r="DZ21" i="9" s="1"/>
  <c r="DK19" i="9" a="1"/>
  <c r="DK19" i="9" s="1"/>
  <c r="DV18" i="9" a="1"/>
  <c r="DV18" i="9" s="1"/>
  <c r="EB64" i="9" a="1"/>
  <c r="EB64" i="9" s="1"/>
  <c r="DH59" i="9" a="1"/>
  <c r="DH59" i="9" s="1"/>
  <c r="DS66" i="9" a="1"/>
  <c r="DS66" i="9" s="1"/>
  <c r="DL84" i="9" a="1"/>
  <c r="DL84" i="9" s="1"/>
  <c r="DL26" i="9" a="1"/>
  <c r="DL26" i="9" s="1"/>
  <c r="DC18" i="9" a="1"/>
  <c r="DC18" i="9" s="1"/>
  <c r="DC42" i="9" a="1"/>
  <c r="DC42" i="9" s="1"/>
  <c r="DJ51" i="9" a="1"/>
  <c r="DJ51" i="9" s="1"/>
  <c r="DK87" i="9" a="1"/>
  <c r="DK87" i="9" s="1"/>
  <c r="DD32" i="9" a="1"/>
  <c r="DD32" i="9" s="1"/>
  <c r="DS35" i="9" a="1"/>
  <c r="DS35" i="9" s="1"/>
  <c r="DG26" i="9" a="1"/>
  <c r="DG26" i="9" s="1"/>
  <c r="DQ18" i="9" a="1"/>
  <c r="DQ18" i="9" s="1"/>
  <c r="DM24" i="9" a="1"/>
  <c r="DM24" i="9" s="1"/>
  <c r="DD44" i="9" a="1"/>
  <c r="DD44" i="9" s="1"/>
  <c r="DP61" i="9" a="1"/>
  <c r="DP61" i="9" s="1"/>
  <c r="DW37" i="9" a="1"/>
  <c r="DW37" i="9" s="1"/>
  <c r="DE66" i="9" a="1"/>
  <c r="DE66" i="9" s="1"/>
  <c r="DW21" i="9" a="1"/>
  <c r="DW21" i="9" s="1"/>
  <c r="DC94" i="9" a="1"/>
  <c r="DC94" i="9" s="1"/>
  <c r="EB13" i="9" a="1"/>
  <c r="EB13" i="9" s="1"/>
  <c r="DN71" i="9" a="1"/>
  <c r="DN71" i="9" s="1"/>
  <c r="DG67" i="9" a="1"/>
  <c r="DG67" i="9" s="1"/>
  <c r="DJ112" i="9" a="1"/>
  <c r="DJ112" i="9" s="1"/>
  <c r="DC65" i="9" a="1"/>
  <c r="DC65" i="9" s="1"/>
  <c r="DS78" i="9" a="1"/>
  <c r="DS78" i="9" s="1"/>
  <c r="DS76" i="9" a="1"/>
  <c r="DS76" i="9" s="1"/>
  <c r="DQ111" i="9" a="1"/>
  <c r="DQ111" i="9" s="1"/>
  <c r="DP95" i="9" a="1"/>
  <c r="DP95" i="9" s="1"/>
  <c r="DP10" i="9" a="1"/>
  <c r="DP10" i="9" s="1"/>
  <c r="DH74" i="9" a="1"/>
  <c r="DH74" i="9" s="1"/>
  <c r="DW68" i="9" a="1"/>
  <c r="DW68" i="9" s="1"/>
  <c r="DE95" i="9" a="1"/>
  <c r="DE95" i="9" s="1"/>
  <c r="DV102" i="9" a="1"/>
  <c r="DV102" i="9" s="1"/>
  <c r="EC47" i="9" a="1"/>
  <c r="EC47" i="9" s="1"/>
  <c r="DJ71" i="9" a="1"/>
  <c r="DJ71" i="9" s="1"/>
  <c r="DY76" i="9" a="1"/>
  <c r="DY76" i="9" s="1"/>
  <c r="EB101" i="9" a="1"/>
  <c r="EB101" i="9" s="1"/>
  <c r="DS21" i="9" a="1"/>
  <c r="DS21" i="9" s="1"/>
  <c r="DD12" i="9" a="1"/>
  <c r="DD12" i="9" s="1"/>
  <c r="DL11" i="9" a="1"/>
  <c r="DL11" i="9" s="1"/>
  <c r="DL12" i="9" a="1"/>
  <c r="DL12" i="9" s="1"/>
  <c r="DK13" i="9" a="1"/>
  <c r="DK13" i="9" s="1"/>
  <c r="DM43" i="9" a="1"/>
  <c r="DM43" i="9" s="1"/>
  <c r="DD108" i="9" a="1"/>
  <c r="DD108" i="9" s="1"/>
  <c r="DM60" i="9" a="1"/>
  <c r="DM60" i="9" s="1"/>
  <c r="DN79" i="9" a="1"/>
  <c r="DN79" i="9" s="1"/>
  <c r="EC87" i="9" a="1"/>
  <c r="EC87" i="9" s="1"/>
  <c r="DK107" i="9" a="1"/>
  <c r="DK107" i="9" s="1"/>
  <c r="DP71" i="9" a="1"/>
  <c r="DP71" i="9" s="1"/>
  <c r="DV88" i="9" a="1"/>
  <c r="DV88" i="9" s="1"/>
  <c r="DE100" i="9" a="1"/>
  <c r="DE100" i="9" s="1"/>
  <c r="DZ53" i="9" a="1"/>
  <c r="DZ53" i="9" s="1"/>
  <c r="DQ109" i="9" a="1"/>
  <c r="DQ109" i="9" s="1"/>
  <c r="DL63" i="9" a="1"/>
  <c r="DL63" i="9" s="1"/>
  <c r="DV80" i="9" a="1"/>
  <c r="DV80" i="9" s="1"/>
  <c r="DW89" i="9" a="1"/>
  <c r="DW89" i="9" s="1"/>
  <c r="EB108" i="9" a="1"/>
  <c r="EB108" i="9" s="1"/>
  <c r="DQ40" i="9" a="1"/>
  <c r="DQ40" i="9" s="1"/>
  <c r="DJ64" i="9" a="1"/>
  <c r="DJ64" i="9" s="1"/>
  <c r="DQ81" i="9" a="1"/>
  <c r="DQ81" i="9" s="1"/>
  <c r="EB86" i="9" a="1"/>
  <c r="EB86" i="9" s="1"/>
  <c r="DH24" i="9" a="1"/>
  <c r="DH24" i="9" s="1"/>
  <c r="DL49" i="9" a="1"/>
  <c r="DL49" i="9" s="1"/>
  <c r="DV56" i="9" a="1"/>
  <c r="DV56" i="9" s="1"/>
  <c r="DK65" i="9" a="1"/>
  <c r="DK65" i="9" s="1"/>
  <c r="DV59" i="9" a="1"/>
  <c r="DV59" i="9" s="1"/>
  <c r="DM86" i="9" a="1"/>
  <c r="DM86" i="9" s="1"/>
  <c r="DN32" i="9" a="1"/>
  <c r="DN32" i="9" s="1"/>
  <c r="DL30" i="9" a="1"/>
  <c r="DL30" i="9" s="1"/>
  <c r="DH83" i="9" a="1"/>
  <c r="DH83" i="9" s="1"/>
  <c r="DQ94" i="9" a="1"/>
  <c r="DQ94" i="9" s="1"/>
  <c r="DK110" i="9" a="1"/>
  <c r="DK110" i="9" s="1"/>
  <c r="DM62" i="9" a="1"/>
  <c r="DM62" i="9" s="1"/>
  <c r="DQ97" i="9" a="1"/>
  <c r="DQ97" i="9" s="1"/>
  <c r="DW107" i="9" a="1"/>
  <c r="DW107" i="9" s="1"/>
  <c r="EC59" i="9" a="1"/>
  <c r="EC59" i="9" s="1"/>
  <c r="DD60" i="9" a="1"/>
  <c r="DD60" i="9" s="1"/>
  <c r="EB96" i="9" a="1"/>
  <c r="EB96" i="9" s="1"/>
  <c r="DQ75" i="9" a="1"/>
  <c r="DQ75" i="9" s="1"/>
  <c r="DC96" i="9" a="1"/>
  <c r="DC96" i="9" s="1"/>
  <c r="EB111" i="9" a="1"/>
  <c r="EB111" i="9" s="1"/>
  <c r="DL65" i="9" a="1"/>
  <c r="DL65" i="9" s="1"/>
  <c r="DH84" i="9" a="1"/>
  <c r="DH84" i="9" s="1"/>
  <c r="DJ92" i="9" a="1"/>
  <c r="DJ92" i="9" s="1"/>
  <c r="DJ103" i="9" a="1"/>
  <c r="DJ103" i="9" s="1"/>
  <c r="DN106" i="9" a="1"/>
  <c r="DN106" i="9" s="1"/>
  <c r="DY56" i="9" a="1"/>
  <c r="DY56" i="9" s="1"/>
  <c r="DE91" i="9" a="1"/>
  <c r="DE91" i="9" s="1"/>
  <c r="DS12" i="9" a="1"/>
  <c r="DS12" i="9" s="1"/>
  <c r="DQ10" i="9" a="1"/>
  <c r="DQ10" i="9" s="1"/>
  <c r="DT10" i="9" a="1"/>
  <c r="DT10" i="9" s="1"/>
  <c r="DN43" i="9" a="1"/>
  <c r="DN43" i="9" s="1"/>
  <c r="DV51" i="9" a="1"/>
  <c r="DV51" i="9" s="1"/>
  <c r="DJ47" i="9" a="1"/>
  <c r="DJ47" i="9" s="1"/>
  <c r="DD78" i="9" a="1"/>
  <c r="DD78" i="9" s="1"/>
  <c r="DJ21" i="9" a="1"/>
  <c r="DJ21" i="9" s="1"/>
  <c r="DQ9" i="9" a="1"/>
  <c r="DQ9" i="9" s="1"/>
  <c r="DH55" i="9" a="1"/>
  <c r="DH55" i="9" s="1"/>
  <c r="DW31" i="9" a="1"/>
  <c r="DW31" i="9" s="1"/>
  <c r="DD22" i="9" a="1"/>
  <c r="DD22" i="9" s="1"/>
  <c r="DH39" i="9" a="1"/>
  <c r="DH39" i="9" s="1"/>
  <c r="DJ50" i="9" a="1"/>
  <c r="DJ50" i="9" s="1"/>
  <c r="DS79" i="9" a="1"/>
  <c r="DS79" i="9" s="1"/>
  <c r="DM80" i="9" a="1"/>
  <c r="DM80" i="9" s="1"/>
  <c r="DE103" i="9" a="1"/>
  <c r="DE103" i="9" s="1"/>
  <c r="EB84" i="9" a="1"/>
  <c r="EB84" i="9" s="1"/>
  <c r="EC23" i="9" a="1"/>
  <c r="EC23" i="9" s="1"/>
  <c r="DN21" i="9" a="1"/>
  <c r="DN21" i="9" s="1"/>
  <c r="DY31" i="9" a="1"/>
  <c r="DY31" i="9" s="1"/>
  <c r="DJ26" i="9" a="1"/>
  <c r="DJ26" i="9" s="1"/>
  <c r="DE46" i="9" a="1"/>
  <c r="DE46" i="9" s="1"/>
  <c r="DH10" i="9" a="1"/>
  <c r="DH10" i="9" s="1"/>
  <c r="DZ33" i="9" a="1"/>
  <c r="DZ33" i="9" s="1"/>
  <c r="DE21" i="9" a="1"/>
  <c r="DE21" i="9" s="1"/>
  <c r="DY67" i="9" a="1"/>
  <c r="DY67" i="9" s="1"/>
  <c r="DS88" i="9" a="1"/>
  <c r="DS88" i="9" s="1"/>
  <c r="DM89" i="9" a="1"/>
  <c r="DM89" i="9" s="1"/>
  <c r="DH46" i="9" a="1"/>
  <c r="DH46" i="9" s="1"/>
  <c r="DS103" i="9" a="1"/>
  <c r="DS103" i="9" s="1"/>
  <c r="DE40" i="9" a="1"/>
  <c r="DE40" i="9" s="1"/>
  <c r="DD19" i="9" a="1"/>
  <c r="DD19" i="9" s="1"/>
  <c r="DC35" i="9" a="1"/>
  <c r="DC35" i="9" s="1"/>
  <c r="DW36" i="9" a="1"/>
  <c r="DW36" i="9" s="1"/>
  <c r="DV24" i="9" a="1"/>
  <c r="DV24" i="9" s="1"/>
  <c r="DP58" i="9" a="1"/>
  <c r="DP58" i="9" s="1"/>
  <c r="EC66" i="9" a="1"/>
  <c r="EC66" i="9" s="1"/>
  <c r="DQ52" i="9" a="1"/>
  <c r="DQ52" i="9" s="1"/>
  <c r="DW22" i="9" a="1"/>
  <c r="DW22" i="9" s="1"/>
  <c r="DD65" i="9" a="1"/>
  <c r="DD65" i="9" s="1"/>
  <c r="EC76" i="9" a="1"/>
  <c r="EC76" i="9" s="1"/>
  <c r="DD98" i="9" a="1"/>
  <c r="DD98" i="9" s="1"/>
  <c r="DT104" i="9" a="1"/>
  <c r="DT104" i="9" s="1"/>
  <c r="DS49" i="9" a="1"/>
  <c r="DS49" i="9" s="1"/>
  <c r="DQ89" i="9" a="1"/>
  <c r="DQ89" i="9" s="1"/>
  <c r="DT109" i="9" a="1"/>
  <c r="DT109" i="9" s="1"/>
  <c r="DV58" i="9" a="1"/>
  <c r="DV58" i="9" s="1"/>
  <c r="DY74" i="9" a="1"/>
  <c r="DY74" i="9" s="1"/>
  <c r="EB88" i="9" a="1"/>
  <c r="EB88" i="9" s="1"/>
  <c r="DW78" i="9" a="1"/>
  <c r="DW78" i="9" s="1"/>
  <c r="DQ99" i="9" a="1"/>
  <c r="DQ99" i="9" s="1"/>
  <c r="DJ104" i="9" a="1"/>
  <c r="DJ104" i="9" s="1"/>
  <c r="DM51" i="9" a="1"/>
  <c r="DM51" i="9" s="1"/>
  <c r="EC77" i="9" a="1"/>
  <c r="EC77" i="9" s="1"/>
  <c r="DK84" i="9" a="1"/>
  <c r="DK84" i="9" s="1"/>
  <c r="DZ101" i="9" a="1"/>
  <c r="DZ101" i="9" s="1"/>
  <c r="DC108" i="9" a="1"/>
  <c r="DC108" i="9" s="1"/>
  <c r="DS55" i="9" a="1"/>
  <c r="DS55" i="9" s="1"/>
  <c r="DV83" i="9" a="1"/>
  <c r="DV83" i="9" s="1"/>
  <c r="EB18" i="9" a="1"/>
  <c r="EB18" i="9" s="1"/>
  <c r="DD17" i="9" a="1"/>
  <c r="DD17" i="9" s="1"/>
  <c r="DQ19" i="9" a="1"/>
  <c r="DQ19" i="9" s="1"/>
  <c r="DM10" i="9" a="1"/>
  <c r="DM10" i="9" s="1"/>
  <c r="DN53" i="9" a="1"/>
  <c r="DN53" i="9" s="1"/>
  <c r="EB90" i="9" a="1"/>
  <c r="EB90" i="9" s="1"/>
  <c r="DW111" i="9" a="1"/>
  <c r="DW111" i="9" s="1"/>
  <c r="DV67" i="9" a="1"/>
  <c r="DV67" i="9" s="1"/>
  <c r="DV63" i="9" a="1"/>
  <c r="DV63" i="9" s="1"/>
  <c r="DC109" i="9" a="1"/>
  <c r="DC109" i="9" s="1"/>
  <c r="DK58" i="9" a="1"/>
  <c r="DK58" i="9" s="1"/>
  <c r="DT75" i="9" a="1"/>
  <c r="DT75" i="9" s="1"/>
  <c r="DV82" i="9" a="1"/>
  <c r="DV82" i="9" s="1"/>
  <c r="DN108" i="9" a="1"/>
  <c r="DN108" i="9" s="1"/>
  <c r="DQ92" i="9" a="1"/>
  <c r="DQ92" i="9" s="1"/>
  <c r="DJ20" i="9" a="1"/>
  <c r="DJ20" i="9" s="1"/>
  <c r="DM69" i="9" a="1"/>
  <c r="DM69" i="9" s="1"/>
  <c r="DM65" i="9" a="1"/>
  <c r="DM65" i="9" s="1"/>
  <c r="DY91" i="9" a="1"/>
  <c r="DY91" i="9" s="1"/>
  <c r="EC97" i="9" a="1"/>
  <c r="EC97" i="9" s="1"/>
  <c r="DS44" i="9" a="1"/>
  <c r="DS44" i="9" s="1"/>
  <c r="EB67" i="9" a="1"/>
  <c r="EB67" i="9" s="1"/>
  <c r="DZ73" i="9" a="1"/>
  <c r="DZ73" i="9" s="1"/>
  <c r="DH97" i="9" a="1"/>
  <c r="DH97" i="9" s="1"/>
  <c r="DT18" i="9" a="1"/>
  <c r="DT18" i="9" s="1"/>
  <c r="DH25" i="9" a="1"/>
  <c r="DH25" i="9" s="1"/>
  <c r="EB22" i="9" a="1"/>
  <c r="EB22" i="9" s="1"/>
  <c r="DH9" i="9" a="1"/>
  <c r="DH9" i="9" s="1"/>
  <c r="DK29" i="9" a="1"/>
  <c r="DK29" i="9" s="1"/>
  <c r="DN27" i="9" a="1"/>
  <c r="DN27" i="9" s="1"/>
  <c r="DV69" i="9" a="1"/>
  <c r="DV69" i="9" s="1"/>
  <c r="DP77" i="9" a="1"/>
  <c r="DP77" i="9" s="1"/>
  <c r="DG94" i="9" a="1"/>
  <c r="DG94" i="9" s="1"/>
  <c r="DY29" i="9" a="1"/>
  <c r="DY29" i="9" s="1"/>
  <c r="DJ84" i="9" a="1"/>
  <c r="DJ84" i="9" s="1"/>
  <c r="DZ90" i="9" a="1"/>
  <c r="DZ90" i="9" s="1"/>
  <c r="DZ105" i="9" a="1"/>
  <c r="DZ105" i="9" s="1"/>
  <c r="DP48" i="9" a="1"/>
  <c r="DP48" i="9" s="1"/>
  <c r="DZ83" i="9" a="1"/>
  <c r="DZ83" i="9" s="1"/>
  <c r="DZ71" i="9" a="1"/>
  <c r="DZ71" i="9" s="1"/>
  <c r="DJ79" i="9" a="1"/>
  <c r="DJ79" i="9" s="1"/>
  <c r="DK97" i="9" a="1"/>
  <c r="DK97" i="9" s="1"/>
  <c r="DK31" i="9" a="1"/>
  <c r="DK31" i="9" s="1"/>
  <c r="DY52" i="9" a="1"/>
  <c r="DY52" i="9" s="1"/>
  <c r="DW67" i="9" a="1"/>
  <c r="DW67" i="9" s="1"/>
  <c r="EB85" i="9" a="1"/>
  <c r="EB85" i="9" s="1"/>
  <c r="DN99" i="9" a="1"/>
  <c r="DN99" i="9" s="1"/>
  <c r="DN42" i="9" a="1"/>
  <c r="DN42" i="9" s="1"/>
  <c r="DP55" i="9" a="1"/>
  <c r="DP55" i="9" s="1"/>
  <c r="DG47" i="9" a="1"/>
  <c r="DG47" i="9" s="1"/>
  <c r="EC53" i="9" a="1"/>
  <c r="EC53" i="9" s="1"/>
  <c r="DY49" i="9" a="1"/>
  <c r="DY49" i="9" s="1"/>
  <c r="DW70" i="9" a="1"/>
  <c r="DW70" i="9" s="1"/>
  <c r="DZ10" i="9" a="1"/>
  <c r="DZ10" i="9" s="1"/>
  <c r="DQ22" i="9" a="1"/>
  <c r="DQ22" i="9" s="1"/>
  <c r="DY28" i="9" a="1"/>
  <c r="DY28" i="9" s="1"/>
  <c r="DS36" i="9" a="1"/>
  <c r="DS36" i="9" s="1"/>
  <c r="DQ34" i="9" a="1"/>
  <c r="DQ34" i="9" s="1"/>
  <c r="DQ46" i="9" a="1"/>
  <c r="DQ46" i="9" s="1"/>
  <c r="DE68" i="9" a="1"/>
  <c r="DE68" i="9" s="1"/>
  <c r="DP93" i="9" a="1"/>
  <c r="DP93" i="9" s="1"/>
  <c r="DK94" i="9" a="1"/>
  <c r="DK94" i="9" s="1"/>
  <c r="DD48" i="9" a="1"/>
  <c r="DD48" i="9" s="1"/>
  <c r="DT82" i="9" a="1"/>
  <c r="DT82" i="9" s="1"/>
  <c r="DT107" i="9" a="1"/>
  <c r="DT107" i="9" s="1"/>
  <c r="DV112" i="9" a="1"/>
  <c r="DV112" i="9" s="1"/>
  <c r="DS65" i="9" a="1"/>
  <c r="DS65" i="9" s="1"/>
  <c r="DD82" i="9" a="1"/>
  <c r="DD82" i="9" s="1"/>
  <c r="DZ69" i="9" a="1"/>
  <c r="DZ69" i="9" s="1"/>
  <c r="DY96" i="9" a="1"/>
  <c r="DY96" i="9" s="1"/>
  <c r="DE96" i="9" a="1"/>
  <c r="DE96" i="9" s="1"/>
  <c r="DV49" i="9" a="1"/>
  <c r="DV49" i="9" s="1"/>
  <c r="DG69" i="9" a="1"/>
  <c r="DG69" i="9" s="1"/>
  <c r="DD83" i="9" a="1"/>
  <c r="DD83" i="9" s="1"/>
  <c r="DT88" i="9" a="1"/>
  <c r="DT88" i="9" s="1"/>
  <c r="DC103" i="9" a="1"/>
  <c r="DC103" i="9" s="1"/>
  <c r="DJ48" i="9" a="1"/>
  <c r="DJ48" i="9" s="1"/>
  <c r="DJ82" i="9" a="1"/>
  <c r="DJ82" i="9" s="1"/>
  <c r="DH13" i="9" a="1"/>
  <c r="DH13" i="9" s="1"/>
  <c r="DG27" i="9" a="1"/>
  <c r="DG27" i="9" s="1"/>
  <c r="DE24" i="9" a="1"/>
  <c r="DE24" i="9" s="1"/>
  <c r="DS42" i="9" a="1"/>
  <c r="DS42" i="9" s="1"/>
  <c r="DG15" i="9" a="1"/>
  <c r="DG15" i="9" s="1"/>
  <c r="DS19" i="9" a="1"/>
  <c r="DS19" i="9" s="1"/>
  <c r="DM13" i="9" a="1"/>
  <c r="DM13" i="9" s="1"/>
  <c r="DH14" i="9" a="1"/>
  <c r="DH14" i="9" s="1"/>
  <c r="DC12" i="9" a="1"/>
  <c r="DC12" i="9" s="1"/>
  <c r="DC13" i="9" a="1"/>
  <c r="DC13" i="9" s="1"/>
  <c r="DT9" i="9" a="1"/>
  <c r="DT9" i="9" s="1"/>
  <c r="DT16" i="9" a="1"/>
  <c r="DT16" i="9" s="1"/>
  <c r="DQ47" i="9" a="1"/>
  <c r="DQ47" i="9" s="1"/>
  <c r="EC38" i="9" a="1"/>
  <c r="EC38" i="9" s="1"/>
  <c r="DC29" i="9" a="1"/>
  <c r="DC29" i="9" s="1"/>
  <c r="DY62" i="9" a="1"/>
  <c r="DY62" i="9" s="1"/>
  <c r="DT30" i="9" a="1"/>
  <c r="DT30" i="9" s="1"/>
  <c r="DZ24" i="9" a="1"/>
  <c r="DZ24" i="9" s="1"/>
  <c r="DC72" i="9" a="1"/>
  <c r="DC72" i="9" s="1"/>
  <c r="EB32" i="9" a="1"/>
  <c r="EB32" i="9" s="1"/>
  <c r="EC22" i="9" a="1"/>
  <c r="EC22" i="9" s="1"/>
  <c r="DG28" i="9" a="1"/>
  <c r="DG28" i="9" s="1"/>
  <c r="DT59" i="9" a="1"/>
  <c r="DT59" i="9" s="1"/>
  <c r="DJ41" i="9" a="1"/>
  <c r="DJ41" i="9" s="1"/>
  <c r="DJ74" i="9" a="1"/>
  <c r="DJ74" i="9" s="1"/>
  <c r="DW9" i="9" a="1"/>
  <c r="DW9" i="9" s="1"/>
  <c r="EC43" i="9" a="1"/>
  <c r="EC43" i="9" s="1"/>
  <c r="DY34" i="9" a="1"/>
  <c r="DY34" i="9" s="1"/>
  <c r="DP35" i="9" a="1"/>
  <c r="DP35" i="9" s="1"/>
  <c r="DJ18" i="9" a="1"/>
  <c r="DJ18" i="9" s="1"/>
  <c r="DT28" i="9" a="1"/>
  <c r="DT28" i="9" s="1"/>
  <c r="EC19" i="9" a="1"/>
  <c r="EC19" i="9" s="1"/>
  <c r="EC101" i="9" a="1"/>
  <c r="EC101" i="9" s="1"/>
  <c r="DY45" i="9" a="1"/>
  <c r="DY45" i="9" s="1"/>
  <c r="EB60" i="9" a="1"/>
  <c r="EB60" i="9" s="1"/>
  <c r="EC75" i="9" a="1"/>
  <c r="EC75" i="9" s="1"/>
  <c r="DH101" i="9" a="1"/>
  <c r="DH101" i="9" s="1"/>
  <c r="DP62" i="9" a="1"/>
  <c r="DP62" i="9" s="1"/>
  <c r="EB79" i="9" a="1"/>
  <c r="EB79" i="9" s="1"/>
  <c r="DH99" i="9" a="1"/>
  <c r="DH99" i="9" s="1"/>
  <c r="DS22" i="9" a="1"/>
  <c r="DS22" i="9" s="1"/>
  <c r="DY103" i="9" a="1"/>
  <c r="DY103" i="9" s="1"/>
  <c r="DK47" i="9" a="1"/>
  <c r="DK47" i="9" s="1"/>
  <c r="DQ62" i="9" a="1"/>
  <c r="DQ62" i="9" s="1"/>
  <c r="DT77" i="9" a="1"/>
  <c r="DT77" i="9" s="1"/>
  <c r="EC102" i="9" a="1"/>
  <c r="EC102" i="9" s="1"/>
  <c r="DW110" i="9" a="1"/>
  <c r="DW110" i="9" s="1"/>
  <c r="DG63" i="9" a="1"/>
  <c r="DG63" i="9" s="1"/>
  <c r="DW73" i="9" a="1"/>
  <c r="DW73" i="9" s="1"/>
  <c r="DG78" i="9" a="1"/>
  <c r="DG78" i="9" s="1"/>
  <c r="DG110" i="9" a="1"/>
  <c r="DG110" i="9" s="1"/>
  <c r="DG18" i="9" a="1"/>
  <c r="DG18" i="9" s="1"/>
  <c r="DZ15" i="9" a="1"/>
  <c r="DZ15" i="9" s="1"/>
  <c r="DV11" i="9" a="1"/>
  <c r="DV11" i="9" s="1"/>
  <c r="DJ38" i="9" a="1"/>
  <c r="DJ38" i="9" s="1"/>
  <c r="DD31" i="9" a="1"/>
  <c r="DD31" i="9" s="1"/>
  <c r="DP39" i="9" a="1"/>
  <c r="DP39" i="9" s="1"/>
  <c r="DD55" i="9" a="1"/>
  <c r="DD55" i="9" s="1"/>
  <c r="DD81" i="9" a="1"/>
  <c r="DD81" i="9" s="1"/>
  <c r="DZ84" i="9" a="1"/>
  <c r="DZ84" i="9" s="1"/>
  <c r="DE33" i="9" a="1"/>
  <c r="DE33" i="9" s="1"/>
  <c r="DY72" i="9" a="1"/>
  <c r="DY72" i="9" s="1"/>
  <c r="DV93" i="9" a="1"/>
  <c r="DV93" i="9" s="1"/>
  <c r="DS102" i="9" a="1"/>
  <c r="DS102" i="9" s="1"/>
  <c r="EB51" i="9" a="1"/>
  <c r="EB51" i="9" s="1"/>
  <c r="DL72" i="9" a="1"/>
  <c r="DL72" i="9" s="1"/>
  <c r="DZ55" i="9" a="1"/>
  <c r="DZ55" i="9" s="1"/>
  <c r="DQ82" i="9" a="1"/>
  <c r="DQ82" i="9" s="1"/>
  <c r="EC85" i="9" a="1"/>
  <c r="EC85" i="9" s="1"/>
  <c r="DZ34" i="9" a="1"/>
  <c r="DZ34" i="9" s="1"/>
  <c r="DW53" i="9" a="1"/>
  <c r="DW53" i="9" s="1"/>
  <c r="DV70" i="9" a="1"/>
  <c r="DV70" i="9" s="1"/>
  <c r="DH89" i="9" a="1"/>
  <c r="DH89" i="9" s="1"/>
  <c r="EB91" i="9" a="1"/>
  <c r="EB91" i="9" s="1"/>
  <c r="DZ45" i="9" a="1"/>
  <c r="DZ45" i="9" s="1"/>
  <c r="DZ67" i="9" a="1"/>
  <c r="DZ67" i="9" s="1"/>
  <c r="DV42" i="9" a="1"/>
  <c r="DV42" i="9" s="1"/>
  <c r="DQ48" i="9" a="1"/>
  <c r="DQ48" i="9" s="1"/>
  <c r="DM45" i="9" a="1"/>
  <c r="DM45" i="9" s="1"/>
  <c r="DK64" i="9" a="1"/>
  <c r="DK64" i="9" s="1"/>
  <c r="DJ33" i="9" a="1"/>
  <c r="DJ33" i="9" s="1"/>
  <c r="DD27" i="9" a="1"/>
  <c r="DD27" i="9" s="1"/>
  <c r="DG82" i="9" a="1"/>
  <c r="DG82" i="9" s="1"/>
  <c r="DZ87" i="9" a="1"/>
  <c r="DZ87" i="9" s="1"/>
  <c r="DN102" i="9" a="1"/>
  <c r="DN102" i="9" s="1"/>
  <c r="DM47" i="9" a="1"/>
  <c r="DM47" i="9" s="1"/>
  <c r="DJ90" i="9" a="1"/>
  <c r="DJ90" i="9" s="1"/>
  <c r="DD104" i="9" a="1"/>
  <c r="DD104" i="9" s="1"/>
  <c r="DP17" i="9" a="1"/>
  <c r="DP17" i="9" s="1"/>
  <c r="DE70" i="9" a="1"/>
  <c r="DE70" i="9" s="1"/>
  <c r="DP89" i="9" a="1"/>
  <c r="DP89" i="9" s="1"/>
  <c r="DW83" i="9" a="1"/>
  <c r="DW83" i="9" s="1"/>
  <c r="DL89" i="9" a="1"/>
  <c r="DL89" i="9" s="1"/>
  <c r="DG104" i="9" a="1"/>
  <c r="DG104" i="9" s="1"/>
  <c r="DG49" i="9" a="1"/>
  <c r="DG49" i="9" s="1"/>
  <c r="DG83" i="9" a="1"/>
  <c r="DG83" i="9" s="1"/>
  <c r="DN74" i="9" a="1"/>
  <c r="DN74" i="9" s="1"/>
  <c r="DM95" i="9" a="1"/>
  <c r="DM95" i="9" s="1"/>
  <c r="DP104" i="9" a="1"/>
  <c r="DP104" i="9" s="1"/>
  <c r="DQ53" i="9" a="1"/>
  <c r="DQ53" i="9" s="1"/>
  <c r="DY73" i="9" a="1"/>
  <c r="DY73" i="9" s="1"/>
  <c r="DH38" i="9" a="1"/>
  <c r="DH38" i="9" s="1"/>
  <c r="DC36" i="9" a="1"/>
  <c r="DC36" i="9" s="1"/>
  <c r="DK15" i="9" a="1"/>
  <c r="DK15" i="9" s="1"/>
  <c r="EB55" i="9" a="1"/>
  <c r="EB55" i="9" s="1"/>
  <c r="DH18" i="9" a="1"/>
  <c r="DH18" i="9" s="1"/>
  <c r="DS63" i="9" a="1"/>
  <c r="DS63" i="9" s="1"/>
  <c r="DL31" i="9" a="1"/>
  <c r="DL31" i="9" s="1"/>
  <c r="DE29" i="9" a="1"/>
  <c r="DE29" i="9" s="1"/>
  <c r="DM28" i="9" a="1"/>
  <c r="DM28" i="9" s="1"/>
  <c r="DD80" i="9" a="1"/>
  <c r="DD80" i="9" s="1"/>
  <c r="DJ91" i="9" a="1"/>
  <c r="DJ91" i="9" s="1"/>
  <c r="DE106" i="9" a="1"/>
  <c r="DE106" i="9" s="1"/>
  <c r="DG53" i="9" a="1"/>
  <c r="DG53" i="9" s="1"/>
  <c r="DG95" i="9" a="1"/>
  <c r="DG95" i="9" s="1"/>
  <c r="DW105" i="9" a="1"/>
  <c r="DW105" i="9" s="1"/>
  <c r="DY65" i="9" a="1"/>
  <c r="DY65" i="9" s="1"/>
  <c r="DP56" i="9" a="1"/>
  <c r="DP56" i="9" s="1"/>
  <c r="EC93" i="9" a="1"/>
  <c r="EC93" i="9" s="1"/>
  <c r="DV81" i="9" a="1"/>
  <c r="DV81" i="9" s="1"/>
  <c r="EB92" i="9" a="1"/>
  <c r="EB92" i="9" s="1"/>
  <c r="DJ105" i="9" a="1"/>
  <c r="DJ105" i="9" s="1"/>
  <c r="DT54" i="9" a="1"/>
  <c r="DT54" i="9" s="1"/>
  <c r="EB80" i="9" a="1"/>
  <c r="EB80" i="9" s="1"/>
  <c r="DJ88" i="9" a="1"/>
  <c r="DJ88" i="9" s="1"/>
  <c r="DC100" i="9" a="1"/>
  <c r="DC100" i="9" s="1"/>
  <c r="DJ111" i="9" a="1"/>
  <c r="DJ111" i="9" s="1"/>
  <c r="DE62" i="9" a="1"/>
  <c r="DE62" i="9" s="1"/>
  <c r="DP87" i="9" a="1"/>
  <c r="DP87" i="9" s="1"/>
  <c r="EC15" i="9" a="1"/>
  <c r="EC15" i="9" s="1"/>
  <c r="DP13" i="9" a="1"/>
  <c r="DP13" i="9" s="1"/>
  <c r="DP14" i="9" a="1"/>
  <c r="DP14" i="9" s="1"/>
  <c r="DW49" i="9" a="1"/>
  <c r="DW49" i="9" s="1"/>
  <c r="DH47" i="9" a="1"/>
  <c r="DH47" i="9" s="1"/>
  <c r="DP53" i="9" a="1"/>
  <c r="DP53" i="9" s="1"/>
  <c r="DH76" i="9" a="1"/>
  <c r="DH76" i="9" s="1"/>
  <c r="DK48" i="9" a="1"/>
  <c r="DK48" i="9" s="1"/>
  <c r="DJ42" i="9" a="1"/>
  <c r="DJ42" i="9" s="1"/>
  <c r="DE41" i="9" a="1"/>
  <c r="DE41" i="9" s="1"/>
  <c r="DM46" i="9" a="1"/>
  <c r="DM46" i="9" s="1"/>
  <c r="DZ54" i="9" a="1"/>
  <c r="DZ54" i="9" s="1"/>
  <c r="DQ50" i="9" a="1"/>
  <c r="DQ50" i="9" s="1"/>
  <c r="DM84" i="9" a="1"/>
  <c r="DM84" i="9" s="1"/>
  <c r="DV33" i="9" a="1"/>
  <c r="DV33" i="9" s="1"/>
  <c r="DK39" i="9" a="1"/>
  <c r="DK39" i="9" s="1"/>
  <c r="DN29" i="9" a="1"/>
  <c r="DN29" i="9" s="1"/>
  <c r="DQ42" i="9" a="1"/>
  <c r="DQ42" i="9" s="1"/>
  <c r="DK78" i="9" a="1"/>
  <c r="DK78" i="9" s="1"/>
  <c r="DH19" i="9" a="1"/>
  <c r="DH19" i="9" s="1"/>
  <c r="DC23" i="9" a="1"/>
  <c r="DC23" i="9" s="1"/>
  <c r="DN12" i="9" a="1"/>
  <c r="DN12" i="9" s="1"/>
  <c r="DL15" i="9" a="1"/>
  <c r="DL15" i="9" s="1"/>
  <c r="DM81" i="9" a="1"/>
  <c r="DM81" i="9" s="1"/>
  <c r="DV12" i="9" a="1"/>
  <c r="DV12" i="9" s="1"/>
  <c r="DK50" i="9" a="1"/>
  <c r="DK50" i="9" s="1"/>
  <c r="DT40" i="9" a="1"/>
  <c r="DT40" i="9" s="1"/>
  <c r="DS27" i="9" a="1"/>
  <c r="DS27" i="9" s="1"/>
  <c r="DK14" i="9" a="1"/>
  <c r="DK14" i="9" s="1"/>
  <c r="DG39" i="9" a="1"/>
  <c r="DG39" i="9" s="1"/>
  <c r="DL27" i="9" a="1"/>
  <c r="DL27" i="9" s="1"/>
  <c r="DP24" i="9" a="1"/>
  <c r="DP24" i="9" s="1"/>
  <c r="DE28" i="9" a="1"/>
  <c r="DE28" i="9" s="1"/>
  <c r="DW75" i="9" a="1"/>
  <c r="DW75" i="9" s="1"/>
  <c r="DL94" i="9" a="1"/>
  <c r="DL94" i="9" s="1"/>
  <c r="DN94" i="9" a="1"/>
  <c r="DN94" i="9" s="1"/>
  <c r="DG41" i="9" a="1"/>
  <c r="DG41" i="9" s="1"/>
  <c r="DY95" i="9" a="1"/>
  <c r="DY95" i="9" s="1"/>
  <c r="DY108" i="9" a="1"/>
  <c r="DY108" i="9" s="1"/>
  <c r="DS107" i="9" a="1"/>
  <c r="DS107" i="9" s="1"/>
  <c r="DM59" i="9" a="1"/>
  <c r="DM59" i="9" s="1"/>
  <c r="DT94" i="9" a="1"/>
  <c r="DT94" i="9" s="1"/>
  <c r="DN77" i="9" a="1"/>
  <c r="DN77" i="9" s="1"/>
  <c r="DV97" i="9" a="1"/>
  <c r="DV97" i="9" s="1"/>
  <c r="DV95" i="9" a="1"/>
  <c r="DV95" i="9" s="1"/>
  <c r="DT42" i="9" a="1"/>
  <c r="DT42" i="9" s="1"/>
  <c r="DT76" i="9" a="1"/>
  <c r="DT76" i="9" s="1"/>
  <c r="DP82" i="9" a="1"/>
  <c r="DP82" i="9" s="1"/>
  <c r="DS99" i="9" a="1"/>
  <c r="DS99" i="9" s="1"/>
  <c r="DG103" i="9" a="1"/>
  <c r="DG103" i="9" s="1"/>
  <c r="DC47" i="9" a="1"/>
  <c r="DC47" i="9" s="1"/>
  <c r="DE82" i="9" a="1"/>
  <c r="DE82" i="9" s="1"/>
  <c r="DC15" i="9" a="1"/>
  <c r="DC15" i="9" s="1"/>
  <c r="DW45" i="9" a="1"/>
  <c r="DW45" i="9" s="1"/>
  <c r="DM25" i="9" a="1"/>
  <c r="DM25" i="9" s="1"/>
  <c r="DN11" i="9" a="1"/>
  <c r="DN11" i="9" s="1"/>
  <c r="DQ36" i="9" a="1"/>
  <c r="DQ36" i="9" s="1"/>
  <c r="DZ85" i="9" a="1"/>
  <c r="DZ85" i="9" s="1"/>
  <c r="DW106" i="9" a="1"/>
  <c r="DW106" i="9" s="1"/>
  <c r="DL53" i="9" a="1"/>
  <c r="DL53" i="9" s="1"/>
  <c r="DW57" i="9" a="1"/>
  <c r="DW57" i="9" s="1"/>
  <c r="DW102" i="9" a="1"/>
  <c r="DW102" i="9" s="1"/>
  <c r="DS52" i="9" a="1"/>
  <c r="DS52" i="9" s="1"/>
  <c r="DS56" i="9" a="1"/>
  <c r="DS56" i="9" s="1"/>
  <c r="DZ81" i="9" a="1"/>
  <c r="DZ81" i="9" s="1"/>
  <c r="DG102" i="9" a="1"/>
  <c r="DG102" i="9" s="1"/>
  <c r="DL87" i="9" a="1"/>
  <c r="DL87" i="9" s="1"/>
  <c r="DM105" i="9" a="1"/>
  <c r="DM105" i="9" s="1"/>
  <c r="EB54" i="9" a="1"/>
  <c r="EB54" i="9" s="1"/>
  <c r="DD59" i="9" a="1"/>
  <c r="DD59" i="9" s="1"/>
  <c r="DW86" i="9" a="1"/>
  <c r="DW86" i="9" s="1"/>
  <c r="DC92" i="9" a="1"/>
  <c r="DC92" i="9" s="1"/>
  <c r="DN111" i="9" a="1"/>
  <c r="DN111" i="9" s="1"/>
  <c r="DJ62" i="9" a="1"/>
  <c r="DJ62" i="9" s="1"/>
  <c r="DT55" i="9" a="1"/>
  <c r="DT55" i="9" s="1"/>
  <c r="DC91" i="9" a="1"/>
  <c r="DC91" i="9" s="1"/>
  <c r="DY16" i="9" a="1"/>
  <c r="DY16" i="9" s="1"/>
  <c r="DZ14" i="9" a="1"/>
  <c r="DZ14" i="9" s="1"/>
  <c r="DG14" i="9" a="1"/>
  <c r="DG14" i="9" s="1"/>
  <c r="DW16" i="9" a="1"/>
  <c r="DW16" i="9" s="1"/>
  <c r="DD28" i="9" a="1"/>
  <c r="DD28" i="9" s="1"/>
  <c r="DY105" i="9" a="1"/>
  <c r="DY105" i="9" s="1"/>
  <c r="DN66" i="9" a="1"/>
  <c r="DN66" i="9" s="1"/>
  <c r="DG76" i="9" a="1"/>
  <c r="DG76" i="9" s="1"/>
  <c r="DY83" i="9" a="1"/>
  <c r="DY83" i="9" s="1"/>
  <c r="DS112" i="9" a="1"/>
  <c r="DS112" i="9" s="1"/>
  <c r="DT70" i="9" a="1"/>
  <c r="DT70" i="9" s="1"/>
  <c r="DW85" i="9" a="1"/>
  <c r="DW85" i="9" s="1"/>
  <c r="EC96" i="9" a="1"/>
  <c r="EC96" i="9" s="1"/>
  <c r="DN50" i="9" a="1"/>
  <c r="DN50" i="9" s="1"/>
  <c r="DT106" i="9" a="1"/>
  <c r="DT106" i="9" s="1"/>
  <c r="DN57" i="9" a="1"/>
  <c r="DN57" i="9" s="1"/>
  <c r="DW77" i="9" a="1"/>
  <c r="DW77" i="9" s="1"/>
  <c r="DH86" i="9" a="1"/>
  <c r="DH86" i="9" s="1"/>
  <c r="DL106" i="9" a="1"/>
  <c r="DL106" i="9" s="1"/>
  <c r="DH41" i="9" a="1"/>
  <c r="DH41" i="9" s="1"/>
  <c r="DC61" i="9" a="1"/>
  <c r="DC61" i="9" s="1"/>
  <c r="DJ78" i="9" a="1"/>
  <c r="DJ78" i="9" s="1"/>
  <c r="DZ94" i="9" a="1"/>
  <c r="DZ94" i="9" s="1"/>
  <c r="EB20" i="9" a="1"/>
  <c r="EB20" i="9" s="1"/>
  <c r="DY42" i="9" a="1"/>
  <c r="DY42" i="9" s="1"/>
  <c r="DS57" i="9" a="1"/>
  <c r="DS57" i="9" s="1"/>
  <c r="DS62" i="9" a="1"/>
  <c r="DS62" i="9" s="1"/>
  <c r="DZ70" i="9" a="1"/>
  <c r="DZ70" i="9" s="1"/>
  <c r="DT90" i="9" a="1"/>
  <c r="DT90" i="9" s="1"/>
  <c r="DZ35" i="9" a="1"/>
  <c r="DZ35" i="9" s="1"/>
  <c r="DK33" i="9" a="1"/>
  <c r="DK33" i="9" s="1"/>
  <c r="DV32" i="9" a="1"/>
  <c r="DV32" i="9" s="1"/>
  <c r="DJ17" i="9" a="1"/>
  <c r="DJ17" i="9" s="1"/>
  <c r="DV37" i="9" a="1"/>
  <c r="DV37" i="9" s="1"/>
  <c r="DD35" i="9" a="1"/>
  <c r="DD35" i="9" s="1"/>
  <c r="DE54" i="9" a="1"/>
  <c r="DE54" i="9" s="1"/>
  <c r="DW66" i="9" a="1"/>
  <c r="DW66" i="9" s="1"/>
  <c r="DS83" i="9" a="1"/>
  <c r="DS83" i="9" s="1"/>
  <c r="DK89" i="9" a="1"/>
  <c r="DK89" i="9" s="1"/>
  <c r="DZ26" i="9" a="1"/>
  <c r="DZ26" i="9" s="1"/>
  <c r="DC81" i="9" a="1"/>
  <c r="DC81" i="9" s="1"/>
  <c r="EB97" i="9" a="1"/>
  <c r="EB97" i="9" s="1"/>
  <c r="DM101" i="9" a="1"/>
  <c r="DM101" i="9" s="1"/>
  <c r="DQ45" i="9" a="1"/>
  <c r="DQ45" i="9" s="1"/>
  <c r="DN80" i="9" a="1"/>
  <c r="DN80" i="9" s="1"/>
  <c r="DN68" i="9" a="1"/>
  <c r="DN68" i="9" s="1"/>
  <c r="DC76" i="9" a="1"/>
  <c r="DC76" i="9" s="1"/>
  <c r="DY90" i="9" a="1"/>
  <c r="DY90" i="9" s="1"/>
  <c r="DL28" i="9" a="1"/>
  <c r="DL28" i="9" s="1"/>
  <c r="DN46" i="9" a="1"/>
  <c r="DN46" i="9" s="1"/>
  <c r="DH64" i="9" a="1"/>
  <c r="DH64" i="9" s="1"/>
  <c r="DZ93" i="9" a="1"/>
  <c r="DZ93" i="9" s="1"/>
  <c r="DL96" i="9" a="1"/>
  <c r="DL96" i="9" s="1"/>
  <c r="DL39" i="9" a="1"/>
  <c r="DL39" i="9" s="1"/>
  <c r="DK61" i="9" a="1"/>
  <c r="DK61" i="9" s="1"/>
  <c r="DS51" i="9" a="1"/>
  <c r="DS51" i="9" s="1"/>
  <c r="DV43" i="9" a="1"/>
  <c r="DV43" i="9" s="1"/>
  <c r="DJ39" i="9" a="1"/>
  <c r="DJ39" i="9" s="1"/>
  <c r="DG75" i="9" a="1"/>
  <c r="DG75" i="9" s="1"/>
  <c r="DW12" i="9" a="1"/>
  <c r="DW12" i="9" s="1"/>
  <c r="DZ20" i="9" a="1"/>
  <c r="DZ20" i="9" s="1"/>
  <c r="DK9" i="9" a="1"/>
  <c r="DK9" i="9" s="1"/>
  <c r="DM40" i="9" a="1"/>
  <c r="DM40" i="9" s="1"/>
  <c r="DP37" i="9" a="1"/>
  <c r="DP37" i="9" s="1"/>
  <c r="DE17" i="9" a="1"/>
  <c r="DE17" i="9" s="1"/>
  <c r="DE18" i="9" a="1"/>
  <c r="DE18" i="9" s="1"/>
  <c r="DS16" i="9" a="1"/>
  <c r="DS16" i="9" s="1"/>
  <c r="EC18" i="9" a="1"/>
  <c r="EC18" i="9" s="1"/>
  <c r="DC30" i="9" a="1"/>
  <c r="DC30" i="9" s="1"/>
  <c r="DJ28" i="9" a="1"/>
  <c r="DJ28" i="9" s="1"/>
  <c r="DZ79" i="9" a="1"/>
  <c r="DZ79" i="9" s="1"/>
  <c r="DC31" i="9" a="1"/>
  <c r="DC31" i="9" s="1"/>
  <c r="DM16" i="9" a="1"/>
  <c r="DM16" i="9" s="1"/>
  <c r="DV21" i="9" a="1"/>
  <c r="DV21" i="9" s="1"/>
  <c r="DS40" i="9" a="1"/>
  <c r="DS40" i="9" s="1"/>
  <c r="DY14" i="9" a="1"/>
  <c r="DY14" i="9" s="1"/>
  <c r="DS20" i="9" a="1"/>
  <c r="DS20" i="9" s="1"/>
  <c r="DZ42" i="9" a="1"/>
  <c r="DZ42" i="9" s="1"/>
  <c r="DQ23" i="9" a="1"/>
  <c r="DQ23" i="9" s="1"/>
  <c r="DS9" i="9" a="1"/>
  <c r="DS9" i="9" s="1"/>
  <c r="DD45" i="9" a="1"/>
  <c r="DD45" i="9" s="1"/>
  <c r="DH57" i="9" a="1"/>
  <c r="DH57" i="9" s="1"/>
  <c r="DE15" i="9" a="1"/>
  <c r="DE15" i="9" s="1"/>
  <c r="DM19" i="9" a="1"/>
  <c r="DM19" i="9" s="1"/>
  <c r="DJ80" i="9" a="1"/>
  <c r="DJ80" i="9" s="1"/>
  <c r="DQ102" i="9" a="1"/>
  <c r="DQ102" i="9" s="1"/>
  <c r="DH110" i="9" a="1"/>
  <c r="DH110" i="9" s="1"/>
  <c r="DZ60" i="9" a="1"/>
  <c r="DZ60" i="9" s="1"/>
  <c r="DK93" i="9" a="1"/>
  <c r="DK93" i="9" s="1"/>
  <c r="DV16" i="9" a="1"/>
  <c r="DV16" i="9" s="1"/>
  <c r="DJ70" i="9" a="1"/>
  <c r="DJ70" i="9" s="1"/>
  <c r="DJ66" i="9" a="1"/>
  <c r="DJ66" i="9" s="1"/>
  <c r="DV92" i="9" a="1"/>
  <c r="DV92" i="9" s="1"/>
  <c r="EB81" i="9" a="1"/>
  <c r="EB81" i="9" s="1"/>
  <c r="DK104" i="9" a="1"/>
  <c r="DK104" i="9" s="1"/>
  <c r="DY111" i="9" a="1"/>
  <c r="DY111" i="9" s="1"/>
  <c r="DN64" i="9" a="1"/>
  <c r="DN64" i="9" s="1"/>
  <c r="DL81" i="9" a="1"/>
  <c r="DL81" i="9" s="1"/>
  <c r="DP88" i="9" a="1"/>
  <c r="DP88" i="9" s="1"/>
  <c r="DV104" i="9" a="1"/>
  <c r="DV104" i="9" s="1"/>
  <c r="DL112" i="9" a="1"/>
  <c r="DL112" i="9" s="1"/>
  <c r="DK68" i="9" a="1"/>
  <c r="DK68" i="9" s="1"/>
  <c r="DC88" i="9" a="1"/>
  <c r="DC88" i="9" s="1"/>
  <c r="DK40" i="9" a="1"/>
  <c r="DK40" i="9" s="1"/>
  <c r="DE37" i="9" a="1"/>
  <c r="DE37" i="9" s="1"/>
  <c r="DM36" i="9" a="1"/>
  <c r="DM36" i="9" s="1"/>
  <c r="DP28" i="9" a="1"/>
  <c r="DP28" i="9" s="1"/>
  <c r="DS41" i="9" a="1"/>
  <c r="DS41" i="9" s="1"/>
  <c r="DY93" i="9" a="1"/>
  <c r="DY93" i="9" s="1"/>
  <c r="DZ40" i="9" a="1"/>
  <c r="DZ40" i="9" s="1"/>
  <c r="DE64" i="9" a="1"/>
  <c r="DE64" i="9" s="1"/>
  <c r="EC71" i="9" a="1"/>
  <c r="EC71" i="9" s="1"/>
  <c r="DG107" i="9" a="1"/>
  <c r="DG107" i="9" s="1"/>
  <c r="DS58" i="9" a="1"/>
  <c r="DS58" i="9" s="1"/>
  <c r="DQ78" i="9" a="1"/>
  <c r="DQ78" i="9" s="1"/>
  <c r="DE87" i="9" a="1"/>
  <c r="DE87" i="9" s="1"/>
  <c r="DV106" i="9" a="1"/>
  <c r="DV106" i="9" s="1"/>
  <c r="DN95" i="9" a="1"/>
  <c r="DN95" i="9" s="1"/>
  <c r="DL42" i="9" a="1"/>
  <c r="DL42" i="9" s="1"/>
  <c r="DZ65" i="9" a="1"/>
  <c r="DZ65" i="9" s="1"/>
  <c r="DT74" i="9" a="1"/>
  <c r="DT74" i="9" s="1"/>
  <c r="DY94" i="9" a="1"/>
  <c r="DY94" i="9" s="1"/>
  <c r="DZ102" i="9" a="1"/>
  <c r="DZ102" i="9" s="1"/>
  <c r="DS46" i="9" a="1"/>
  <c r="DS46" i="9" s="1"/>
  <c r="DT61" i="9" a="1"/>
  <c r="DT61" i="9" s="1"/>
  <c r="DZ76" i="9" a="1"/>
  <c r="DZ76" i="9" s="1"/>
  <c r="DE102" i="9" a="1"/>
  <c r="DE102" i="9" s="1"/>
  <c r="DM31" i="9" a="1"/>
  <c r="DM31" i="9" s="1"/>
  <c r="DQ14" i="9" a="1"/>
  <c r="DQ14" i="9" s="1"/>
  <c r="DZ9" i="9" a="1"/>
  <c r="DZ9" i="9" s="1"/>
  <c r="DT12" i="9" a="1"/>
  <c r="DT12" i="9" s="1"/>
  <c r="DZ16" i="9" a="1"/>
  <c r="DZ16" i="9" s="1"/>
  <c r="DM14" i="9" a="1"/>
  <c r="DM14" i="9" s="1"/>
  <c r="DN63" i="9" a="1"/>
  <c r="DN63" i="9" s="1"/>
  <c r="DE92" i="9" a="1"/>
  <c r="DE92" i="9" s="1"/>
  <c r="DM99" i="9" a="1"/>
  <c r="DM99" i="9" s="1"/>
  <c r="DN47" i="9" a="1"/>
  <c r="DN47" i="9" s="1"/>
  <c r="DN82" i="9" a="1"/>
  <c r="DN82" i="9" s="1"/>
  <c r="DT93" i="9" a="1"/>
  <c r="DT93" i="9" s="1"/>
  <c r="DJ109" i="9" a="1"/>
  <c r="DJ109" i="9" s="1"/>
  <c r="DS59" i="9" a="1"/>
  <c r="DS59" i="9" s="1"/>
  <c r="DY81" i="9" a="1"/>
  <c r="DY81" i="9" s="1"/>
  <c r="DE65" i="9" a="1"/>
  <c r="DE65" i="9" s="1"/>
  <c r="DT95" i="9" a="1"/>
  <c r="DT95" i="9" s="1"/>
  <c r="DD97" i="9" a="1"/>
  <c r="DD97" i="9" s="1"/>
  <c r="DD40" i="9" a="1"/>
  <c r="DD40" i="9" s="1"/>
  <c r="DM64" i="9" a="1"/>
  <c r="DM64" i="9" s="1"/>
  <c r="DJ73" i="9" a="1"/>
  <c r="DJ73" i="9" s="1"/>
  <c r="DH90" i="9" a="1"/>
  <c r="DH90" i="9" s="1"/>
  <c r="DD92" i="9" a="1"/>
  <c r="DD92" i="9" s="1"/>
  <c r="DS60" i="9" a="1"/>
  <c r="DS60" i="9" s="1"/>
  <c r="DP72" i="9" a="1"/>
  <c r="DP72" i="9" s="1"/>
  <c r="DZ25" i="9" a="1"/>
  <c r="DZ25" i="9" s="1"/>
  <c r="DN40" i="9" a="1"/>
  <c r="DN40" i="9" s="1"/>
  <c r="DY36" i="9" a="1"/>
  <c r="DY36" i="9" s="1"/>
  <c r="DZ49" i="9" a="1"/>
  <c r="DZ49" i="9" s="1"/>
  <c r="DY18" i="9" a="1"/>
  <c r="DY18" i="9" s="1"/>
  <c r="EC14" i="9" a="1"/>
  <c r="EC14" i="9" s="1"/>
  <c r="DJ43" i="9" a="1"/>
  <c r="DJ43" i="9" s="1"/>
  <c r="DH53" i="9" a="1"/>
  <c r="DH53" i="9" s="1"/>
  <c r="DC46" i="9" a="1"/>
  <c r="DC46" i="9" s="1"/>
  <c r="EC46" i="9" a="1"/>
  <c r="EC46" i="9" s="1"/>
  <c r="EB69" i="9" a="1"/>
  <c r="EB69" i="9" s="1"/>
  <c r="DL32" i="9" a="1"/>
  <c r="DL32" i="9" s="1"/>
  <c r="DC16" i="9" a="1"/>
  <c r="DC16" i="9" s="1"/>
  <c r="DW43" i="9" a="1"/>
  <c r="DW43" i="9" s="1"/>
  <c r="DK101" i="9" a="1"/>
  <c r="DK101" i="9" s="1"/>
  <c r="DS45" i="9" a="1"/>
  <c r="DS45" i="9" s="1"/>
  <c r="DQ86" i="9" a="1"/>
  <c r="DQ86" i="9" s="1"/>
  <c r="DC87" i="9" a="1"/>
  <c r="DC87" i="9" s="1"/>
  <c r="DV78" i="9" a="1"/>
  <c r="DV78" i="9" s="1"/>
  <c r="DD18" i="9" a="1"/>
  <c r="DD18" i="9" s="1"/>
  <c r="DP63" i="9" a="1"/>
  <c r="DP63" i="9" s="1"/>
  <c r="DY24" i="9" a="1"/>
  <c r="DY24" i="9" s="1"/>
  <c r="DP31" i="9" a="1"/>
  <c r="DP31" i="9" s="1"/>
  <c r="DE9" i="9" a="1"/>
  <c r="DE9" i="9" s="1"/>
  <c r="DT36" i="9" a="1"/>
  <c r="DT36" i="9" s="1"/>
  <c r="DL23" i="9" a="1"/>
  <c r="DL23" i="9" s="1"/>
  <c r="DD63" i="9" a="1"/>
  <c r="DD63" i="9" s="1"/>
  <c r="DH69" i="9" a="1"/>
  <c r="DH69" i="9" s="1"/>
  <c r="EC98" i="9" a="1"/>
  <c r="EC98" i="9" s="1"/>
  <c r="DG100" i="9" a="1"/>
  <c r="DG100" i="9" s="1"/>
  <c r="DV87" i="9" a="1"/>
  <c r="DV87" i="9" s="1"/>
  <c r="DD49" i="9" a="1"/>
  <c r="DD49" i="9" s="1"/>
  <c r="DN9" i="9" a="1"/>
  <c r="DN9" i="9" s="1"/>
  <c r="DC59" i="9" a="1"/>
  <c r="DC59" i="9" s="1"/>
  <c r="DV40" i="9" a="1"/>
  <c r="DV40" i="9" s="1"/>
  <c r="DK69" i="9" a="1"/>
  <c r="DK69" i="9" s="1"/>
  <c r="DL10" i="9" a="1"/>
  <c r="DL10" i="9" s="1"/>
  <c r="EB27" i="9" a="1"/>
  <c r="EB27" i="9" s="1"/>
  <c r="DG68" i="9" a="1"/>
  <c r="DG68" i="9" s="1"/>
  <c r="DV77" i="9" a="1"/>
  <c r="DV77" i="9" s="1"/>
  <c r="EB112" i="9" a="1"/>
  <c r="EB112" i="9" s="1"/>
  <c r="DZ19" i="9" a="1"/>
  <c r="DZ19" i="9" s="1"/>
  <c r="DY101" i="9" a="1"/>
  <c r="DY101" i="9" s="1"/>
  <c r="DN37" i="9" a="1"/>
  <c r="DN37" i="9" s="1"/>
  <c r="DS10" i="9" a="1"/>
  <c r="DS10" i="9" s="1"/>
  <c r="DQ77" i="9" a="1"/>
  <c r="DQ77" i="9" s="1"/>
  <c r="DD53" i="9" a="1"/>
  <c r="DD53" i="9" s="1"/>
  <c r="DV25" i="9" a="1"/>
  <c r="DV25" i="9" s="1"/>
  <c r="DP18" i="9" a="1"/>
  <c r="DP18" i="9" s="1"/>
  <c r="DS86" i="9" a="1"/>
  <c r="DS86" i="9" s="1"/>
  <c r="DM22" i="9" a="1"/>
  <c r="DM22" i="9" s="1"/>
  <c r="DM48" i="9" a="1"/>
  <c r="DM48" i="9" s="1"/>
  <c r="DP54" i="9" a="1"/>
  <c r="DP54" i="9" s="1"/>
  <c r="DE57" i="9" a="1"/>
  <c r="DE57" i="9" s="1"/>
  <c r="DC84" i="9" a="1"/>
  <c r="DC84" i="9" s="1"/>
  <c r="DW87" i="9" a="1"/>
  <c r="DW87" i="9" s="1"/>
  <c r="DL36" i="9" a="1"/>
  <c r="DL36" i="9" s="1"/>
  <c r="DE76" i="9" a="1"/>
  <c r="DE76" i="9" s="1"/>
  <c r="DG97" i="9" a="1"/>
  <c r="DG97" i="9" s="1"/>
  <c r="EB103" i="9" a="1"/>
  <c r="EB103" i="9" s="1"/>
  <c r="DY57" i="9" a="1"/>
  <c r="DY57" i="9" s="1"/>
  <c r="DK75" i="9" a="1"/>
  <c r="DK75" i="9" s="1"/>
  <c r="DZ58" i="9" a="1"/>
  <c r="DZ58" i="9" s="1"/>
  <c r="DK86" i="9" a="1"/>
  <c r="DK86" i="9" s="1"/>
  <c r="DD89" i="9" a="1"/>
  <c r="DD89" i="9" s="1"/>
  <c r="DY37" i="9" a="1"/>
  <c r="DY37" i="9" s="1"/>
  <c r="DK55" i="9" a="1"/>
  <c r="DK55" i="9" s="1"/>
  <c r="EC68" i="9" a="1"/>
  <c r="EC68" i="9" s="1"/>
  <c r="DJ95" i="9" a="1"/>
  <c r="DJ95" i="9" s="1"/>
  <c r="DH95" i="9" a="1"/>
  <c r="DH95" i="9" s="1"/>
  <c r="DY48" i="9" a="1"/>
  <c r="DY48" i="9" s="1"/>
  <c r="DJ68" i="9" a="1"/>
  <c r="DJ68" i="9" s="1"/>
  <c r="DY47" i="9" a="1"/>
  <c r="DY47" i="9" s="1"/>
  <c r="DH44" i="9" a="1"/>
  <c r="DH44" i="9" s="1"/>
  <c r="DN41" i="9" a="1"/>
  <c r="DN41" i="9" s="1"/>
  <c r="DG58" i="9" a="1"/>
  <c r="DG58" i="9" s="1"/>
  <c r="DC38" i="9" a="1"/>
  <c r="DC38" i="9" s="1"/>
  <c r="DE12" i="9" a="1"/>
  <c r="DE12" i="9" s="1"/>
  <c r="DC77" i="9" a="1"/>
  <c r="DC77" i="9" s="1"/>
  <c r="DP97" i="9" a="1"/>
  <c r="DP97" i="9" s="1"/>
  <c r="EB106" i="9" a="1"/>
  <c r="EB106" i="9" s="1"/>
  <c r="DS54" i="9" a="1"/>
  <c r="DS54" i="9" s="1"/>
  <c r="DP90" i="9" a="1"/>
  <c r="DP90" i="9" s="1"/>
  <c r="DC111" i="9" a="1"/>
  <c r="DC111" i="9" s="1"/>
  <c r="DK66" i="9" a="1"/>
  <c r="DK66" i="9" s="1"/>
  <c r="DC63" i="9" a="1"/>
  <c r="DC63" i="9" s="1"/>
  <c r="DD100" i="9" a="1"/>
  <c r="DD100" i="9" s="1"/>
  <c r="DP78" i="9" a="1"/>
  <c r="DP78" i="9" s="1"/>
  <c r="DJ99" i="9" a="1"/>
  <c r="DJ99" i="9" s="1"/>
  <c r="DV108" i="9" a="1"/>
  <c r="DV108" i="9" s="1"/>
  <c r="DK57" i="9" a="1"/>
  <c r="DK57" i="9" s="1"/>
  <c r="DE78" i="9" a="1"/>
  <c r="DE78" i="9" s="1"/>
  <c r="DQ85" i="9" a="1"/>
  <c r="DQ85" i="9" s="1"/>
  <c r="DN101" i="9" a="1"/>
  <c r="DN101" i="9" s="1"/>
  <c r="DE109" i="9" a="1"/>
  <c r="DE109" i="9" s="1"/>
  <c r="DW62" i="9" a="1"/>
  <c r="DW62" i="9" s="1"/>
  <c r="EC99" i="9" a="1"/>
  <c r="EC99" i="9" s="1"/>
  <c r="DH49" i="9" a="1"/>
  <c r="DH49" i="9" s="1"/>
  <c r="DP42" i="9" a="1"/>
  <c r="DP42" i="9" s="1"/>
  <c r="DK41" i="9" a="1"/>
  <c r="DK41" i="9" s="1"/>
  <c r="DM53" i="9" a="1"/>
  <c r="DM53" i="9" s="1"/>
  <c r="DH45" i="9" a="1"/>
  <c r="DH45" i="9" s="1"/>
  <c r="DH103" i="9" a="1"/>
  <c r="DH103" i="9" s="1"/>
  <c r="DL52" i="9" a="1"/>
  <c r="DL52" i="9" s="1"/>
  <c r="DJ67" i="9" a="1"/>
  <c r="DJ67" i="9" s="1"/>
  <c r="DH82" i="9" a="1"/>
  <c r="DH82" i="9" s="1"/>
  <c r="DP102" i="9" a="1"/>
  <c r="DP102" i="9" s="1"/>
  <c r="DC69" i="9" a="1"/>
  <c r="DC69" i="9" s="1"/>
  <c r="DV76" i="9" a="1"/>
  <c r="DV76" i="9" s="1"/>
  <c r="DM92" i="9" a="1"/>
  <c r="DM92" i="9" s="1"/>
  <c r="EB28" i="9" a="1"/>
  <c r="EB28" i="9" s="1"/>
  <c r="DP105" i="9" a="1"/>
  <c r="DP105" i="9" s="1"/>
  <c r="DY53" i="9" a="1"/>
  <c r="DY53" i="9" s="1"/>
  <c r="EB68" i="9" a="1"/>
  <c r="EB68" i="9" s="1"/>
  <c r="EC83" i="9" a="1"/>
  <c r="EC83" i="9" s="1"/>
  <c r="DZ103" i="9" a="1"/>
  <c r="DZ103" i="9" s="1"/>
  <c r="DP110" i="9" a="1"/>
  <c r="DP110" i="9" s="1"/>
  <c r="DZ61" i="9" a="1"/>
  <c r="DZ61" i="9" s="1"/>
  <c r="EB76" i="9" a="1"/>
  <c r="EB76" i="9" s="1"/>
  <c r="DN85" i="9" a="1"/>
  <c r="DN85" i="9" s="1"/>
  <c r="DD110" i="9" a="1"/>
  <c r="DD110" i="9" s="1"/>
  <c r="DW26" i="9" a="1"/>
  <c r="DW26" i="9" s="1"/>
  <c r="DQ25" i="9" a="1"/>
  <c r="DQ25" i="9" s="1"/>
  <c r="DC27" i="9" a="1"/>
  <c r="DC27" i="9" s="1"/>
  <c r="DP20" i="9" a="1"/>
  <c r="DP20" i="9" s="1"/>
  <c r="DH27" i="9" a="1"/>
  <c r="DH27" i="9" s="1"/>
  <c r="EB24" i="9" a="1"/>
  <c r="EB24" i="9" s="1"/>
  <c r="DQ24" i="9" a="1"/>
  <c r="DQ24" i="9" s="1"/>
  <c r="DN51" i="9" a="1"/>
  <c r="DN51" i="9" s="1"/>
  <c r="EC48" i="9" a="1"/>
  <c r="EC48" i="9" s="1"/>
  <c r="DT57" i="9" a="1"/>
  <c r="DT57" i="9" s="1"/>
  <c r="EB109" i="9" a="1"/>
  <c r="EB109" i="9" s="1"/>
  <c r="DK59" i="9" a="1"/>
  <c r="DK59" i="9" s="1"/>
  <c r="DZ82" i="9" a="1"/>
  <c r="DZ82" i="9" s="1"/>
  <c r="DZ80" i="9" a="1"/>
  <c r="DZ80" i="9" s="1"/>
  <c r="DL109" i="9" a="1"/>
  <c r="DL109" i="9" s="1"/>
  <c r="DE74" i="9" a="1"/>
  <c r="DE74" i="9" s="1"/>
  <c r="DV91" i="9" a="1"/>
  <c r="DV91" i="9" s="1"/>
  <c r="DS93" i="9" a="1"/>
  <c r="DS93" i="9" s="1"/>
  <c r="DL47" i="9" a="1"/>
  <c r="DL47" i="9" s="1"/>
  <c r="DV111" i="9" a="1"/>
  <c r="DV111" i="9" s="1"/>
  <c r="DZ62" i="9" a="1"/>
  <c r="DZ62" i="9" s="1"/>
  <c r="DS85" i="9" a="1"/>
  <c r="DS85" i="9" s="1"/>
  <c r="DL82" i="9" a="1"/>
  <c r="DL82" i="9" s="1"/>
  <c r="EC110" i="9" a="1"/>
  <c r="EC110" i="9" s="1"/>
  <c r="DD36" i="9" a="1"/>
  <c r="DD36" i="9" s="1"/>
  <c r="DD58" i="9" a="1"/>
  <c r="DD58" i="9" s="1"/>
  <c r="DC75" i="9" a="1"/>
  <c r="DC75" i="9" s="1"/>
  <c r="DE89" i="9" a="1"/>
  <c r="DE89" i="9" s="1"/>
  <c r="EC17" i="9" a="1"/>
  <c r="EC17" i="9" s="1"/>
  <c r="DE53" i="9" a="1"/>
  <c r="DE53" i="9" s="1"/>
  <c r="EB58" i="9" a="1"/>
  <c r="EB58" i="9" s="1"/>
  <c r="DK56" i="9" a="1"/>
  <c r="DK56" i="9" s="1"/>
  <c r="EB66" i="9" a="1"/>
  <c r="EB66" i="9" s="1"/>
  <c r="DL93" i="9" a="1"/>
  <c r="DL93" i="9" s="1"/>
  <c r="DZ38" i="9" a="1"/>
  <c r="DZ38" i="9" s="1"/>
  <c r="DZ36" i="9" a="1"/>
  <c r="DZ36" i="9" s="1"/>
  <c r="DG36" i="9" a="1"/>
  <c r="DG36" i="9" s="1"/>
  <c r="DJ34" i="9" a="1"/>
  <c r="DJ34" i="9" s="1"/>
  <c r="DW44" i="9" a="1"/>
  <c r="DW44" i="9" s="1"/>
  <c r="DY38" i="9" a="1"/>
  <c r="DY38" i="9" s="1"/>
  <c r="DE50" i="9" a="1"/>
  <c r="DE50" i="9" s="1"/>
  <c r="DL37" i="9" a="1"/>
  <c r="DL37" i="9" s="1"/>
  <c r="DE35" i="9" a="1"/>
  <c r="DE35" i="9" s="1"/>
  <c r="DM34" i="9" a="1"/>
  <c r="DM34" i="9" s="1"/>
  <c r="DN45" i="9" a="1"/>
  <c r="DN45" i="9" s="1"/>
  <c r="DE27" i="9" a="1"/>
  <c r="DE27" i="9" s="1"/>
  <c r="EB30" i="9" a="1"/>
  <c r="EB30" i="9" s="1"/>
  <c r="DQ30" i="9" a="1"/>
  <c r="DQ30" i="9" s="1"/>
  <c r="DG46" i="9" a="1"/>
  <c r="DG46" i="9" s="1"/>
  <c r="DH52" i="9" a="1"/>
  <c r="DH52" i="9" s="1"/>
  <c r="DQ32" i="9" a="1"/>
  <c r="DQ32" i="9" s="1"/>
  <c r="DL33" i="9" a="1"/>
  <c r="DL33" i="9" s="1"/>
  <c r="DP38" i="9" a="1"/>
  <c r="DP38" i="9" s="1"/>
  <c r="EB46" i="9" a="1"/>
  <c r="EB46" i="9" s="1"/>
  <c r="DE67" i="9" a="1"/>
  <c r="DE67" i="9" s="1"/>
  <c r="DH35" i="9" a="1"/>
  <c r="DH35" i="9" s="1"/>
  <c r="DJ14" i="9" a="1"/>
  <c r="DJ14" i="9" s="1"/>
  <c r="EB9" i="9" a="1"/>
  <c r="EB9" i="9" s="1"/>
  <c r="DE32" i="9" a="1"/>
  <c r="DE32" i="9" s="1"/>
  <c r="DL41" i="9" a="1"/>
  <c r="DL41" i="9" s="1"/>
  <c r="DW29" i="9" a="1"/>
  <c r="DW29" i="9" s="1"/>
  <c r="DE38" i="9" a="1"/>
  <c r="DE38" i="9" s="1"/>
  <c r="DS48" i="9" a="1"/>
  <c r="DS48" i="9" s="1"/>
  <c r="DN14" i="9" a="1"/>
  <c r="DN14" i="9" s="1"/>
  <c r="DY88" i="9" a="1"/>
  <c r="DY88" i="9" s="1"/>
  <c r="DS110" i="9" a="1"/>
  <c r="DS110" i="9" s="1"/>
  <c r="EC62" i="9" a="1"/>
  <c r="EC62" i="9" s="1"/>
  <c r="DV60" i="9" a="1"/>
  <c r="DV60" i="9" s="1"/>
  <c r="DE101" i="9" a="1"/>
  <c r="DE101" i="9" s="1"/>
  <c r="EB44" i="9" a="1"/>
  <c r="EB44" i="9" s="1"/>
  <c r="DG60" i="9" a="1"/>
  <c r="DG60" i="9" s="1"/>
  <c r="DE75" i="9" a="1"/>
  <c r="DE75" i="9" s="1"/>
  <c r="DK100" i="9" a="1"/>
  <c r="DK100" i="9" s="1"/>
  <c r="DK90" i="9" a="1"/>
  <c r="DK90" i="9" s="1"/>
  <c r="DE112" i="9" a="1"/>
  <c r="DE112" i="9" s="1"/>
  <c r="DQ65" i="9" a="1"/>
  <c r="DQ65" i="9" s="1"/>
  <c r="DH62" i="9" a="1"/>
  <c r="DH62" i="9" s="1"/>
  <c r="DV89" i="9" a="1"/>
  <c r="DV89" i="9" s="1"/>
  <c r="EB100" i="9" a="1"/>
  <c r="EB100" i="9" s="1"/>
  <c r="DP106" i="9" a="1"/>
  <c r="DP106" i="9" s="1"/>
  <c r="DC57" i="9" a="1"/>
  <c r="DC57" i="9" s="1"/>
  <c r="DJ58" i="9" a="1"/>
  <c r="DJ58" i="9" s="1"/>
  <c r="DS98" i="9" a="1"/>
  <c r="DS98" i="9" s="1"/>
  <c r="DZ13" i="9" a="1"/>
  <c r="DZ13" i="9" s="1"/>
  <c r="DK11" i="9" a="1"/>
  <c r="DK11" i="9" s="1"/>
  <c r="DV10" i="9" a="1"/>
  <c r="DV10" i="9" s="1"/>
  <c r="DH42" i="9" a="1"/>
  <c r="DH42" i="9" s="1"/>
  <c r="DL104" i="9" a="1"/>
  <c r="DL104" i="9" s="1"/>
  <c r="DH60" i="9" a="1"/>
  <c r="DH60" i="9" s="1"/>
  <c r="DQ70" i="9" a="1"/>
  <c r="DQ70" i="9" s="1"/>
  <c r="DD71" i="9" a="1"/>
  <c r="DD71" i="9" s="1"/>
  <c r="DW103" i="9" a="1"/>
  <c r="DW103" i="9" s="1"/>
  <c r="DT73" i="9" a="1"/>
  <c r="DT73" i="9" s="1"/>
  <c r="DG80" i="9" a="1"/>
  <c r="DG80" i="9" s="1"/>
  <c r="DN84" i="9" a="1"/>
  <c r="DN84" i="9" s="1"/>
  <c r="DH32" i="9" a="1"/>
  <c r="DH32" i="9" s="1"/>
  <c r="DM108" i="9" a="1"/>
  <c r="DM108" i="9" s="1"/>
  <c r="DE51" i="9" a="1"/>
  <c r="DE51" i="9" s="1"/>
  <c r="DP73" i="9" a="1"/>
  <c r="DP73" i="9" s="1"/>
  <c r="DQ72" i="9" a="1"/>
  <c r="DQ72" i="9" s="1"/>
  <c r="DN105" i="9" a="1"/>
  <c r="DN105" i="9" s="1"/>
  <c r="DV107" i="9" a="1"/>
  <c r="DV107" i="9" s="1"/>
  <c r="DC55" i="9" a="1"/>
  <c r="DC55" i="9" s="1"/>
  <c r="DH80" i="9" a="1"/>
  <c r="DH80" i="9" s="1"/>
  <c r="DH78" i="9" a="1"/>
  <c r="DH78" i="9" s="1"/>
  <c r="EC106" i="9" a="1"/>
  <c r="EC106" i="9" s="1"/>
  <c r="DV30" i="9" a="1"/>
  <c r="DV30" i="9" s="1"/>
  <c r="DP12" i="9" a="1"/>
  <c r="DP12" i="9" s="1"/>
  <c r="DK18" i="9" a="1"/>
  <c r="DK18" i="9" s="1"/>
  <c r="DC11" i="9" a="1"/>
  <c r="DC11" i="9" s="1"/>
  <c r="DD24" i="9" a="1"/>
  <c r="DD24" i="9" s="1"/>
  <c r="EC21" i="9" a="1"/>
  <c r="EC21" i="9" s="1"/>
  <c r="DG57" i="9" a="1"/>
  <c r="DG57" i="9" s="1"/>
  <c r="DK74" i="9" a="1"/>
  <c r="DK74" i="9" s="1"/>
  <c r="DH88" i="9" a="1"/>
  <c r="DH88" i="9" s="1"/>
  <c r="DN13" i="9" a="1"/>
  <c r="DN13" i="9" s="1"/>
  <c r="DJ81" i="9" a="1"/>
  <c r="DJ81" i="9" s="1"/>
  <c r="EC86" i="9" a="1"/>
  <c r="EC86" i="9" s="1"/>
  <c r="DQ101" i="9" a="1"/>
  <c r="DQ101" i="9" s="1"/>
  <c r="DP46" i="9" a="1"/>
  <c r="DP46" i="9" s="1"/>
  <c r="DP80" i="9" a="1"/>
  <c r="DP80" i="9" s="1"/>
  <c r="DW58" i="9" a="1"/>
  <c r="DW58" i="9" s="1"/>
  <c r="DS75" i="9" a="1"/>
  <c r="DS75" i="9" s="1"/>
  <c r="EC89" i="9" a="1"/>
  <c r="EC89" i="9" s="1"/>
  <c r="DZ18" i="9" a="1"/>
  <c r="DZ18" i="9" s="1"/>
  <c r="DW55" i="9" a="1"/>
  <c r="DW55" i="9" s="1"/>
  <c r="DN55" i="9" a="1"/>
  <c r="DN55" i="9" s="1"/>
  <c r="DW81" i="9" a="1"/>
  <c r="DW81" i="9" s="1"/>
  <c r="DG85" i="9" a="1"/>
  <c r="DG85" i="9" s="1"/>
  <c r="EC33" i="9" a="1"/>
  <c r="EC33" i="9" s="1"/>
  <c r="DZ51" i="9" a="1"/>
  <c r="DZ51" i="9" s="1"/>
  <c r="DN54" i="9" a="1"/>
  <c r="DN54" i="9" s="1"/>
  <c r="DD52" i="9" a="1"/>
  <c r="DD52" i="9" s="1"/>
  <c r="DP47" i="9" a="1"/>
  <c r="DP47" i="9" s="1"/>
  <c r="DN76" i="9" a="1"/>
  <c r="DN76" i="9" s="1"/>
  <c r="DY22" i="9" a="1"/>
  <c r="DY22" i="9" s="1"/>
  <c r="EC9" i="9" a="1"/>
  <c r="EC9" i="9" s="1"/>
  <c r="DG11" i="9" a="1"/>
  <c r="DG11" i="9" s="1"/>
  <c r="DT20" i="9" a="1"/>
  <c r="DT20" i="9" s="1"/>
  <c r="DZ17" i="9" a="1"/>
  <c r="DZ17" i="9" s="1"/>
  <c r="DG34" i="9" a="1"/>
  <c r="DG34" i="9" s="1"/>
  <c r="DL60" i="9" a="1"/>
  <c r="DL60" i="9" s="1"/>
  <c r="DE88" i="9" a="1"/>
  <c r="DE88" i="9" s="1"/>
  <c r="DN91" i="9" a="1"/>
  <c r="DN91" i="9" s="1"/>
  <c r="DY39" i="9" a="1"/>
  <c r="DY39" i="9" s="1"/>
  <c r="DL79" i="9" a="1"/>
  <c r="DL79" i="9" s="1"/>
  <c r="DL100" i="9" a="1"/>
  <c r="DL100" i="9" s="1"/>
  <c r="DG105" i="9" a="1"/>
  <c r="DG105" i="9" s="1"/>
  <c r="DJ52" i="9" a="1"/>
  <c r="DJ52" i="9" s="1"/>
  <c r="DZ78" i="9" a="1"/>
  <c r="DZ78" i="9" s="1"/>
  <c r="DY61" i="9" a="1"/>
  <c r="DY61" i="9" s="1"/>
  <c r="DZ89" i="9" a="1"/>
  <c r="DZ89" i="9" s="1"/>
  <c r="DM94" i="9" a="1"/>
  <c r="DM94" i="9" s="1"/>
  <c r="DM42" i="9" a="1"/>
  <c r="DM42" i="9" s="1"/>
  <c r="DH68" i="9" a="1"/>
  <c r="DH68" i="9" s="1"/>
  <c r="DW72" i="9" a="1"/>
  <c r="DW72" i="9" s="1"/>
  <c r="DD87" i="9" a="1"/>
  <c r="DD87" i="9" s="1"/>
  <c r="DT98" i="9" a="1"/>
  <c r="DT98" i="9" s="1"/>
  <c r="DE52" i="9" a="1"/>
  <c r="DE52" i="9" s="1"/>
  <c r="DM71" i="9" a="1"/>
  <c r="DM71" i="9" s="1"/>
  <c r="DN38" i="9" a="1"/>
  <c r="DN38" i="9" s="1"/>
  <c r="EB39" i="9" a="1"/>
  <c r="EB39" i="9" s="1"/>
  <c r="EC42" i="9" a="1"/>
  <c r="EC42" i="9" s="1"/>
  <c r="DE55" i="9" a="1"/>
  <c r="DE55" i="9" s="1"/>
  <c r="DZ31" i="9" a="1"/>
  <c r="DZ31" i="9" s="1"/>
  <c r="DY26" i="9" a="1"/>
  <c r="DY26" i="9" s="1"/>
  <c r="DH21" i="9" a="1"/>
  <c r="DH21" i="9" s="1"/>
  <c r="EB26" i="9" a="1"/>
  <c r="EB26" i="9" s="1"/>
  <c r="DD25" i="9" a="1"/>
  <c r="DD25" i="9" s="1"/>
  <c r="DS29" i="9" a="1"/>
  <c r="DS29" i="9" s="1"/>
  <c r="DL25" i="9" a="1"/>
  <c r="DL25" i="9" s="1"/>
  <c r="DN20" i="9" a="1"/>
  <c r="DN20" i="9" s="1"/>
  <c r="DE14" i="9" a="1"/>
  <c r="DE14" i="9" s="1"/>
  <c r="DG66" i="9" a="1"/>
  <c r="DG66" i="9" s="1"/>
  <c r="DD56" i="9" a="1"/>
  <c r="DD56" i="9" s="1"/>
  <c r="DV39" i="9" a="1"/>
  <c r="DV39" i="9" s="1"/>
  <c r="DQ33" i="9" a="1"/>
  <c r="DQ33" i="9" s="1"/>
  <c r="DK37" i="9" a="1"/>
  <c r="DK37" i="9" s="1"/>
  <c r="DQ41" i="9" a="1"/>
  <c r="DQ41" i="9" s="1"/>
  <c r="EB16" i="9" a="1"/>
  <c r="EB16" i="9" s="1"/>
  <c r="DV96" i="9" a="1"/>
  <c r="DV96" i="9" s="1"/>
  <c r="DS13" i="9" a="1"/>
  <c r="DS13" i="9" s="1"/>
  <c r="DW13" i="9" a="1"/>
  <c r="DW13" i="9" s="1"/>
  <c r="DS70" i="9" a="1"/>
  <c r="DS70" i="9" s="1"/>
  <c r="DL46" i="9" a="1"/>
  <c r="DL46" i="9" s="1"/>
  <c r="EB35" i="9" a="1"/>
  <c r="EB35" i="9" s="1"/>
  <c r="DG20" i="9" a="1"/>
  <c r="DG20" i="9" s="1"/>
  <c r="DZ43" i="9" a="1"/>
  <c r="DZ43" i="9" s="1"/>
  <c r="DC50" i="9" a="1"/>
  <c r="DC50" i="9" s="1"/>
  <c r="DH20" i="9" a="1"/>
  <c r="DH20" i="9" s="1"/>
  <c r="DK96" i="9" a="1"/>
  <c r="DK96" i="9" s="1"/>
  <c r="DG111" i="9" a="1"/>
  <c r="DG111" i="9" s="1"/>
  <c r="DP66" i="9" a="1"/>
  <c r="DP66" i="9" s="1"/>
  <c r="DM82" i="9" a="1"/>
  <c r="DM82" i="9" s="1"/>
  <c r="DP91" i="9" a="1"/>
  <c r="DP91" i="9" s="1"/>
  <c r="DV110" i="9" a="1"/>
  <c r="DV110" i="9" s="1"/>
  <c r="DD75" i="9" a="1"/>
  <c r="DD75" i="9" s="1"/>
  <c r="EC92" i="9" a="1"/>
  <c r="EC92" i="9" s="1"/>
  <c r="DQ93" i="9" a="1"/>
  <c r="DQ93" i="9" s="1"/>
  <c r="DJ40" i="9" a="1"/>
  <c r="DJ40" i="9" s="1"/>
  <c r="DT112" i="9" a="1"/>
  <c r="DT112" i="9" s="1"/>
  <c r="DS68" i="9" a="1"/>
  <c r="DS68" i="9" s="1"/>
  <c r="DG84" i="9" a="1"/>
  <c r="DG84" i="9" s="1"/>
  <c r="DD95" i="9" a="1"/>
  <c r="DD95" i="9" s="1"/>
  <c r="DH112" i="9" a="1"/>
  <c r="DH112" i="9" s="1"/>
  <c r="DP44" i="9" a="1"/>
  <c r="DP44" i="9" s="1"/>
  <c r="DQ67" i="9" a="1"/>
  <c r="DQ67" i="9" s="1"/>
  <c r="DN75" i="9" a="1"/>
  <c r="DN75" i="9" s="1"/>
  <c r="DC90" i="9" a="1"/>
  <c r="DC90" i="9" s="1"/>
  <c r="DT27" i="9" a="1"/>
  <c r="DT27" i="9" s="1"/>
  <c r="DC60" i="9" a="1"/>
  <c r="DC60" i="9" s="1"/>
  <c r="DM50" i="9" a="1"/>
  <c r="DM50" i="9" s="1"/>
  <c r="DN65" i="9" a="1"/>
  <c r="DN65" i="9" s="1"/>
  <c r="EC61" i="9" a="1"/>
  <c r="EC61" i="9" s="1"/>
  <c r="DC98" i="9" a="1"/>
  <c r="DC98" i="9" s="1"/>
  <c r="EB11" i="9" a="1"/>
  <c r="EB11" i="9" s="1"/>
  <c r="DT17" i="9" a="1"/>
  <c r="DT17" i="9" s="1"/>
  <c r="DM75" i="9" a="1"/>
  <c r="DM75" i="9" s="1"/>
  <c r="DS91" i="9" a="1"/>
  <c r="DS91" i="9" s="1"/>
  <c r="DZ100" i="9" a="1"/>
  <c r="DZ100" i="9" s="1"/>
  <c r="DT50" i="9" a="1"/>
  <c r="DT50" i="9" s="1"/>
  <c r="DS97" i="9" a="1"/>
  <c r="DS97" i="9" s="1"/>
  <c r="DL105" i="9" a="1"/>
  <c r="DL105" i="9" s="1"/>
  <c r="DD11" i="9" a="1"/>
  <c r="DD11" i="9" s="1"/>
  <c r="DZ56" i="9" a="1"/>
  <c r="DZ56" i="9" s="1"/>
  <c r="DD96" i="9" a="1"/>
  <c r="DD96" i="9" s="1"/>
  <c r="DG77" i="9" a="1"/>
  <c r="DG77" i="9" s="1"/>
  <c r="EC94" i="9" a="1"/>
  <c r="EC94" i="9" s="1"/>
  <c r="DL102" i="9" a="1"/>
  <c r="DL102" i="9" s="1"/>
  <c r="DK52" i="9" a="1"/>
  <c r="DK52" i="9" s="1"/>
  <c r="DW76" i="9" a="1"/>
  <c r="DW76" i="9" s="1"/>
  <c r="DZ77" i="9" a="1"/>
  <c r="DZ77" i="9" s="1"/>
  <c r="DW98" i="9" a="1"/>
  <c r="DW98" i="9" s="1"/>
  <c r="DQ105" i="9" a="1"/>
  <c r="DQ105" i="9" s="1"/>
  <c r="DP50" i="9" a="1"/>
  <c r="DP50" i="9" s="1"/>
  <c r="DE77" i="9" a="1"/>
  <c r="DE77" i="9" s="1"/>
  <c r="EB34" i="9" a="1"/>
  <c r="EB34" i="9" s="1"/>
  <c r="DD33" i="9" a="1"/>
  <c r="DD33" i="9" s="1"/>
  <c r="DM41" i="9" a="1"/>
  <c r="DM41" i="9" s="1"/>
  <c r="DC62" i="9" a="1"/>
  <c r="DC62" i="9" s="1"/>
  <c r="DZ59" i="9" a="1"/>
  <c r="DZ59" i="9" s="1"/>
  <c r="DW100" i="9" a="1"/>
  <c r="DW100" i="9" s="1"/>
  <c r="DG54" i="9" a="1"/>
  <c r="DG54" i="9" s="1"/>
  <c r="DY60" i="9" a="1"/>
  <c r="DY60" i="9" s="1"/>
  <c r="DM68" i="9" a="1"/>
  <c r="DM68" i="9" s="1"/>
  <c r="DK112" i="9" a="1"/>
  <c r="DK112" i="9" s="1"/>
  <c r="DT64" i="9" a="1"/>
  <c r="DT64" i="9" s="1"/>
  <c r="DJ75" i="9" a="1"/>
  <c r="DJ75" i="9" s="1"/>
  <c r="EB82" i="9" a="1"/>
  <c r="EB82" i="9" s="1"/>
  <c r="DZ111" i="9" a="1"/>
  <c r="DZ111" i="9" s="1"/>
  <c r="DL92" i="9" a="1"/>
  <c r="DL92" i="9" s="1"/>
  <c r="DE39" i="9" a="1"/>
  <c r="DE39" i="9" s="1"/>
  <c r="DK62" i="9" a="1"/>
  <c r="DK62" i="9" s="1"/>
  <c r="DG70" i="9" a="1"/>
  <c r="DG70" i="9" s="1"/>
  <c r="DZ91" i="9" a="1"/>
  <c r="DZ91" i="9" s="1"/>
  <c r="DV105" i="9" a="1"/>
  <c r="DV105" i="9" s="1"/>
  <c r="DH54" i="9" a="1"/>
  <c r="DH54" i="9" s="1"/>
  <c r="DM58" i="9" a="1"/>
  <c r="DM58" i="9" s="1"/>
  <c r="DL83" i="9" a="1"/>
  <c r="DL83" i="9" s="1"/>
  <c r="DH104" i="9" a="1"/>
  <c r="DH104" i="9" s="1"/>
  <c r="DK28" i="9" a="1"/>
  <c r="DK28" i="9" s="1"/>
  <c r="DY12" i="9" a="1"/>
  <c r="DY12" i="9" s="1"/>
  <c r="DG12" i="9" a="1"/>
  <c r="DG12" i="9" s="1"/>
  <c r="DL13" i="9" a="1"/>
  <c r="DL13" i="9" s="1"/>
  <c r="DY19" i="9" a="1"/>
  <c r="DY19" i="9" s="1"/>
  <c r="DW17" i="9" a="1"/>
  <c r="DW17" i="9" s="1"/>
  <c r="DK20" i="9" a="1"/>
  <c r="DK20" i="9" s="1"/>
  <c r="DT11" i="9" a="1"/>
  <c r="DT11" i="9" s="1"/>
  <c r="DL9" i="9" a="1"/>
  <c r="DL9" i="9" s="1"/>
  <c r="EB14" i="9" a="1"/>
  <c r="EB14" i="9" s="1"/>
  <c r="EB99" i="9" a="1"/>
  <c r="EB99" i="9" s="1"/>
  <c r="DE49" i="9" a="1"/>
  <c r="DE49" i="9" s="1"/>
  <c r="DC64" i="9" a="1"/>
  <c r="DC64" i="9" s="1"/>
  <c r="EB78" i="9" a="1"/>
  <c r="EB78" i="9" s="1"/>
  <c r="DC105" i="9" a="1"/>
  <c r="DC105" i="9" s="1"/>
  <c r="DD66" i="9" a="1"/>
  <c r="DD66" i="9" s="1"/>
  <c r="DC83" i="9" a="1"/>
  <c r="DC83" i="9" s="1"/>
  <c r="DQ88" i="9" a="1"/>
  <c r="DQ88" i="9" s="1"/>
  <c r="EC25" i="9" a="1"/>
  <c r="EC25" i="9" s="1"/>
  <c r="DS101" i="9" a="1"/>
  <c r="DS101" i="9" s="1"/>
  <c r="DZ50" i="9" a="1"/>
  <c r="DZ50" i="9" s="1"/>
  <c r="DP65" i="9" a="1"/>
  <c r="DP65" i="9" s="1"/>
  <c r="DS80" i="9" a="1"/>
  <c r="DS80" i="9" s="1"/>
  <c r="DC101" i="9" a="1"/>
  <c r="DC101" i="9" s="1"/>
  <c r="DM107" i="9" a="1"/>
  <c r="DM107" i="9" s="1"/>
  <c r="DY54" i="9" a="1"/>
  <c r="DY54" i="9" s="1"/>
  <c r="EC73" i="9" a="1"/>
  <c r="EC73" i="9" s="1"/>
  <c r="DN81" i="9" a="1"/>
  <c r="DN81" i="9" s="1"/>
  <c r="DS106" i="9" a="1"/>
  <c r="DS106" i="9" s="1"/>
  <c r="DK22" i="9" a="1"/>
  <c r="DK22" i="9" s="1"/>
  <c r="DM37" i="9" a="1"/>
  <c r="DM37" i="9" s="1"/>
  <c r="DK34" i="9" a="1"/>
  <c r="DK34" i="9" s="1"/>
  <c r="DM29" i="9" a="1"/>
  <c r="DM29" i="9" s="1"/>
  <c r="DW30" i="9" a="1"/>
  <c r="DW30" i="9" s="1"/>
  <c r="DH28" i="9" a="1"/>
  <c r="DH28" i="9" s="1"/>
  <c r="DP27" i="9" a="1"/>
  <c r="DP27" i="9" s="1"/>
  <c r="DV46" i="9" a="1"/>
  <c r="DV46" i="9" s="1"/>
  <c r="DN59" i="9" a="1"/>
  <c r="DN59" i="9" s="1"/>
  <c r="DD51" i="9" a="1"/>
  <c r="DD51" i="9" s="1"/>
  <c r="DY82" i="9" a="1"/>
  <c r="DY82" i="9" s="1"/>
  <c r="EC28" i="9" a="1"/>
  <c r="EC28" i="9" s="1"/>
  <c r="DS26" i="9" a="1"/>
  <c r="DS26" i="9" s="1"/>
  <c r="DC26" i="9" a="1"/>
  <c r="DC26" i="9" s="1"/>
  <c r="DQ13" i="9" a="1"/>
  <c r="DQ13" i="9" s="1"/>
  <c r="DT31" i="9" a="1"/>
  <c r="DT31" i="9" s="1"/>
  <c r="DV19" i="9" a="1"/>
  <c r="DV19" i="9" s="1"/>
  <c r="DZ22" i="9" a="1"/>
  <c r="DZ22" i="9" s="1"/>
  <c r="DG22" i="9" a="1"/>
  <c r="DG22" i="9" s="1"/>
  <c r="DJ63" i="9" a="1"/>
  <c r="DJ63" i="9" s="1"/>
  <c r="DW63" i="9" a="1"/>
  <c r="DW63" i="9" s="1"/>
  <c r="EC29" i="9" a="1"/>
  <c r="EC29" i="9" s="1"/>
  <c r="DD10" i="9" a="1"/>
  <c r="DD10" i="9" s="1"/>
  <c r="DM9" i="9" a="1"/>
  <c r="DM9" i="9" s="1"/>
  <c r="DL18" i="9" a="1"/>
  <c r="DL18" i="9" s="1"/>
  <c r="DD9" i="9" a="1"/>
  <c r="DD9" i="9" s="1"/>
  <c r="DS105" i="9" a="1"/>
  <c r="DS105" i="9" s="1"/>
  <c r="DM38" i="9" a="1"/>
  <c r="DM38" i="9" s="1"/>
  <c r="DT22" i="9" a="1"/>
  <c r="DT22" i="9" s="1"/>
  <c r="DT21" i="9" a="1"/>
  <c r="DT21" i="9" s="1"/>
  <c r="DY69" i="9" a="1"/>
  <c r="DY69" i="9" s="1"/>
  <c r="DK88" i="9" a="1"/>
  <c r="DK88" i="9" s="1"/>
  <c r="DL91" i="9" a="1"/>
  <c r="DL91" i="9" s="1"/>
  <c r="EC44" i="9" a="1"/>
  <c r="EC44" i="9" s="1"/>
  <c r="DM79" i="9" a="1"/>
  <c r="DM79" i="9" s="1"/>
  <c r="DT101" i="9" a="1"/>
  <c r="DT101" i="9" s="1"/>
  <c r="DK109" i="9" a="1"/>
  <c r="DK109" i="9" s="1"/>
  <c r="DE59" i="9" a="1"/>
  <c r="DE59" i="9" s="1"/>
  <c r="EC78" i="9" a="1"/>
  <c r="EC78" i="9" s="1"/>
  <c r="DK72" i="9" a="1"/>
  <c r="DK72" i="9" s="1"/>
  <c r="DE90" i="9" a="1"/>
  <c r="DE90" i="9" s="1"/>
  <c r="DY92" i="9" a="1"/>
  <c r="DY92" i="9" s="1"/>
  <c r="DW46" i="9" a="1"/>
  <c r="DW46" i="9" s="1"/>
  <c r="DY70" i="9" a="1"/>
  <c r="DY70" i="9" s="1"/>
  <c r="DP79" i="9" a="1"/>
  <c r="DP79" i="9" s="1"/>
  <c r="DK85" i="9" a="1"/>
  <c r="DK85" i="9" s="1"/>
  <c r="DJ98" i="9" a="1"/>
  <c r="DJ98" i="9" s="1"/>
  <c r="DC45" i="9" a="1"/>
  <c r="DC45" i="9" s="1"/>
  <c r="DC79" i="9" a="1"/>
  <c r="DC79" i="9" s="1"/>
  <c r="DD26" i="9" a="1"/>
  <c r="DD26" i="9" s="1"/>
  <c r="DH31" i="9" a="1"/>
  <c r="DH31" i="9" s="1"/>
  <c r="DQ28" i="9" a="1"/>
  <c r="DQ28" i="9" s="1"/>
  <c r="DK51" i="9" a="1"/>
  <c r="DK51" i="9" s="1"/>
  <c r="DV36" i="9" a="1"/>
  <c r="DV36" i="9" s="1"/>
  <c r="DH33" i="9" a="1"/>
  <c r="DH33" i="9" s="1"/>
  <c r="DW90" i="9" a="1"/>
  <c r="DW90" i="9" s="1"/>
  <c r="DM102" i="9" a="1"/>
  <c r="DM102" i="9" s="1"/>
  <c r="DD106" i="9" a="1"/>
  <c r="DD106" i="9" s="1"/>
  <c r="DC67" i="9" a="1"/>
  <c r="DC67" i="9" s="1"/>
  <c r="DD93" i="9" a="1"/>
  <c r="DD93" i="9" s="1"/>
  <c r="EC39" i="9" a="1"/>
  <c r="EC39" i="9" s="1"/>
  <c r="DH63" i="9" a="1"/>
  <c r="DH63" i="9" s="1"/>
  <c r="EB70" i="9" a="1"/>
  <c r="EB70" i="9" s="1"/>
  <c r="DT92" i="9" a="1"/>
  <c r="DT92" i="9" s="1"/>
  <c r="DD94" i="9" a="1"/>
  <c r="DD94" i="9" s="1"/>
  <c r="DN104" i="9" a="1"/>
  <c r="DN104" i="9" s="1"/>
  <c r="DZ106" i="9" a="1"/>
  <c r="DZ106" i="9" s="1"/>
  <c r="DC58" i="9" a="1"/>
  <c r="DC58" i="9" s="1"/>
  <c r="DZ92" i="9" a="1"/>
  <c r="DZ92" i="9" s="1"/>
  <c r="DS89" i="9" a="1"/>
  <c r="DS89" i="9" s="1"/>
  <c r="DL111" i="9" a="1"/>
  <c r="DL111" i="9" s="1"/>
  <c r="DL64" i="9" a="1"/>
  <c r="DL64" i="9" s="1"/>
  <c r="DN61" i="9" a="1"/>
  <c r="DN61" i="9" s="1"/>
  <c r="DC89" i="9" a="1"/>
  <c r="DC89" i="9" s="1"/>
  <c r="DZ29" i="9" a="1"/>
  <c r="DZ29" i="9" s="1"/>
  <c r="DK27" i="9" a="1"/>
  <c r="DK27" i="9" s="1"/>
  <c r="DV26" i="9" a="1"/>
  <c r="DV26" i="9" s="1"/>
  <c r="DC40" i="9" a="1"/>
  <c r="DC40" i="9" s="1"/>
  <c r="EB40" i="9" a="1"/>
  <c r="EB40" i="9" s="1"/>
  <c r="DQ106" i="9" a="1"/>
  <c r="DQ106" i="9" s="1"/>
  <c r="DM54" i="9" a="1"/>
  <c r="DM54" i="9" s="1"/>
  <c r="DE73" i="9" a="1"/>
  <c r="DE73" i="9" s="1"/>
  <c r="DQ80" i="9" a="1"/>
  <c r="DQ80" i="9" s="1"/>
  <c r="DQ112" i="9" a="1"/>
  <c r="DQ112" i="9" s="1"/>
  <c r="DV62" i="9" a="1"/>
  <c r="DV62" i="9" s="1"/>
  <c r="DS90" i="9" a="1"/>
  <c r="DS90" i="9" s="1"/>
  <c r="DC97" i="9" a="1"/>
  <c r="DC97" i="9" s="1"/>
  <c r="DG44" i="9" a="1"/>
  <c r="DG44" i="9" s="1"/>
  <c r="DJ108" i="9" a="1"/>
  <c r="DJ108" i="9" s="1"/>
  <c r="DQ56" i="9" a="1"/>
  <c r="DQ56" i="9" s="1"/>
  <c r="DZ74" i="9" a="1"/>
  <c r="DZ74" i="9" s="1"/>
  <c r="DC82" i="9" a="1"/>
  <c r="DC82" i="9" s="1"/>
  <c r="DQ107" i="9" a="1"/>
  <c r="DQ107" i="9" s="1"/>
  <c r="DT108" i="9" a="1"/>
  <c r="DT108" i="9" s="1"/>
  <c r="DG62" i="9" a="1"/>
  <c r="DG62" i="9" s="1"/>
  <c r="DC80" i="9" a="1"/>
  <c r="DC80" i="9" s="1"/>
  <c r="DZ88" i="9" a="1"/>
  <c r="DZ88" i="9" s="1"/>
  <c r="DH108" i="9" a="1"/>
  <c r="DH108" i="9" s="1"/>
  <c r="DT39" i="9" a="1"/>
  <c r="DT39" i="9" s="1"/>
  <c r="EB21" i="9" a="1"/>
  <c r="EB21" i="9" s="1"/>
  <c r="DS25" i="9" a="1"/>
  <c r="DS25" i="9" s="1"/>
  <c r="DM18" i="9" a="1"/>
  <c r="DM18" i="9" s="1"/>
  <c r="DW14" i="9" a="1"/>
  <c r="DW14" i="9" s="1"/>
  <c r="DH12" i="9" a="1"/>
  <c r="DH12" i="9" s="1"/>
  <c r="DP11" i="9" a="1"/>
  <c r="DP11" i="9" s="1"/>
  <c r="DQ74" i="9" a="1"/>
  <c r="DQ74" i="9" s="1"/>
  <c r="EB17" i="9" a="1"/>
  <c r="EB17" i="9" s="1"/>
  <c r="DY11" i="9" a="1"/>
  <c r="DY11" i="9" s="1"/>
  <c r="DQ11" i="9" a="1"/>
  <c r="DQ11" i="9" s="1"/>
  <c r="DG13" i="9" a="1"/>
  <c r="DG13" i="9" s="1"/>
  <c r="DN34" i="9" a="1"/>
  <c r="DN34" i="9" s="1"/>
  <c r="DT68" i="9" a="1"/>
  <c r="DT68" i="9" s="1"/>
  <c r="DN92" i="9" a="1"/>
  <c r="DN92" i="9" s="1"/>
  <c r="DG99" i="9" a="1"/>
  <c r="DG99" i="9" s="1"/>
  <c r="DV65" i="9" a="1"/>
  <c r="DV65" i="9" s="1"/>
  <c r="DK44" i="9" a="1"/>
  <c r="DK44" i="9" s="1"/>
  <c r="EB25" i="9" a="1"/>
  <c r="EB25" i="9" s="1"/>
  <c r="DW95" i="9" a="1"/>
  <c r="DW95" i="9" s="1"/>
  <c r="DY13" i="9" a="1"/>
  <c r="DY13" i="9" s="1"/>
  <c r="DZ27" i="9" a="1"/>
  <c r="DZ27" i="9" s="1"/>
  <c r="DJ22" i="9" a="1"/>
  <c r="DJ22" i="9" s="1"/>
  <c r="DW34" i="9" a="1"/>
  <c r="DW34" i="9" s="1"/>
  <c r="DS17" i="9" a="1"/>
  <c r="DS17" i="9" s="1"/>
  <c r="DC14" i="9" a="1"/>
  <c r="DC14" i="9" s="1"/>
  <c r="DE111" i="9" a="1"/>
  <c r="DE111" i="9" s="1"/>
  <c r="EC112" i="9" a="1"/>
  <c r="EC112" i="9" s="1"/>
  <c r="DL75" i="9" a="1"/>
  <c r="DL75" i="9" s="1"/>
  <c r="DP67" i="9" a="1"/>
  <c r="DP67" i="9" s="1"/>
  <c r="DD37" i="9" a="1"/>
  <c r="DD37" i="9" s="1"/>
  <c r="DG40" i="9" a="1"/>
  <c r="DG40" i="9" s="1"/>
  <c r="DS82" i="9" a="1"/>
  <c r="DS82" i="9" s="1"/>
  <c r="DM11" i="9" a="1"/>
  <c r="DM11" i="9" s="1"/>
  <c r="DG24" i="9" a="1"/>
  <c r="DG24" i="9" s="1"/>
  <c r="DD46" i="9" a="1"/>
  <c r="DD46" i="9" s="1"/>
  <c r="DE69" i="9" a="1"/>
  <c r="DE69" i="9" s="1"/>
  <c r="DS37" i="9" a="1"/>
  <c r="DS37" i="9" s="1"/>
  <c r="EB52" i="9" a="1"/>
  <c r="EB52" i="9" s="1"/>
  <c r="DD73" i="9" a="1"/>
  <c r="DD73" i="9" s="1"/>
  <c r="DK98" i="9" a="1"/>
  <c r="DK98" i="9" s="1"/>
  <c r="DD76" i="9" a="1"/>
  <c r="DD76" i="9" s="1"/>
  <c r="EB15" i="9" a="1"/>
  <c r="EB15" i="9" s="1"/>
  <c r="DW42" i="9" a="1"/>
  <c r="DW42" i="9" s="1"/>
  <c r="DG31" i="9" a="1"/>
  <c r="DG31" i="9" s="1"/>
  <c r="EB43" i="9" a="1"/>
  <c r="EB43" i="9" s="1"/>
  <c r="DL38" i="9" a="1"/>
  <c r="DL38" i="9" s="1"/>
  <c r="DH66" i="9" a="1"/>
  <c r="DH66" i="9" s="1"/>
  <c r="DD69" i="9" a="1"/>
  <c r="DD69" i="9" s="1"/>
  <c r="DK108" i="9" a="1"/>
  <c r="DK108" i="9" s="1"/>
  <c r="DZ107" i="9" a="1"/>
  <c r="DZ107" i="9" s="1"/>
  <c r="DY85" i="9" a="1"/>
  <c r="DY85" i="9" s="1"/>
  <c r="DL69" i="9" a="1"/>
  <c r="DL69" i="9" s="1"/>
  <c r="DV47" i="9" a="1"/>
  <c r="DV47" i="9" s="1"/>
  <c r="DG55" i="9" a="1"/>
  <c r="DG55" i="9" s="1"/>
  <c r="DT65" i="9" a="1"/>
  <c r="DT65" i="9" s="1"/>
  <c r="DW92" i="9" a="1"/>
  <c r="DW92" i="9" s="1"/>
  <c r="DT96" i="9" a="1"/>
  <c r="DT96" i="9" s="1"/>
  <c r="DM27" i="9" a="1"/>
  <c r="DM27" i="9" s="1"/>
  <c r="DW61" i="9" a="1"/>
  <c r="DW61" i="9" s="1"/>
  <c r="DH72" i="9" a="1"/>
  <c r="DH72" i="9" s="1"/>
  <c r="DJ110" i="9" a="1"/>
  <c r="DJ110" i="9" s="1"/>
  <c r="DV94" i="9" a="1"/>
  <c r="DV94" i="9" s="1"/>
  <c r="EB93" i="9" a="1"/>
  <c r="EB93" i="9" s="1"/>
  <c r="DP25" i="9" a="1"/>
  <c r="DP25" i="9" s="1"/>
  <c r="DC37" i="9" a="1"/>
  <c r="DC37" i="9" s="1"/>
  <c r="DE86" i="9" a="1"/>
  <c r="DE86" i="9" s="1"/>
  <c r="DW38" i="9" a="1"/>
  <c r="DW38" i="9" s="1"/>
  <c r="DD47" i="9" a="1"/>
  <c r="DD47" i="9" s="1"/>
  <c r="DM20" i="9" a="1"/>
  <c r="DM20" i="9" s="1"/>
  <c r="DS69" i="9" a="1"/>
  <c r="DS69" i="9" s="1"/>
  <c r="DG16" i="9" a="1"/>
  <c r="DG16" i="9" s="1"/>
  <c r="DK35" i="9" a="1"/>
  <c r="DK35" i="9" s="1"/>
  <c r="DQ60" i="9" a="1"/>
  <c r="DQ60" i="9" s="1"/>
  <c r="DQ21" i="9" a="1"/>
  <c r="DQ21" i="9" s="1"/>
  <c r="DY102" i="9" a="1"/>
  <c r="DY102" i="9" s="1"/>
  <c r="DP69" i="9" a="1"/>
  <c r="DP69" i="9" s="1"/>
  <c r="DQ17" i="9" a="1"/>
  <c r="DQ17" i="9" s="1"/>
  <c r="DE22" i="9" a="1"/>
  <c r="DE22" i="9" s="1"/>
  <c r="DN35" i="9" a="1"/>
  <c r="DN35" i="9" s="1"/>
  <c r="DD14" i="9" a="1"/>
  <c r="DD14" i="9" s="1"/>
  <c r="DN15" i="9" a="1"/>
  <c r="DN15" i="9" s="1"/>
  <c r="DC22" i="9" a="1"/>
  <c r="DC22" i="9" s="1"/>
  <c r="DY23" i="9" a="1"/>
  <c r="DY23" i="9" s="1"/>
  <c r="DW52" i="9" a="1"/>
  <c r="DW52" i="9" s="1"/>
  <c r="DL95" i="9" a="1"/>
  <c r="DL95" i="9" s="1"/>
  <c r="DD13" i="9" a="1"/>
  <c r="DD13" i="9" s="1"/>
  <c r="DZ11" i="9" a="1"/>
  <c r="DZ11" i="9" s="1"/>
  <c r="DC78" i="9" a="1"/>
  <c r="DC78" i="9" s="1"/>
  <c r="DM70" i="9" a="1"/>
  <c r="DM70" i="9" s="1"/>
  <c r="DH23" i="9" a="1"/>
  <c r="DH23" i="9" s="1"/>
  <c r="DJ29" i="9" a="1"/>
  <c r="DJ29" i="9" s="1"/>
  <c r="DS33" i="9" a="1"/>
  <c r="DS33" i="9" s="1"/>
  <c r="DK79" i="9" a="1"/>
  <c r="DK79" i="9" s="1"/>
  <c r="DS87" i="9" a="1"/>
  <c r="DS87" i="9" s="1"/>
  <c r="DL56" i="9" a="1"/>
  <c r="DL56" i="9" s="1"/>
  <c r="DT13" i="9" a="1"/>
  <c r="DT13" i="9" s="1"/>
  <c r="DQ15" i="9" a="1"/>
  <c r="DQ15" i="9" s="1"/>
  <c r="DT60" i="9" a="1"/>
  <c r="DT60" i="9" s="1"/>
  <c r="DM72" i="9" a="1"/>
  <c r="DM72" i="9" s="1"/>
  <c r="DD90" i="9" a="1"/>
  <c r="DD90" i="9" s="1"/>
  <c r="DJ89" i="9" a="1"/>
  <c r="DJ89" i="9" s="1"/>
  <c r="DM39" i="9" a="1"/>
  <c r="DM39" i="9" s="1"/>
  <c r="DV99" i="9" a="1"/>
  <c r="DV99" i="9" s="1"/>
  <c r="DW18" i="9" a="1"/>
  <c r="DW18" i="9" s="1"/>
  <c r="DJ36" i="9" a="1"/>
  <c r="DJ36" i="9" s="1"/>
  <c r="DW60" i="9" a="1"/>
  <c r="DW60" i="9" s="1"/>
  <c r="DW79" i="9" a="1"/>
  <c r="DW79" i="9" s="1"/>
  <c r="DQ64" i="9" a="1"/>
  <c r="DQ64" i="9" s="1"/>
  <c r="DT41" i="9" a="1"/>
  <c r="DT41" i="9" s="1"/>
  <c r="DM15" i="9" a="1"/>
  <c r="DM15" i="9" s="1"/>
  <c r="EC12" i="9" a="1"/>
  <c r="EC12" i="9" s="1"/>
  <c r="DL101" i="9" a="1"/>
  <c r="DL101" i="9" s="1"/>
  <c r="DD20" i="9" a="1"/>
  <c r="DD20" i="9" s="1"/>
  <c r="DZ110" i="9" a="1"/>
  <c r="DZ110" i="9" s="1"/>
  <c r="DG45" i="9" a="1"/>
  <c r="DG45" i="9" s="1"/>
  <c r="DV84" i="9" a="1"/>
  <c r="DV84" i="9" s="1"/>
  <c r="DS111" i="9" a="1"/>
  <c r="DS111" i="9" s="1"/>
  <c r="DK26" i="9" a="1"/>
  <c r="DK26" i="9" s="1"/>
  <c r="DE43" i="9" a="1"/>
  <c r="DE43" i="9" s="1"/>
  <c r="DM103" i="9" a="1"/>
  <c r="DM103" i="9" s="1"/>
  <c r="DZ48" i="9" a="1"/>
  <c r="DZ48" i="9" s="1"/>
  <c r="DK70" i="9" a="1"/>
  <c r="DK70" i="9" s="1"/>
  <c r="DY10" i="9" a="1"/>
  <c r="DY10" i="9" s="1"/>
  <c r="DN31" i="9" a="1"/>
  <c r="DN31" i="9" s="1"/>
  <c r="DV38" i="9" a="1"/>
  <c r="DV38" i="9" s="1"/>
  <c r="DN93" i="9" a="1"/>
  <c r="DN93" i="9" s="1"/>
  <c r="DJ10" i="9" a="1"/>
  <c r="DJ10" i="9" s="1"/>
  <c r="EC24" i="9" a="1"/>
  <c r="EC24" i="9" s="1"/>
  <c r="DE26" i="9" a="1"/>
  <c r="DE26" i="9" s="1"/>
  <c r="DG50" i="9" a="1"/>
  <c r="DG50" i="9" s="1"/>
  <c r="DM78" i="9" a="1"/>
  <c r="DM78" i="9" s="1"/>
  <c r="DV86" i="9" a="1"/>
  <c r="DV86" i="9" s="1"/>
  <c r="DQ43" i="9" a="1"/>
  <c r="DQ43" i="9" s="1"/>
  <c r="DE19" i="9" a="1"/>
  <c r="DE19" i="9" s="1"/>
  <c r="DK16" i="9" a="1"/>
  <c r="DK16" i="9" s="1"/>
  <c r="DG71" i="9" a="1"/>
  <c r="DG71" i="9" s="1"/>
  <c r="DJ9" i="9" a="1"/>
  <c r="DJ9" i="9" s="1"/>
  <c r="DT45" i="9" a="1"/>
  <c r="DT45" i="9" s="1"/>
  <c r="DV23" i="9" a="1"/>
  <c r="DV23" i="9" s="1"/>
  <c r="EC45" i="9" a="1"/>
  <c r="EC45" i="9" s="1"/>
  <c r="DK77" i="9" a="1"/>
  <c r="DK77" i="9" s="1"/>
  <c r="DV90" i="9" a="1"/>
  <c r="DV90" i="9" s="1"/>
  <c r="DE81" i="9" a="1"/>
  <c r="DE81" i="9" s="1"/>
  <c r="DY71" i="9" a="1"/>
  <c r="DY71" i="9" s="1"/>
  <c r="EB47" i="9" a="1"/>
  <c r="EB47" i="9" s="1"/>
  <c r="DN89" i="9" a="1"/>
  <c r="DN89" i="9" s="1"/>
  <c r="DP101" i="9" a="1"/>
  <c r="DP101" i="9" s="1"/>
  <c r="DG74" i="9" a="1"/>
  <c r="DG74" i="9" s="1"/>
  <c r="DM73" i="9" a="1"/>
  <c r="DM73" i="9" s="1"/>
  <c r="DV54" i="9" a="1"/>
  <c r="DV54" i="9" s="1"/>
  <c r="DE16" i="9" a="1"/>
  <c r="DE16" i="9" s="1"/>
  <c r="DN98" i="9" a="1"/>
  <c r="DN98" i="9" s="1"/>
  <c r="DM112" i="9" a="1"/>
  <c r="DM112" i="9" s="1"/>
  <c r="DT111" i="9" a="1"/>
  <c r="DT111" i="9" s="1"/>
  <c r="DN62" i="9" a="1"/>
  <c r="DN62" i="9" s="1"/>
  <c r="EC64" i="9" a="1"/>
  <c r="EC64" i="9" s="1"/>
  <c r="DW28" i="9" a="1"/>
  <c r="DW28" i="9" s="1"/>
  <c r="DZ32" i="9" a="1"/>
  <c r="DZ32" i="9" s="1"/>
  <c r="DS23" i="9" a="1"/>
  <c r="DS23" i="9" s="1"/>
  <c r="DV85" i="9" a="1"/>
  <c r="DV85" i="9" s="1"/>
  <c r="DM97" i="9" a="1"/>
  <c r="DM97" i="9" s="1"/>
  <c r="DH37" i="9" a="1"/>
  <c r="DH37" i="9" s="1"/>
  <c r="DC85" i="9" a="1"/>
  <c r="DC85" i="9" s="1"/>
  <c r="DT37" i="9" a="1"/>
  <c r="DT37" i="9" s="1"/>
  <c r="DV44" i="9" a="1"/>
  <c r="DV44" i="9" s="1"/>
  <c r="DQ39" i="9" a="1"/>
  <c r="DQ39" i="9" s="1"/>
  <c r="DJ44" i="9" a="1"/>
  <c r="DJ44" i="9" s="1"/>
  <c r="DE83" i="9" a="1"/>
  <c r="DE83" i="9" s="1"/>
  <c r="DN103" i="9" a="1"/>
  <c r="DN103" i="9" s="1"/>
  <c r="DE47" i="9" a="1"/>
  <c r="DE47" i="9" s="1"/>
  <c r="DQ68" i="9" a="1"/>
  <c r="DQ68" i="9" s="1"/>
  <c r="DW99" i="9" a="1"/>
  <c r="DW99" i="9" s="1"/>
  <c r="DP23" i="9" a="1"/>
  <c r="DP23" i="9" s="1"/>
  <c r="DL43" i="9" a="1"/>
  <c r="DL43" i="9" s="1"/>
  <c r="DN24" i="9" a="1"/>
  <c r="DN24" i="9" s="1"/>
  <c r="DG90" i="9" a="1"/>
  <c r="DG90" i="9" s="1"/>
  <c r="DL51" i="9" a="1"/>
  <c r="DL51" i="9" s="1"/>
  <c r="DP70" i="9" a="1"/>
  <c r="DP70" i="9" s="1"/>
  <c r="DT72" i="9" a="1"/>
  <c r="DT72" i="9" s="1"/>
  <c r="DP96" i="9" a="1"/>
  <c r="DP96" i="9" s="1"/>
  <c r="DJ85" i="9" a="1"/>
  <c r="DJ85" i="9" s="1"/>
  <c r="DW47" i="9" a="1"/>
  <c r="DW47" i="9" s="1"/>
  <c r="DC73" i="9" a="1"/>
  <c r="DC73" i="9" s="1"/>
  <c r="DE45" i="9" a="1"/>
  <c r="DE45" i="9" s="1"/>
  <c r="DC21" i="9" a="1"/>
  <c r="DC21" i="9" s="1"/>
  <c r="DG19" i="9" a="1"/>
  <c r="DG19" i="9" s="1"/>
  <c r="DY106" i="9" a="1"/>
  <c r="DY106" i="9" s="1"/>
  <c r="DN112" i="9" a="1"/>
  <c r="DN112" i="9" s="1"/>
  <c r="DE44" i="9" a="1"/>
  <c r="DE44" i="9" s="1"/>
  <c r="DE79" i="9" a="1"/>
  <c r="DE79" i="9" s="1"/>
  <c r="EB71" i="9" a="1"/>
  <c r="EB71" i="9" s="1"/>
  <c r="DJ72" i="9" a="1"/>
  <c r="DJ72" i="9" s="1"/>
  <c r="DW32" i="9" a="1"/>
  <c r="DW32" i="9" s="1"/>
  <c r="DG91" i="9" a="1"/>
  <c r="DG91" i="9" s="1"/>
  <c r="DW112" i="9" a="1"/>
  <c r="DW112" i="9" s="1"/>
  <c r="DH91" i="9" a="1"/>
  <c r="DH91" i="9" s="1"/>
  <c r="DQ79" i="9" a="1"/>
  <c r="DQ79" i="9" s="1"/>
  <c r="DY78" i="9" a="1"/>
  <c r="DY78" i="9" s="1"/>
  <c r="DS31" i="9" a="1"/>
  <c r="DS31" i="9" s="1"/>
  <c r="DP108" i="9" a="1"/>
  <c r="DP108" i="9" s="1"/>
  <c r="EB65" i="9" a="1"/>
  <c r="EB65" i="9" s="1"/>
  <c r="DZ99" i="9" a="1"/>
  <c r="DZ99" i="9" s="1"/>
  <c r="DK99" i="9" a="1"/>
  <c r="DK99" i="9" s="1"/>
  <c r="DL73" i="9" a="1"/>
  <c r="DL73" i="9" s="1"/>
  <c r="DH26" i="9" a="1"/>
  <c r="DH26" i="9" s="1"/>
  <c r="DM30" i="9" a="1"/>
  <c r="DM30" i="9" s="1"/>
  <c r="EB61" i="9" a="1"/>
  <c r="EB61" i="9" s="1"/>
  <c r="DL71" i="9" a="1"/>
  <c r="DL71" i="9" s="1"/>
  <c r="DP21" i="9" a="1"/>
  <c r="DP21" i="9" s="1"/>
  <c r="DN52" i="9" a="1"/>
  <c r="DN52" i="9" s="1"/>
  <c r="DN109" i="9" a="1"/>
  <c r="DN109" i="9" s="1"/>
  <c r="DW48" i="9" a="1"/>
  <c r="DW48" i="9" s="1"/>
  <c r="DV34" i="9" a="1"/>
  <c r="DV34" i="9" s="1"/>
  <c r="DZ96" i="9" a="1"/>
  <c r="DZ96" i="9" s="1"/>
  <c r="EC41" i="9" a="1"/>
  <c r="EC41" i="9" s="1"/>
  <c r="DV103" i="9" a="1"/>
  <c r="DV103" i="9" s="1"/>
  <c r="DY84" i="9" a="1"/>
  <c r="DY84" i="9" s="1"/>
  <c r="DM21" i="9" a="1"/>
  <c r="DM21" i="9" s="1"/>
  <c r="EC40" i="9" a="1"/>
  <c r="EC40" i="9" s="1"/>
  <c r="DD74" i="9" a="1"/>
  <c r="DD74" i="9" s="1"/>
  <c r="DN16" i="9" a="1"/>
  <c r="DN16" i="9" s="1"/>
  <c r="DL48" i="9" a="1"/>
  <c r="DL48" i="9" s="1"/>
  <c r="DT46" i="9" a="1"/>
  <c r="DT46" i="9" s="1"/>
  <c r="DN23" i="9" a="1"/>
  <c r="DN23" i="9" s="1"/>
  <c r="DC54" i="9" a="1"/>
  <c r="DC54" i="9" s="1"/>
  <c r="DS30" i="9" a="1"/>
  <c r="DS30" i="9" s="1"/>
  <c r="EB48" i="9" a="1"/>
  <c r="EB48" i="9" s="1"/>
  <c r="DP84" i="9" a="1"/>
  <c r="DP84" i="9" s="1"/>
  <c r="DS50" i="9" a="1"/>
  <c r="DS50" i="9" s="1"/>
  <c r="AN26" i="9" a="1"/>
  <c r="AN26" i="9" s="1"/>
  <c r="AN28" i="9" a="1"/>
  <c r="AN28" i="9" s="1"/>
  <c r="AN105" i="9" a="1"/>
  <c r="AN105" i="9" s="1"/>
  <c r="AN59" i="9" a="1"/>
  <c r="AN59" i="9" s="1"/>
  <c r="AM25" i="9" a="1"/>
  <c r="AM25" i="9" s="1"/>
  <c r="AM26" i="9" a="1"/>
  <c r="AM26" i="9" s="1"/>
  <c r="AN107" i="9" a="1"/>
  <c r="AN107" i="9" s="1"/>
  <c r="EF107" i="9" a="1"/>
  <c r="EF107" i="9" s="1"/>
  <c r="EF90" i="9" a="1"/>
  <c r="EF90" i="9" s="1"/>
  <c r="EF88" i="9" a="1"/>
  <c r="EF88" i="9" s="1"/>
  <c r="EG37" i="9" a="1"/>
  <c r="EG37" i="9" s="1"/>
  <c r="BZ21" i="9" a="1"/>
  <c r="BZ21" i="9" s="1"/>
  <c r="BO102" i="9" a="1"/>
  <c r="BO102" i="9" s="1"/>
  <c r="BM46" i="9" a="1"/>
  <c r="BM46" i="9" s="1"/>
  <c r="BY51" i="9" a="1"/>
  <c r="BY51" i="9" s="1"/>
  <c r="CB111" i="9" a="1"/>
  <c r="CB111" i="9" s="1"/>
  <c r="BV42" i="9" a="1"/>
  <c r="BV42" i="9" s="1"/>
  <c r="CE26" i="9" a="1"/>
  <c r="CE26" i="9" s="1"/>
  <c r="BO54" i="9" a="1"/>
  <c r="BO54" i="9" s="1"/>
  <c r="BV21" i="9" a="1"/>
  <c r="BV21" i="9" s="1"/>
  <c r="BG107" i="9" a="1"/>
  <c r="BG107" i="9" s="1"/>
  <c r="BQ99" i="9" a="1"/>
  <c r="BQ99" i="9" s="1"/>
  <c r="BS105" i="9" a="1"/>
  <c r="BS105" i="9" s="1"/>
  <c r="BG48" i="9" a="1"/>
  <c r="BG48" i="9" s="1"/>
  <c r="CF22" i="9" a="1"/>
  <c r="CF22" i="9" s="1"/>
  <c r="BO55" i="9" a="1"/>
  <c r="BO55" i="9" s="1"/>
  <c r="BV57" i="9" a="1"/>
  <c r="BV57" i="9" s="1"/>
  <c r="CF99" i="9" a="1"/>
  <c r="CF99" i="9" s="1"/>
  <c r="BQ41" i="9" a="1"/>
  <c r="BQ41" i="9" s="1"/>
  <c r="BG57" i="9" a="1"/>
  <c r="BG57" i="9" s="1"/>
  <c r="BZ69" i="9" a="1"/>
  <c r="BZ69" i="9" s="1"/>
  <c r="CB62" i="9" a="1"/>
  <c r="CB62" i="9" s="1"/>
  <c r="BK19" i="9" a="1"/>
  <c r="BK19" i="9" s="1"/>
  <c r="BT34" i="9" a="1"/>
  <c r="BT34" i="9" s="1"/>
  <c r="BM72" i="9" a="1"/>
  <c r="BM72" i="9" s="1"/>
  <c r="BG47" i="9" a="1"/>
  <c r="BG47" i="9" s="1"/>
  <c r="BO45" i="9" a="1"/>
  <c r="BO45" i="9" s="1"/>
  <c r="BM106" i="9" a="1"/>
  <c r="BM106" i="9" s="1"/>
  <c r="BV58" i="9" a="1"/>
  <c r="BV58" i="9" s="1"/>
  <c r="BF107" i="9" a="1"/>
  <c r="BF107" i="9" s="1"/>
  <c r="BY111" i="9" a="1"/>
  <c r="BY111" i="9" s="1"/>
  <c r="BO98" i="9" a="1"/>
  <c r="BO98" i="9" s="1"/>
  <c r="BK91" i="9" a="1"/>
  <c r="BK91" i="9" s="1"/>
  <c r="CC86" i="9" a="1"/>
  <c r="CC86" i="9" s="1"/>
  <c r="BG95" i="9" a="1"/>
  <c r="BG95" i="9" s="1"/>
  <c r="BZ102" i="9" a="1"/>
  <c r="BZ102" i="9" s="1"/>
  <c r="BV97" i="9" a="1"/>
  <c r="BV97" i="9" s="1"/>
  <c r="CF91" i="9" a="1"/>
  <c r="CF91" i="9" s="1"/>
  <c r="BZ10" i="9" a="1"/>
  <c r="BZ10" i="9" s="1"/>
  <c r="BO64" i="9" a="1"/>
  <c r="BO64" i="9" s="1"/>
  <c r="BY74" i="9" a="1"/>
  <c r="BY74" i="9" s="1"/>
  <c r="BN79" i="9" a="1"/>
  <c r="BN79" i="9" s="1"/>
  <c r="BG75" i="9" a="1"/>
  <c r="BG75" i="9" s="1"/>
  <c r="CE61" i="9" a="1"/>
  <c r="CE61" i="9" s="1"/>
  <c r="BN18" i="9" a="1"/>
  <c r="BN18" i="9" s="1"/>
  <c r="BO33" i="9" a="1"/>
  <c r="BO33" i="9" s="1"/>
  <c r="CE67" i="9" a="1"/>
  <c r="CE67" i="9" s="1"/>
  <c r="BP56" i="9" a="1"/>
  <c r="BP56" i="9" s="1"/>
  <c r="BM67" i="9" a="1"/>
  <c r="BM67" i="9" s="1"/>
  <c r="BH17" i="9" a="1"/>
  <c r="BH17" i="9" s="1"/>
  <c r="BH18" i="9" a="1"/>
  <c r="BH18" i="9" s="1"/>
  <c r="BQ17" i="9" a="1"/>
  <c r="BQ17" i="9" s="1"/>
  <c r="BQ34" i="9" a="1"/>
  <c r="BQ34" i="9" s="1"/>
  <c r="BM13" i="9" a="1"/>
  <c r="BM13" i="9" s="1"/>
  <c r="BO62" i="9" a="1"/>
  <c r="BO62" i="9" s="1"/>
  <c r="BH87" i="9" a="1"/>
  <c r="BH87" i="9" s="1"/>
  <c r="BG70" i="9" a="1"/>
  <c r="BG70" i="9" s="1"/>
  <c r="BN76" i="9" a="1"/>
  <c r="BN76" i="9" s="1"/>
  <c r="BW109" i="9" a="1"/>
  <c r="BW109" i="9" s="1"/>
  <c r="BN9" i="9" a="1"/>
  <c r="BN9" i="9" s="1"/>
  <c r="BW110" i="9" a="1"/>
  <c r="BW110" i="9" s="1"/>
  <c r="BT108" i="9" a="1"/>
  <c r="BT108" i="9" s="1"/>
  <c r="BV111" i="9" a="1"/>
  <c r="BV111" i="9" s="1"/>
  <c r="BQ20" i="9" a="1"/>
  <c r="BQ20" i="9" s="1"/>
  <c r="BJ106" i="9" a="1"/>
  <c r="BJ106" i="9" s="1"/>
  <c r="BN106" i="9" a="1"/>
  <c r="BN106" i="9" s="1"/>
  <c r="BO15" i="9" a="1"/>
  <c r="BO15" i="9" s="1"/>
  <c r="BT86" i="9" a="1"/>
  <c r="BT86" i="9" s="1"/>
  <c r="BZ107" i="9" a="1"/>
  <c r="BZ107" i="9" s="1"/>
  <c r="BY87" i="9" a="1"/>
  <c r="BY87" i="9" s="1"/>
  <c r="BT93" i="9" a="1"/>
  <c r="BT93" i="9" s="1"/>
  <c r="CB66" i="9" a="1"/>
  <c r="CB66" i="9" s="1"/>
  <c r="BY16" i="9" a="1"/>
  <c r="BY16" i="9" s="1"/>
  <c r="BV17" i="9" a="1"/>
  <c r="BV17" i="9" s="1"/>
  <c r="BY27" i="9" a="1"/>
  <c r="BY27" i="9" s="1"/>
  <c r="BY19" i="9" a="1"/>
  <c r="BY19" i="9" s="1"/>
  <c r="BW54" i="9" a="1"/>
  <c r="BW54" i="9" s="1"/>
  <c r="CB75" i="9" a="1"/>
  <c r="CB75" i="9" s="1"/>
  <c r="BJ83" i="9" a="1"/>
  <c r="BJ83" i="9" s="1"/>
  <c r="CF44" i="9" a="1"/>
  <c r="CF44" i="9" s="1"/>
  <c r="BM27" i="9" a="1"/>
  <c r="BM27" i="9" s="1"/>
  <c r="BN53" i="9" a="1"/>
  <c r="BN53" i="9" s="1"/>
  <c r="BZ44" i="9" a="1"/>
  <c r="BZ44" i="9" s="1"/>
  <c r="BY40" i="9" a="1"/>
  <c r="BY40" i="9" s="1"/>
  <c r="BP79" i="9" a="1"/>
  <c r="BP79" i="9" s="1"/>
  <c r="CC108" i="9" a="1"/>
  <c r="CC108" i="9" s="1"/>
  <c r="BM11" i="9" a="1"/>
  <c r="BM11" i="9" s="1"/>
  <c r="CE109" i="9" a="1"/>
  <c r="CE109" i="9" s="1"/>
  <c r="BZ106" i="9" a="1"/>
  <c r="BZ106" i="9" s="1"/>
  <c r="CC101" i="9" a="1"/>
  <c r="CC101" i="9" s="1"/>
  <c r="BP95" i="9" a="1"/>
  <c r="BP95" i="9" s="1"/>
  <c r="BH91" i="9" a="1"/>
  <c r="BH91" i="9" s="1"/>
  <c r="BY88" i="9" a="1"/>
  <c r="BY88" i="9" s="1"/>
  <c r="CB97" i="9" a="1"/>
  <c r="CB97" i="9" s="1"/>
  <c r="BH90" i="9" a="1"/>
  <c r="BH90" i="9" s="1"/>
  <c r="BF98" i="9" a="1"/>
  <c r="BF98" i="9" s="1"/>
  <c r="BV24" i="9" a="1"/>
  <c r="BV24" i="9" s="1"/>
  <c r="BQ51" i="9" a="1"/>
  <c r="BQ51" i="9" s="1"/>
  <c r="BG85" i="9" a="1"/>
  <c r="BG85" i="9" s="1"/>
  <c r="BH73" i="9" a="1"/>
  <c r="BH73" i="9" s="1"/>
  <c r="BK72" i="9" a="1"/>
  <c r="BK72" i="9" s="1"/>
  <c r="BV41" i="9" a="1"/>
  <c r="BV41" i="9" s="1"/>
  <c r="BS25" i="9" a="1"/>
  <c r="BS25" i="9" s="1"/>
  <c r="BJ50" i="9" a="1"/>
  <c r="BJ50" i="9" s="1"/>
  <c r="BG44" i="9" a="1"/>
  <c r="BG44" i="9" s="1"/>
  <c r="BM93" i="9" a="1"/>
  <c r="BM93" i="9" s="1"/>
  <c r="CE35" i="9" a="1"/>
  <c r="CE35" i="9" s="1"/>
  <c r="CE60" i="9" a="1"/>
  <c r="CE60" i="9" s="1"/>
  <c r="BV56" i="9" a="1"/>
  <c r="BV56" i="9" s="1"/>
  <c r="BV92" i="9" a="1"/>
  <c r="BV92" i="9" s="1"/>
  <c r="BK62" i="9" a="1"/>
  <c r="BK62" i="9" s="1"/>
  <c r="BG31" i="9" a="1"/>
  <c r="BG31" i="9" s="1"/>
  <c r="BM12" i="9" a="1"/>
  <c r="BM12" i="9" s="1"/>
  <c r="CE85" i="9" a="1"/>
  <c r="CE85" i="9" s="1"/>
  <c r="BK81" i="9" a="1"/>
  <c r="BK81" i="9" s="1"/>
  <c r="BG82" i="9" a="1"/>
  <c r="BG82" i="9" s="1"/>
  <c r="BZ64" i="9" a="1"/>
  <c r="BZ64" i="9" s="1"/>
  <c r="BF60" i="9" a="1"/>
  <c r="BF60" i="9" s="1"/>
  <c r="BO39" i="9" a="1"/>
  <c r="BO39" i="9" s="1"/>
  <c r="BP69" i="9" a="1"/>
  <c r="BP69" i="9" s="1"/>
  <c r="BF59" i="9" a="1"/>
  <c r="BF59" i="9" s="1"/>
  <c r="BP54" i="9" a="1"/>
  <c r="BP54" i="9" s="1"/>
  <c r="BH57" i="9" a="1"/>
  <c r="BH57" i="9" s="1"/>
  <c r="CE59" i="9" a="1"/>
  <c r="CE59" i="9" s="1"/>
  <c r="CB98" i="9" a="1"/>
  <c r="CB98" i="9" s="1"/>
  <c r="BO106" i="9" a="1"/>
  <c r="BO106" i="9" s="1"/>
  <c r="BV71" i="9" a="1"/>
  <c r="BV71" i="9" s="1"/>
  <c r="BK78" i="9" a="1"/>
  <c r="BK78" i="9" s="1"/>
  <c r="BT24" i="9" a="1"/>
  <c r="BT24" i="9" s="1"/>
  <c r="CE21" i="9" a="1"/>
  <c r="CE21" i="9" s="1"/>
  <c r="BV22" i="9" a="1"/>
  <c r="BV22" i="9" s="1"/>
  <c r="BM85" i="9" a="1"/>
  <c r="BM85" i="9" s="1"/>
  <c r="BQ55" i="9" a="1"/>
  <c r="BQ55" i="9" s="1"/>
  <c r="CF71" i="9" a="1"/>
  <c r="CF71" i="9" s="1"/>
  <c r="BK53" i="9" a="1"/>
  <c r="BK53" i="9" s="1"/>
  <c r="BT67" i="9" a="1"/>
  <c r="BT67" i="9" s="1"/>
  <c r="BQ26" i="9" a="1"/>
  <c r="BQ26" i="9" s="1"/>
  <c r="CF55" i="9" a="1"/>
  <c r="CF55" i="9" s="1"/>
  <c r="BF32" i="9" a="1"/>
  <c r="BF32" i="9" s="1"/>
  <c r="BG62" i="9" a="1"/>
  <c r="BG62" i="9" s="1"/>
  <c r="BH58" i="9" a="1"/>
  <c r="BH58" i="9" s="1"/>
  <c r="CE18" i="9" a="1"/>
  <c r="CE18" i="9" s="1"/>
  <c r="BM38" i="9" a="1"/>
  <c r="BM38" i="9" s="1"/>
  <c r="CC16" i="9" a="1"/>
  <c r="CC16" i="9" s="1"/>
  <c r="BK110" i="9" a="1"/>
  <c r="BK110" i="9" s="1"/>
  <c r="BQ102" i="9" a="1"/>
  <c r="BQ102" i="9" s="1"/>
  <c r="CC99" i="9" a="1"/>
  <c r="CC99" i="9" s="1"/>
  <c r="CE102" i="9" a="1"/>
  <c r="CE102" i="9" s="1"/>
  <c r="BH97" i="9" a="1"/>
  <c r="BH97" i="9" s="1"/>
  <c r="CE107" i="9" a="1"/>
  <c r="CE107" i="9" s="1"/>
  <c r="BP99" i="9" a="1"/>
  <c r="BP99" i="9" s="1"/>
  <c r="CF93" i="9" a="1"/>
  <c r="CF93" i="9" s="1"/>
  <c r="CB23" i="9" a="1"/>
  <c r="CB23" i="9" s="1"/>
  <c r="BF79" i="9" a="1"/>
  <c r="BF79" i="9" s="1"/>
  <c r="BK93" i="9" a="1"/>
  <c r="BK93" i="9" s="1"/>
  <c r="BP75" i="9" a="1"/>
  <c r="BP75" i="9" s="1"/>
  <c r="CB91" i="9" a="1"/>
  <c r="CB91" i="9" s="1"/>
  <c r="BP64" i="9" a="1"/>
  <c r="BP64" i="9" s="1"/>
  <c r="BW24" i="9" a="1"/>
  <c r="BW24" i="9" s="1"/>
  <c r="CB52" i="9" a="1"/>
  <c r="CB52" i="9" s="1"/>
  <c r="BH31" i="9" a="1"/>
  <c r="BH31" i="9" s="1"/>
  <c r="CF88" i="9" a="1"/>
  <c r="CF88" i="9" s="1"/>
  <c r="BO50" i="9" a="1"/>
  <c r="BO50" i="9" s="1"/>
  <c r="BT54" i="9" a="1"/>
  <c r="BT54" i="9" s="1"/>
  <c r="CE22" i="9" a="1"/>
  <c r="CE22" i="9" s="1"/>
  <c r="BM30" i="9" a="1"/>
  <c r="BM30" i="9" s="1"/>
  <c r="BJ23" i="9" a="1"/>
  <c r="BJ23" i="9" s="1"/>
  <c r="BS15" i="9" a="1"/>
  <c r="BS15" i="9" s="1"/>
  <c r="BF53" i="9" a="1"/>
  <c r="BF53" i="9" s="1"/>
  <c r="CC46" i="9" a="1"/>
  <c r="CC46" i="9" s="1"/>
  <c r="BP82" i="9" a="1"/>
  <c r="BP82" i="9" s="1"/>
  <c r="BM79" i="9" a="1"/>
  <c r="BM79" i="9" s="1"/>
  <c r="CF69" i="9" a="1"/>
  <c r="CF69" i="9" s="1"/>
  <c r="CE112" i="9" a="1"/>
  <c r="CE112" i="9" s="1"/>
  <c r="BF66" i="9" a="1"/>
  <c r="BF66" i="9" s="1"/>
  <c r="BK109" i="9" a="1"/>
  <c r="BK109" i="9" s="1"/>
  <c r="CC109" i="9" a="1"/>
  <c r="CC109" i="9" s="1"/>
  <c r="BN107" i="9" a="1"/>
  <c r="BN107" i="9" s="1"/>
  <c r="BP60" i="9" a="1"/>
  <c r="BP60" i="9" s="1"/>
  <c r="BS108" i="9" a="1"/>
  <c r="BS108" i="9" s="1"/>
  <c r="BN105" i="9" a="1"/>
  <c r="BN105" i="9" s="1"/>
  <c r="BJ33" i="9" a="1"/>
  <c r="BJ33" i="9" s="1"/>
  <c r="BT88" i="9" a="1"/>
  <c r="BT88" i="9" s="1"/>
  <c r="BQ107" i="9" a="1"/>
  <c r="BQ107" i="9" s="1"/>
  <c r="BY89" i="9" a="1"/>
  <c r="BY89" i="9" s="1"/>
  <c r="CF95" i="9" a="1"/>
  <c r="CF95" i="9" s="1"/>
  <c r="BO16" i="9" a="1"/>
  <c r="BO16" i="9" s="1"/>
  <c r="BY20" i="9" a="1"/>
  <c r="BY20" i="9" s="1"/>
  <c r="BT16" i="9" a="1"/>
  <c r="BT16" i="9" s="1"/>
  <c r="CC31" i="9" a="1"/>
  <c r="CC31" i="9" s="1"/>
  <c r="BG36" i="9" a="1"/>
  <c r="BG36" i="9" s="1"/>
  <c r="CB51" i="9" a="1"/>
  <c r="CB51" i="9" s="1"/>
  <c r="BW10" i="9" a="1"/>
  <c r="BW10" i="9" s="1"/>
  <c r="BW9" i="9" a="1"/>
  <c r="BW9" i="9" s="1"/>
  <c r="BW20" i="9" a="1"/>
  <c r="BW20" i="9" s="1"/>
  <c r="BY25" i="9" a="1"/>
  <c r="BY25" i="9" s="1"/>
  <c r="BT32" i="9" a="1"/>
  <c r="BT32" i="9" s="1"/>
  <c r="BP43" i="9" a="1"/>
  <c r="BP43" i="9" s="1"/>
  <c r="CB44" i="9" a="1"/>
  <c r="CB44" i="9" s="1"/>
  <c r="BV104" i="9" a="1"/>
  <c r="BV104" i="9" s="1"/>
  <c r="CF104" i="9" a="1"/>
  <c r="CF104" i="9" s="1"/>
  <c r="BG96" i="9" a="1"/>
  <c r="BG96" i="9" s="1"/>
  <c r="BF96" i="9" a="1"/>
  <c r="BF96" i="9" s="1"/>
  <c r="CC100" i="9" a="1"/>
  <c r="CC100" i="9" s="1"/>
  <c r="BZ88" i="9" a="1"/>
  <c r="BZ88" i="9" s="1"/>
  <c r="BH82" i="9" a="1"/>
  <c r="BH82" i="9" s="1"/>
  <c r="CB79" i="9" a="1"/>
  <c r="CB79" i="9" s="1"/>
  <c r="CC90" i="9" a="1"/>
  <c r="CC90" i="9" s="1"/>
  <c r="BF81" i="9" a="1"/>
  <c r="BF81" i="9" s="1"/>
  <c r="BZ76" i="9" a="1"/>
  <c r="BZ76" i="9" s="1"/>
  <c r="BO57" i="9" a="1"/>
  <c r="BO57" i="9" s="1"/>
  <c r="CF36" i="9" a="1"/>
  <c r="CF36" i="9" s="1"/>
  <c r="BN84" i="9" a="1"/>
  <c r="BN84" i="9" s="1"/>
  <c r="BZ56" i="9" a="1"/>
  <c r="BZ56" i="9" s="1"/>
  <c r="BF52" i="9" a="1"/>
  <c r="BF52" i="9" s="1"/>
  <c r="BF25" i="9" a="1"/>
  <c r="BF25" i="9" s="1"/>
  <c r="BW31" i="9" a="1"/>
  <c r="BW31" i="9" s="1"/>
  <c r="BS42" i="9" a="1"/>
  <c r="BS42" i="9" s="1"/>
  <c r="BY46" i="9" a="1"/>
  <c r="BY46" i="9" s="1"/>
  <c r="CC61" i="9" a="1"/>
  <c r="CC61" i="9" s="1"/>
  <c r="BT77" i="9" a="1"/>
  <c r="BT77" i="9" s="1"/>
  <c r="CE31" i="9" a="1"/>
  <c r="CE31" i="9" s="1"/>
  <c r="BS69" i="9" a="1"/>
  <c r="BS69" i="9" s="1"/>
  <c r="BN95" i="9" a="1"/>
  <c r="BN95" i="9" s="1"/>
  <c r="BH94" i="9" a="1"/>
  <c r="BH94" i="9" s="1"/>
  <c r="CB71" i="9" a="1"/>
  <c r="CB71" i="9" s="1"/>
  <c r="BW106" i="9" a="1"/>
  <c r="BW106" i="9" s="1"/>
  <c r="BS59" i="9" a="1"/>
  <c r="BS59" i="9" s="1"/>
  <c r="BV107" i="9" a="1"/>
  <c r="BV107" i="9" s="1"/>
  <c r="BQ112" i="9" a="1"/>
  <c r="BQ112" i="9" s="1"/>
  <c r="BO110" i="9" a="1"/>
  <c r="BO110" i="9" s="1"/>
  <c r="BJ54" i="9" a="1"/>
  <c r="BJ54" i="9" s="1"/>
  <c r="BT111" i="9" a="1"/>
  <c r="BT111" i="9" s="1"/>
  <c r="BH112" i="9" a="1"/>
  <c r="BH112" i="9" s="1"/>
  <c r="CC21" i="9" a="1"/>
  <c r="CC21" i="9" s="1"/>
  <c r="BG93" i="9" a="1"/>
  <c r="BG93" i="9" s="1"/>
  <c r="BH100" i="9" a="1"/>
  <c r="BH100" i="9" s="1"/>
  <c r="BG94" i="9" a="1"/>
  <c r="BG94" i="9" s="1"/>
  <c r="BN89" i="9" a="1"/>
  <c r="BN89" i="9" s="1"/>
  <c r="CE36" i="9" a="1"/>
  <c r="CE36" i="9" s="1"/>
  <c r="BO9" i="9" a="1"/>
  <c r="BO9" i="9" s="1"/>
  <c r="BG23" i="9" a="1"/>
  <c r="BG23" i="9" s="1"/>
  <c r="BO59" i="9" a="1"/>
  <c r="BO59" i="9" s="1"/>
  <c r="BM40" i="9" a="1"/>
  <c r="BM40" i="9" s="1"/>
  <c r="BT13" i="9" a="1"/>
  <c r="BT13" i="9" s="1"/>
  <c r="BP110" i="9" a="1"/>
  <c r="BP110" i="9" s="1"/>
  <c r="BQ84" i="9" a="1"/>
  <c r="BQ84" i="9" s="1"/>
  <c r="BG9" i="9" a="1"/>
  <c r="BG9" i="9" s="1"/>
  <c r="BP23" i="9" a="1"/>
  <c r="BP23" i="9" s="1"/>
  <c r="BH85" i="9" a="1"/>
  <c r="BH85" i="9" s="1"/>
  <c r="BQ44" i="9" a="1"/>
  <c r="BQ44" i="9" s="1"/>
  <c r="CE52" i="9" a="1"/>
  <c r="CE52" i="9" s="1"/>
  <c r="BY63" i="9" a="1"/>
  <c r="BY63" i="9" s="1"/>
  <c r="BG61" i="9" a="1"/>
  <c r="BG61" i="9" s="1"/>
  <c r="BF26" i="9" a="1"/>
  <c r="BF26" i="9" s="1"/>
  <c r="CF102" i="9" a="1"/>
  <c r="CF102" i="9" s="1"/>
  <c r="BJ110" i="9" a="1"/>
  <c r="BJ110" i="9" s="1"/>
  <c r="BJ104" i="9" a="1"/>
  <c r="BJ104" i="9" s="1"/>
  <c r="BT99" i="9" a="1"/>
  <c r="BT99" i="9" s="1"/>
  <c r="BM94" i="9" a="1"/>
  <c r="BM94" i="9" s="1"/>
  <c r="BY86" i="9" a="1"/>
  <c r="BY86" i="9" s="1"/>
  <c r="CF84" i="9" a="1"/>
  <c r="CF84" i="9" s="1"/>
  <c r="BV82" i="9" a="1"/>
  <c r="BV82" i="9" s="1"/>
  <c r="BW88" i="9" a="1"/>
  <c r="BW88" i="9" s="1"/>
  <c r="BV83" i="9" a="1"/>
  <c r="BV83" i="9" s="1"/>
  <c r="BO79" i="9" a="1"/>
  <c r="BO79" i="9" s="1"/>
  <c r="BK74" i="9" a="1"/>
  <c r="BK74" i="9" s="1"/>
  <c r="CB56" i="9" a="1"/>
  <c r="CB56" i="9" s="1"/>
  <c r="BZ82" i="9" a="1"/>
  <c r="BZ82" i="9" s="1"/>
  <c r="BH79" i="9" a="1"/>
  <c r="BH79" i="9" s="1"/>
  <c r="BQ69" i="9" a="1"/>
  <c r="BQ69" i="9" s="1"/>
  <c r="CB81" i="9" a="1"/>
  <c r="CB81" i="9" s="1"/>
  <c r="CC40" i="9" a="1"/>
  <c r="CC40" i="9" s="1"/>
  <c r="BJ52" i="9" a="1"/>
  <c r="BJ52" i="9" s="1"/>
  <c r="BF63" i="9" a="1"/>
  <c r="BF63" i="9" s="1"/>
  <c r="BK40" i="9" a="1"/>
  <c r="BK40" i="9" s="1"/>
  <c r="BM53" i="9" a="1"/>
  <c r="BM53" i="9" s="1"/>
  <c r="BP63" i="9" a="1"/>
  <c r="BP63" i="9" s="1"/>
  <c r="BG33" i="9" a="1"/>
  <c r="BG33" i="9" s="1"/>
  <c r="BV37" i="9" a="1"/>
  <c r="BV37" i="9" s="1"/>
  <c r="BW37" i="9" a="1"/>
  <c r="BW37" i="9" s="1"/>
  <c r="BN52" i="9" a="1"/>
  <c r="BN52" i="9" s="1"/>
  <c r="BN34" i="9" a="1"/>
  <c r="BN34" i="9" s="1"/>
  <c r="CB74" i="9" a="1"/>
  <c r="CB74" i="9" s="1"/>
  <c r="BM54" i="9" a="1"/>
  <c r="BM54" i="9" s="1"/>
  <c r="BW49" i="9" a="1"/>
  <c r="BW49" i="9" s="1"/>
  <c r="BY110" i="9" a="1"/>
  <c r="BY110" i="9" s="1"/>
  <c r="BT105" i="9" a="1"/>
  <c r="BT105" i="9" s="1"/>
  <c r="BT98" i="9" a="1"/>
  <c r="BT98" i="9" s="1"/>
  <c r="BZ103" i="9" a="1"/>
  <c r="BZ103" i="9" s="1"/>
  <c r="BP101" i="9" a="1"/>
  <c r="BP101" i="9" s="1"/>
  <c r="BJ108" i="9" a="1"/>
  <c r="BJ108" i="9" s="1"/>
  <c r="CC102" i="9" a="1"/>
  <c r="CC102" i="9" s="1"/>
  <c r="BY104" i="9" a="1"/>
  <c r="BY104" i="9" s="1"/>
  <c r="BY31" i="9" a="1"/>
  <c r="BY31" i="9" s="1"/>
  <c r="CB73" i="9" a="1"/>
  <c r="CB73" i="9" s="1"/>
  <c r="BS90" i="9" a="1"/>
  <c r="BS90" i="9" s="1"/>
  <c r="BF75" i="9" a="1"/>
  <c r="BF75" i="9" s="1"/>
  <c r="BJ89" i="9" a="1"/>
  <c r="BJ89" i="9" s="1"/>
  <c r="BH39" i="9" a="1"/>
  <c r="BH39" i="9" s="1"/>
  <c r="CE20" i="9" a="1"/>
  <c r="CE20" i="9" s="1"/>
  <c r="BP39" i="9" a="1"/>
  <c r="BP39" i="9" s="1"/>
  <c r="CF27" i="9" a="1"/>
  <c r="CF27" i="9" s="1"/>
  <c r="BP67" i="9" a="1"/>
  <c r="BP67" i="9" s="1"/>
  <c r="BK54" i="9" a="1"/>
  <c r="BK54" i="9" s="1"/>
  <c r="BG73" i="9" a="1"/>
  <c r="BG73" i="9" s="1"/>
  <c r="CF47" i="9" a="1"/>
  <c r="CF47" i="9" s="1"/>
  <c r="BO28" i="9" a="1"/>
  <c r="BO28" i="9" s="1"/>
  <c r="CE33" i="9" a="1"/>
  <c r="CE33" i="9" s="1"/>
  <c r="CF65" i="9" a="1"/>
  <c r="CF65" i="9" s="1"/>
  <c r="BN43" i="9" a="1"/>
  <c r="BN43" i="9" s="1"/>
  <c r="BW64" i="9" a="1"/>
  <c r="BW64" i="9" s="1"/>
  <c r="CB26" i="9" a="1"/>
  <c r="CB26" i="9" s="1"/>
  <c r="BH88" i="9" a="1"/>
  <c r="BH88" i="9" s="1"/>
  <c r="BP96" i="9" a="1"/>
  <c r="BP96" i="9" s="1"/>
  <c r="BM89" i="9" a="1"/>
  <c r="BM89" i="9" s="1"/>
  <c r="BF92" i="9" a="1"/>
  <c r="BF92" i="9" s="1"/>
  <c r="BG77" i="9" a="1"/>
  <c r="BG77" i="9" s="1"/>
  <c r="CF68" i="9" a="1"/>
  <c r="CF68" i="9" s="1"/>
  <c r="BW73" i="9" a="1"/>
  <c r="BW73" i="9" s="1"/>
  <c r="BQ64" i="9" a="1"/>
  <c r="BQ64" i="9" s="1"/>
  <c r="BF93" i="9" a="1"/>
  <c r="BF93" i="9" s="1"/>
  <c r="BY71" i="9" a="1"/>
  <c r="BY71" i="9" s="1"/>
  <c r="BQ83" i="9" a="1"/>
  <c r="BQ83" i="9" s="1"/>
  <c r="CB39" i="9" a="1"/>
  <c r="CB39" i="9" s="1"/>
  <c r="BP71" i="9" a="1"/>
  <c r="BP71" i="9" s="1"/>
  <c r="CF107" i="9" a="1"/>
  <c r="CF107" i="9" s="1"/>
  <c r="BF12" i="9" a="1"/>
  <c r="BF12" i="9" s="1"/>
  <c r="BJ109" i="9" a="1"/>
  <c r="BJ109" i="9" s="1"/>
  <c r="BH105" i="9" a="1"/>
  <c r="BH105" i="9" s="1"/>
  <c r="BH65" i="9" a="1"/>
  <c r="BH65" i="9" s="1"/>
  <c r="CE41" i="9" a="1"/>
  <c r="CE41" i="9" s="1"/>
  <c r="CF62" i="9" a="1"/>
  <c r="CF62" i="9" s="1"/>
  <c r="BH62" i="9" a="1"/>
  <c r="BH62" i="9" s="1"/>
  <c r="CC76" i="9" a="1"/>
  <c r="CC76" i="9" s="1"/>
  <c r="BK16" i="9" a="1"/>
  <c r="BK16" i="9" s="1"/>
  <c r="BM74" i="9" a="1"/>
  <c r="BM74" i="9" s="1"/>
  <c r="BW27" i="9" a="1"/>
  <c r="BW27" i="9" s="1"/>
  <c r="BQ59" i="9" a="1"/>
  <c r="BQ59" i="9" s="1"/>
  <c r="BK69" i="9" a="1"/>
  <c r="BK69" i="9" s="1"/>
  <c r="BH11" i="9" a="1"/>
  <c r="BH11" i="9" s="1"/>
  <c r="CB18" i="9" a="1"/>
  <c r="CB18" i="9" s="1"/>
  <c r="BM107" i="9" a="1"/>
  <c r="BM107" i="9" s="1"/>
  <c r="CF101" i="9" a="1"/>
  <c r="CF101" i="9" s="1"/>
  <c r="CE101" i="9" a="1"/>
  <c r="CE101" i="9" s="1"/>
  <c r="BT96" i="9" a="1"/>
  <c r="BT96" i="9" s="1"/>
  <c r="BW105" i="9" a="1"/>
  <c r="BW105" i="9" s="1"/>
  <c r="BK98" i="9" a="1"/>
  <c r="BK98" i="9" s="1"/>
  <c r="BT97" i="9" a="1"/>
  <c r="BT97" i="9" s="1"/>
  <c r="BS21" i="9" a="1"/>
  <c r="BS21" i="9" s="1"/>
  <c r="CF83" i="9" a="1"/>
  <c r="CF83" i="9" s="1"/>
  <c r="BV94" i="9" a="1"/>
  <c r="BV94" i="9" s="1"/>
  <c r="BJ85" i="9" a="1"/>
  <c r="BJ85" i="9" s="1"/>
  <c r="BQ80" i="9" a="1"/>
  <c r="BQ80" i="9" s="1"/>
  <c r="CF42" i="9" a="1"/>
  <c r="CF42" i="9" s="1"/>
  <c r="BM31" i="9" a="1"/>
  <c r="BM31" i="9" s="1"/>
  <c r="CC65" i="9" a="1"/>
  <c r="CC65" i="9" s="1"/>
  <c r="BJ35" i="9" a="1"/>
  <c r="BJ35" i="9" s="1"/>
  <c r="BF72" i="9" a="1"/>
  <c r="BF72" i="9" s="1"/>
  <c r="CB61" i="9" a="1"/>
  <c r="CB61" i="9" s="1"/>
  <c r="BG21" i="9" a="1"/>
  <c r="BG21" i="9" s="1"/>
  <c r="CE27" i="9" a="1"/>
  <c r="CE27" i="9" s="1"/>
  <c r="BF22" i="9" a="1"/>
  <c r="BF22" i="9" s="1"/>
  <c r="CC67" i="9" a="1"/>
  <c r="CC67" i="9" s="1"/>
  <c r="BK65" i="9" a="1"/>
  <c r="BK65" i="9" s="1"/>
  <c r="CE19" i="9" a="1"/>
  <c r="CE19" i="9" s="1"/>
  <c r="BN35" i="9" a="1"/>
  <c r="BN35" i="9" s="1"/>
  <c r="BZ80" i="9" a="1"/>
  <c r="BZ80" i="9" s="1"/>
  <c r="BV12" i="9" a="1"/>
  <c r="BV12" i="9" s="1"/>
  <c r="BV10" i="9" a="1"/>
  <c r="BV10" i="9" s="1"/>
  <c r="CE14" i="9" a="1"/>
  <c r="CE14" i="9" s="1"/>
  <c r="BZ24" i="9" a="1"/>
  <c r="BZ24" i="9" s="1"/>
  <c r="BM82" i="9" a="1"/>
  <c r="BM82" i="9" s="1"/>
  <c r="BH86" i="9" a="1"/>
  <c r="BH86" i="9" s="1"/>
  <c r="BM76" i="9" a="1"/>
  <c r="BM76" i="9" s="1"/>
  <c r="CF94" i="9" a="1"/>
  <c r="CF94" i="9" s="1"/>
  <c r="BV77" i="9" a="1"/>
  <c r="BV77" i="9" s="1"/>
  <c r="BJ55" i="9" a="1"/>
  <c r="BJ55" i="9" s="1"/>
  <c r="BT50" i="9" a="1"/>
  <c r="BT50" i="9" s="1"/>
  <c r="CC71" i="9" a="1"/>
  <c r="CC71" i="9" s="1"/>
  <c r="BS10" i="9" a="1"/>
  <c r="BS10" i="9" s="1"/>
  <c r="BT49" i="9" a="1"/>
  <c r="BT49" i="9" s="1"/>
  <c r="BV44" i="9" a="1"/>
  <c r="BV44" i="9" s="1"/>
  <c r="CC15" i="9" a="1"/>
  <c r="CC15" i="9" s="1"/>
  <c r="CE66" i="9" a="1"/>
  <c r="CE66" i="9" s="1"/>
  <c r="BF99" i="9" a="1"/>
  <c r="BF99" i="9" s="1"/>
  <c r="BT107" i="9" a="1"/>
  <c r="BT107" i="9" s="1"/>
  <c r="BK100" i="9" a="1"/>
  <c r="BK100" i="9" s="1"/>
  <c r="CE96" i="9" a="1"/>
  <c r="CE96" i="9" s="1"/>
  <c r="BQ71" i="9" a="1"/>
  <c r="BQ71" i="9" s="1"/>
  <c r="BK17" i="9" a="1"/>
  <c r="BK17" i="9" s="1"/>
  <c r="BO12" i="9" a="1"/>
  <c r="BO12" i="9" s="1"/>
  <c r="BP29" i="9" a="1"/>
  <c r="BP29" i="9" s="1"/>
  <c r="BG10" i="9" a="1"/>
  <c r="BG10" i="9" s="1"/>
  <c r="CB60" i="9" a="1"/>
  <c r="CB60" i="9" s="1"/>
  <c r="BT48" i="9" a="1"/>
  <c r="BT48" i="9" s="1"/>
  <c r="BZ61" i="9" a="1"/>
  <c r="BZ61" i="9" s="1"/>
  <c r="BT36" i="9" a="1"/>
  <c r="BT36" i="9" s="1"/>
  <c r="BQ89" i="9" a="1"/>
  <c r="BQ89" i="9" s="1"/>
  <c r="BW97" i="9" a="1"/>
  <c r="BW97" i="9" s="1"/>
  <c r="BQ90" i="9" a="1"/>
  <c r="BQ90" i="9" s="1"/>
  <c r="CB102" i="9" a="1"/>
  <c r="CB102" i="9" s="1"/>
  <c r="BY82" i="9" a="1"/>
  <c r="BY82" i="9" s="1"/>
  <c r="BQ91" i="9" a="1"/>
  <c r="BQ91" i="9" s="1"/>
  <c r="BG83" i="9" a="1"/>
  <c r="BG83" i="9" s="1"/>
  <c r="BH70" i="9" a="1"/>
  <c r="BH70" i="9" s="1"/>
  <c r="BM77" i="9" a="1"/>
  <c r="BM77" i="9" s="1"/>
  <c r="CF81" i="9" a="1"/>
  <c r="CF81" i="9" s="1"/>
  <c r="BQ77" i="9" a="1"/>
  <c r="BQ77" i="9" s="1"/>
  <c r="BF65" i="9" a="1"/>
  <c r="BF65" i="9" s="1"/>
  <c r="BW60" i="9" a="1"/>
  <c r="BW60" i="9" s="1"/>
  <c r="BK14" i="9" a="1"/>
  <c r="BK14" i="9" s="1"/>
  <c r="BZ40" i="9" a="1"/>
  <c r="BZ40" i="9" s="1"/>
  <c r="BG12" i="9" a="1"/>
  <c r="BG12" i="9" s="1"/>
  <c r="CC112" i="9" a="1"/>
  <c r="CC112" i="9" s="1"/>
  <c r="BQ47" i="9" a="1"/>
  <c r="BQ47" i="9" s="1"/>
  <c r="BZ62" i="9" a="1"/>
  <c r="BZ62" i="9" s="1"/>
  <c r="BF44" i="9" a="1"/>
  <c r="BF44" i="9" s="1"/>
  <c r="BS36" i="9" a="1"/>
  <c r="BS36" i="9" s="1"/>
  <c r="CE63" i="9" a="1"/>
  <c r="CE63" i="9" s="1"/>
  <c r="BP87" i="9" a="1"/>
  <c r="BP87" i="9" s="1"/>
  <c r="CE50" i="9" a="1"/>
  <c r="CE50" i="9" s="1"/>
  <c r="BJ46" i="9" a="1"/>
  <c r="BJ46" i="9" s="1"/>
  <c r="BK58" i="9" a="1"/>
  <c r="BK58" i="9" s="1"/>
  <c r="BK38" i="9" a="1"/>
  <c r="BK38" i="9" s="1"/>
  <c r="CF26" i="9" a="1"/>
  <c r="CF26" i="9" s="1"/>
  <c r="CC32" i="9" a="1"/>
  <c r="CC32" i="9" s="1"/>
  <c r="BO67" i="9" a="1"/>
  <c r="BO67" i="9" s="1"/>
  <c r="CB58" i="9" a="1"/>
  <c r="CB58" i="9" s="1"/>
  <c r="CC37" i="9" a="1"/>
  <c r="CC37" i="9" s="1"/>
  <c r="CE90" i="9" a="1"/>
  <c r="CE90" i="9" s="1"/>
  <c r="BT57" i="9" a="1"/>
  <c r="BT57" i="9" s="1"/>
  <c r="BV52" i="9" a="1"/>
  <c r="BV52" i="9" s="1"/>
  <c r="BQ100" i="9" a="1"/>
  <c r="BQ100" i="9" s="1"/>
  <c r="BS107" i="9" a="1"/>
  <c r="BS107" i="9" s="1"/>
  <c r="BS101" i="9" a="1"/>
  <c r="BS101" i="9" s="1"/>
  <c r="BO108" i="9" a="1"/>
  <c r="BO108" i="9" s="1"/>
  <c r="BW104" i="9" a="1"/>
  <c r="BW104" i="9" s="1"/>
  <c r="BQ111" i="9" a="1"/>
  <c r="BQ111" i="9" s="1"/>
  <c r="BV106" i="9" a="1"/>
  <c r="BV106" i="9" s="1"/>
  <c r="BM101" i="9" a="1"/>
  <c r="BM101" i="9" s="1"/>
  <c r="BW67" i="9" a="1"/>
  <c r="BW67" i="9" s="1"/>
  <c r="BH77" i="9" a="1"/>
  <c r="BH77" i="9" s="1"/>
  <c r="CE93" i="9" a="1"/>
  <c r="CE93" i="9" s="1"/>
  <c r="BM78" i="9" a="1"/>
  <c r="BM78" i="9" s="1"/>
  <c r="BY73" i="9" a="1"/>
  <c r="BY73" i="9" s="1"/>
  <c r="BF37" i="9" a="1"/>
  <c r="BF37" i="9" s="1"/>
  <c r="BK25" i="9" a="1"/>
  <c r="BK25" i="9" s="1"/>
  <c r="BK32" i="9" a="1"/>
  <c r="BK32" i="9" s="1"/>
  <c r="CF64" i="9" a="1"/>
  <c r="CF64" i="9" s="1"/>
  <c r="BO53" i="9" a="1"/>
  <c r="BO53" i="9" s="1"/>
  <c r="BN14" i="9" a="1"/>
  <c r="BN14" i="9" s="1"/>
  <c r="CC23" i="9" a="1"/>
  <c r="CC23" i="9" s="1"/>
  <c r="CB46" i="9" a="1"/>
  <c r="CB46" i="9" s="1"/>
  <c r="BY14" i="9" a="1"/>
  <c r="BY14" i="9" s="1"/>
  <c r="BJ80" i="9" a="1"/>
  <c r="BJ80" i="9" s="1"/>
  <c r="BQ28" i="9" a="1"/>
  <c r="BQ28" i="9" s="1"/>
  <c r="BY56" i="9" a="1"/>
  <c r="BY56" i="9" s="1"/>
  <c r="BK90" i="9" a="1"/>
  <c r="BK90" i="9" s="1"/>
  <c r="BM41" i="9" a="1"/>
  <c r="BM41" i="9" s="1"/>
  <c r="BV110" i="9" a="1"/>
  <c r="BV110" i="9" s="1"/>
  <c r="BO22" i="9" a="1"/>
  <c r="BO22" i="9" s="1"/>
  <c r="BN54" i="9" a="1"/>
  <c r="BN54" i="9" s="1"/>
  <c r="BM15" i="9" a="1"/>
  <c r="BM15" i="9" s="1"/>
  <c r="BW70" i="9" a="1"/>
  <c r="BW70" i="9" s="1"/>
  <c r="BT53" i="9" a="1"/>
  <c r="BT53" i="9" s="1"/>
  <c r="BO21" i="9" a="1"/>
  <c r="BO21" i="9" s="1"/>
  <c r="BF87" i="9" a="1"/>
  <c r="BF87" i="9" s="1"/>
  <c r="BO80" i="9" a="1"/>
  <c r="BO80" i="9" s="1"/>
  <c r="CF105" i="9" a="1"/>
  <c r="CF105" i="9" s="1"/>
  <c r="BG111" i="9" a="1"/>
  <c r="BG111" i="9" s="1"/>
  <c r="CC84" i="9" a="1"/>
  <c r="CC84" i="9" s="1"/>
  <c r="BV9" i="9" a="1"/>
  <c r="BV9" i="9" s="1"/>
  <c r="BQ56" i="9" a="1"/>
  <c r="BQ56" i="9" s="1"/>
  <c r="CC43" i="9" a="1"/>
  <c r="CC43" i="9" s="1"/>
  <c r="BW23" i="9" a="1"/>
  <c r="BW23" i="9" s="1"/>
  <c r="BV15" i="9" a="1"/>
  <c r="BV15" i="9" s="1"/>
  <c r="BJ76" i="9" a="1"/>
  <c r="BJ76" i="9" s="1"/>
  <c r="CE103" i="9" a="1"/>
  <c r="CE103" i="9" s="1"/>
  <c r="BV53" i="9" a="1"/>
  <c r="BV53" i="9" s="1"/>
  <c r="BP66" i="9" a="1"/>
  <c r="BP66" i="9" s="1"/>
  <c r="BG38" i="9" a="1"/>
  <c r="BG38" i="9" s="1"/>
  <c r="BV23" i="9" a="1"/>
  <c r="BV23" i="9" s="1"/>
  <c r="CE11" i="9" a="1"/>
  <c r="CE11" i="9" s="1"/>
  <c r="BT20" i="9" a="1"/>
  <c r="BT20" i="9" s="1"/>
  <c r="BP24" i="9" a="1"/>
  <c r="BP24" i="9" s="1"/>
  <c r="BW77" i="9" a="1"/>
  <c r="BW77" i="9" s="1"/>
  <c r="BY57" i="9" a="1"/>
  <c r="BY57" i="9" s="1"/>
  <c r="BO83" i="9" a="1"/>
  <c r="BO83" i="9" s="1"/>
  <c r="BW82" i="9" a="1"/>
  <c r="BW82" i="9" s="1"/>
  <c r="BF70" i="9" a="1"/>
  <c r="BF70" i="9" s="1"/>
  <c r="CE108" i="9" a="1"/>
  <c r="CE108" i="9" s="1"/>
  <c r="CF14" i="9" a="1"/>
  <c r="CF14" i="9" s="1"/>
  <c r="BP107" i="9" a="1"/>
  <c r="BP107" i="9" s="1"/>
  <c r="BG108" i="9" a="1"/>
  <c r="BG108" i="9" s="1"/>
  <c r="BF108" i="9" a="1"/>
  <c r="BF108" i="9" s="1"/>
  <c r="BQ13" i="9" a="1"/>
  <c r="BQ13" i="9" s="1"/>
  <c r="CE105" i="9" a="1"/>
  <c r="CE105" i="9" s="1"/>
  <c r="BF102" i="9" a="1"/>
  <c r="BF102" i="9" s="1"/>
  <c r="BY61" i="9" a="1"/>
  <c r="BY61" i="9" s="1"/>
  <c r="BY93" i="9" a="1"/>
  <c r="BY93" i="9" s="1"/>
  <c r="BQ96" i="9" a="1"/>
  <c r="BQ96" i="9" s="1"/>
  <c r="BY94" i="9" a="1"/>
  <c r="BY94" i="9" s="1"/>
  <c r="BM90" i="9" a="1"/>
  <c r="BM90" i="9" s="1"/>
  <c r="CC22" i="9" a="1"/>
  <c r="CC22" i="9" s="1"/>
  <c r="BG13" i="9" a="1"/>
  <c r="BG13" i="9" s="1"/>
  <c r="BW19" i="9" a="1"/>
  <c r="BW19" i="9" s="1"/>
  <c r="BT60" i="9" a="1"/>
  <c r="BT60" i="9" s="1"/>
  <c r="BN40" i="9" a="1"/>
  <c r="BN40" i="9" s="1"/>
  <c r="BK29" i="9" a="1"/>
  <c r="BK29" i="9" s="1"/>
  <c r="CF59" i="9" a="1"/>
  <c r="CF59" i="9" s="1"/>
  <c r="CE73" i="9" a="1"/>
  <c r="CE73" i="9" s="1"/>
  <c r="CF75" i="9" a="1"/>
  <c r="CF75" i="9" s="1"/>
  <c r="BW33" i="9" a="1"/>
  <c r="BW33" i="9" s="1"/>
  <c r="BV74" i="9" a="1"/>
  <c r="BV74" i="9" s="1"/>
  <c r="BP91" i="9" a="1"/>
  <c r="BP91" i="9" s="1"/>
  <c r="BV75" i="9" a="1"/>
  <c r="BV75" i="9" s="1"/>
  <c r="BN92" i="9" a="1"/>
  <c r="BN92" i="9" s="1"/>
  <c r="BY77" i="9" a="1"/>
  <c r="BY77" i="9" s="1"/>
  <c r="CE68" i="9" a="1"/>
  <c r="CE68" i="9" s="1"/>
  <c r="BT66" i="9" a="1"/>
  <c r="BT66" i="9" s="1"/>
  <c r="CC45" i="9" a="1"/>
  <c r="CC45" i="9" s="1"/>
  <c r="BK85" i="9" a="1"/>
  <c r="BK85" i="9" s="1"/>
  <c r="BT65" i="9" a="1"/>
  <c r="BT65" i="9" s="1"/>
  <c r="BV60" i="9" a="1"/>
  <c r="BV60" i="9" s="1"/>
  <c r="BQ63" i="9" a="1"/>
  <c r="BQ63" i="9" s="1"/>
  <c r="BP28" i="9" a="1"/>
  <c r="BP28" i="9" s="1"/>
  <c r="CE106" i="9" a="1"/>
  <c r="CE106" i="9" s="1"/>
  <c r="BT112" i="9" a="1"/>
  <c r="BT112" i="9" s="1"/>
  <c r="CF97" i="9" a="1"/>
  <c r="CF97" i="9" s="1"/>
  <c r="BV101" i="9" a="1"/>
  <c r="BV101" i="9" s="1"/>
  <c r="BM57" i="9" a="1"/>
  <c r="BM57" i="9" s="1"/>
  <c r="BW47" i="9" a="1"/>
  <c r="BW47" i="9" s="1"/>
  <c r="BM60" i="9" a="1"/>
  <c r="BM60" i="9" s="1"/>
  <c r="CF35" i="9" a="1"/>
  <c r="CF35" i="9" s="1"/>
  <c r="BK52" i="9" a="1"/>
  <c r="BK52" i="9" s="1"/>
  <c r="BS26" i="9" a="1"/>
  <c r="BS26" i="9" s="1"/>
  <c r="BN33" i="9" a="1"/>
  <c r="BN33" i="9" s="1"/>
  <c r="BM44" i="9" a="1"/>
  <c r="BM44" i="9" s="1"/>
  <c r="CC17" i="9" a="1"/>
  <c r="CC17" i="9" s="1"/>
  <c r="BO24" i="9" a="1"/>
  <c r="BO24" i="9" s="1"/>
  <c r="BQ30" i="9" a="1"/>
  <c r="BQ30" i="9" s="1"/>
  <c r="BV30" i="9" a="1"/>
  <c r="BV30" i="9" s="1"/>
  <c r="BP72" i="9" a="1"/>
  <c r="BP72" i="9" s="1"/>
  <c r="BN50" i="9" a="1"/>
  <c r="BN50" i="9" s="1"/>
  <c r="CB76" i="9" a="1"/>
  <c r="CB76" i="9" s="1"/>
  <c r="BY83" i="9" a="1"/>
  <c r="BY83" i="9" s="1"/>
  <c r="BW65" i="9" a="1"/>
  <c r="BW65" i="9" s="1"/>
  <c r="BS104" i="9" a="1"/>
  <c r="BS104" i="9" s="1"/>
  <c r="BP15" i="9" a="1"/>
  <c r="BP15" i="9" s="1"/>
  <c r="BN110" i="9" a="1"/>
  <c r="BN110" i="9" s="1"/>
  <c r="BQ101" i="9" a="1"/>
  <c r="BQ101" i="9" s="1"/>
  <c r="BJ99" i="9" a="1"/>
  <c r="BJ99" i="9" s="1"/>
  <c r="BV109" i="9" a="1"/>
  <c r="BV109" i="9" s="1"/>
  <c r="BO100" i="9" a="1"/>
  <c r="BO100" i="9" s="1"/>
  <c r="BM104" i="9" a="1"/>
  <c r="BM104" i="9" s="1"/>
  <c r="BG25" i="9" a="1"/>
  <c r="BG25" i="9" s="1"/>
  <c r="BK87" i="9" a="1"/>
  <c r="BK87" i="9" s="1"/>
  <c r="BS95" i="9" a="1"/>
  <c r="BS95" i="9" s="1"/>
  <c r="BP88" i="9" a="1"/>
  <c r="BP88" i="9" s="1"/>
  <c r="CC88" i="9" a="1"/>
  <c r="CC88" i="9" s="1"/>
  <c r="CF16" i="9" a="1"/>
  <c r="CF16" i="9" s="1"/>
  <c r="BT23" i="9" a="1"/>
  <c r="BT23" i="9" s="1"/>
  <c r="BW28" i="9" a="1"/>
  <c r="BW28" i="9" s="1"/>
  <c r="BF30" i="9" a="1"/>
  <c r="BF30" i="9" s="1"/>
  <c r="BG35" i="9" a="1"/>
  <c r="BG35" i="9" s="1"/>
  <c r="BK20" i="9" a="1"/>
  <c r="BK20" i="9" s="1"/>
  <c r="BZ28" i="9" a="1"/>
  <c r="BZ28" i="9" s="1"/>
  <c r="CB22" i="9" a="1"/>
  <c r="CB22" i="9" s="1"/>
  <c r="BM56" i="9" a="1"/>
  <c r="BM56" i="9" s="1"/>
  <c r="CE57" i="9" a="1"/>
  <c r="CE57" i="9" s="1"/>
  <c r="BG14" i="9" a="1"/>
  <c r="BG14" i="9" s="1"/>
  <c r="BJ87" i="9" a="1"/>
  <c r="BJ87" i="9" s="1"/>
  <c r="BS96" i="9" a="1"/>
  <c r="BS96" i="9" s="1"/>
  <c r="BK92" i="9" a="1"/>
  <c r="BK92" i="9" s="1"/>
  <c r="BV86" i="9" a="1"/>
  <c r="BV86" i="9" s="1"/>
  <c r="BJ77" i="9" a="1"/>
  <c r="BJ77" i="9" s="1"/>
  <c r="BQ72" i="9" a="1"/>
  <c r="BQ72" i="9" s="1"/>
  <c r="BT83" i="9" a="1"/>
  <c r="BT83" i="9" s="1"/>
  <c r="BS83" i="9" a="1"/>
  <c r="BS83" i="9" s="1"/>
  <c r="BK94" i="9" a="1"/>
  <c r="BK94" i="9" s="1"/>
  <c r="BZ83" i="9" a="1"/>
  <c r="BZ83" i="9" s="1"/>
  <c r="BO40" i="9" a="1"/>
  <c r="BO40" i="9" s="1"/>
  <c r="CF66" i="9" a="1"/>
  <c r="CF66" i="9" s="1"/>
  <c r="BO13" i="9" a="1"/>
  <c r="BO13" i="9" s="1"/>
  <c r="BJ47" i="9" a="1"/>
  <c r="BJ47" i="9" s="1"/>
  <c r="BY10" i="9" a="1"/>
  <c r="BY10" i="9" s="1"/>
  <c r="BH25" i="9" a="1"/>
  <c r="BH25" i="9" s="1"/>
  <c r="BZ59" i="9" a="1"/>
  <c r="BZ59" i="9" s="1"/>
  <c r="BP41" i="9" a="1"/>
  <c r="BP41" i="9" s="1"/>
  <c r="BH42" i="9" a="1"/>
  <c r="BH42" i="9" s="1"/>
  <c r="BM95" i="9" a="1"/>
  <c r="BM95" i="9" s="1"/>
  <c r="BK47" i="9" a="1"/>
  <c r="BK47" i="9" s="1"/>
  <c r="BW53" i="9" a="1"/>
  <c r="BW53" i="9" s="1"/>
  <c r="BS64" i="9" a="1"/>
  <c r="BS64" i="9" s="1"/>
  <c r="BM48" i="9" a="1"/>
  <c r="BM48" i="9" s="1"/>
  <c r="BY23" i="9" a="1"/>
  <c r="BY23" i="9" s="1"/>
  <c r="BV28" i="9" a="1"/>
  <c r="BV28" i="9" s="1"/>
  <c r="BZ18" i="9" a="1"/>
  <c r="BZ18" i="9" s="1"/>
  <c r="BO10" i="9" a="1"/>
  <c r="BO10" i="9" s="1"/>
  <c r="BW41" i="9" a="1"/>
  <c r="BW41" i="9" s="1"/>
  <c r="BQ79" i="9" a="1"/>
  <c r="BQ79" i="9" s="1"/>
  <c r="BO71" i="9" a="1"/>
  <c r="BO71" i="9" s="1"/>
  <c r="BO82" i="9" a="1"/>
  <c r="BO82" i="9" s="1"/>
  <c r="CF109" i="9" a="1"/>
  <c r="CF109" i="9" s="1"/>
  <c r="CE62" i="9" a="1"/>
  <c r="CE62" i="9" s="1"/>
  <c r="BJ111" i="9" a="1"/>
  <c r="BJ111" i="9" s="1"/>
  <c r="BS106" i="9" a="1"/>
  <c r="BS106" i="9" s="1"/>
  <c r="BP105" i="9" a="1"/>
  <c r="BP105" i="9" s="1"/>
  <c r="BN57" i="9" a="1"/>
  <c r="BN57" i="9" s="1"/>
  <c r="BG106" i="9" a="1"/>
  <c r="BG106" i="9" s="1"/>
  <c r="BG110" i="9" a="1"/>
  <c r="BG110" i="9" s="1"/>
  <c r="BH26" i="9" a="1"/>
  <c r="BH26" i="9" s="1"/>
  <c r="BZ96" i="9" a="1"/>
  <c r="BZ96" i="9" s="1"/>
  <c r="BO103" i="9" a="1"/>
  <c r="BO103" i="9" s="1"/>
  <c r="BZ86" i="9" a="1"/>
  <c r="BZ86" i="9" s="1"/>
  <c r="CC92" i="9" a="1"/>
  <c r="CC92" i="9" s="1"/>
  <c r="BW36" i="9" a="1"/>
  <c r="BW36" i="9" s="1"/>
  <c r="BK21" i="9" a="1"/>
  <c r="BK21" i="9" s="1"/>
  <c r="BQ27" i="9" a="1"/>
  <c r="BQ27" i="9" s="1"/>
  <c r="BF18" i="9" a="1"/>
  <c r="BF18" i="9" s="1"/>
  <c r="BJ57" i="9" a="1"/>
  <c r="BJ57" i="9" s="1"/>
  <c r="CB13" i="9" a="1"/>
  <c r="CB13" i="9" s="1"/>
  <c r="BY32" i="9" a="1"/>
  <c r="BY32" i="9" s="1"/>
  <c r="BG49" i="9" a="1"/>
  <c r="BG49" i="9" s="1"/>
  <c r="CB68" i="9" a="1"/>
  <c r="CB68" i="9" s="1"/>
  <c r="CF21" i="9" a="1"/>
  <c r="CF21" i="9" s="1"/>
  <c r="BQ92" i="9" a="1"/>
  <c r="BQ92" i="9" s="1"/>
  <c r="BP93" i="9" a="1"/>
  <c r="BP93" i="9" s="1"/>
  <c r="BJ86" i="9" a="1"/>
  <c r="BJ86" i="9" s="1"/>
  <c r="BH84" i="9" a="1"/>
  <c r="BH84" i="9" s="1"/>
  <c r="BS73" i="9" a="1"/>
  <c r="BS73" i="9" s="1"/>
  <c r="BP78" i="9" a="1"/>
  <c r="BP78" i="9" s="1"/>
  <c r="BW69" i="9" a="1"/>
  <c r="BW69" i="9" s="1"/>
  <c r="BH60" i="9" a="1"/>
  <c r="BH60" i="9" s="1"/>
  <c r="CB84" i="9" a="1"/>
  <c r="CB84" i="9" s="1"/>
  <c r="BZ68" i="9" a="1"/>
  <c r="BZ68" i="9" s="1"/>
  <c r="BS71" i="9" a="1"/>
  <c r="BS71" i="9" s="1"/>
  <c r="CC36" i="9" a="1"/>
  <c r="CC36" i="9" s="1"/>
  <c r="BG58" i="9" a="1"/>
  <c r="BG58" i="9" s="1"/>
  <c r="BM105" i="9" a="1"/>
  <c r="BM105" i="9" s="1"/>
  <c r="CE17" i="9" a="1"/>
  <c r="CE17" i="9" s="1"/>
  <c r="BY107" i="9" a="1"/>
  <c r="BY107" i="9" s="1"/>
  <c r="BS111" i="9" a="1"/>
  <c r="BS111" i="9" s="1"/>
  <c r="BS58" i="9" a="1"/>
  <c r="BS58" i="9" s="1"/>
  <c r="BF71" i="9" a="1"/>
  <c r="BF71" i="9" s="1"/>
  <c r="BV72" i="9" a="1"/>
  <c r="BV72" i="9" s="1"/>
  <c r="BJ24" i="9" a="1"/>
  <c r="BJ24" i="9" s="1"/>
  <c r="BZ19" i="9" a="1"/>
  <c r="BZ19" i="9" s="1"/>
  <c r="BO68" i="9" a="1"/>
  <c r="BO68" i="9" s="1"/>
  <c r="BK44" i="9" a="1"/>
  <c r="BK44" i="9" s="1"/>
  <c r="CE65" i="9" a="1"/>
  <c r="CE65" i="9" s="1"/>
  <c r="BH50" i="9" a="1"/>
  <c r="BH50" i="9" s="1"/>
  <c r="BK13" i="9" a="1"/>
  <c r="BK13" i="9" s="1"/>
  <c r="BK27" i="9" a="1"/>
  <c r="BK27" i="9" s="1"/>
  <c r="BK46" i="9" a="1"/>
  <c r="BK46" i="9" s="1"/>
  <c r="BZ53" i="9" a="1"/>
  <c r="BZ53" i="9" s="1"/>
  <c r="CC51" i="9" a="1"/>
  <c r="CC51" i="9" s="1"/>
  <c r="BO112" i="9" a="1"/>
  <c r="BO112" i="9" s="1"/>
  <c r="BN65" i="9" a="1"/>
  <c r="BN65" i="9" s="1"/>
  <c r="BQ108" i="9" a="1"/>
  <c r="BQ108" i="9" s="1"/>
  <c r="CF108" i="9" a="1"/>
  <c r="CF108" i="9" s="1"/>
  <c r="CC104" i="9" a="1"/>
  <c r="CC104" i="9" s="1"/>
  <c r="BP97" i="9" a="1"/>
  <c r="BP97" i="9" s="1"/>
  <c r="BH93" i="9" a="1"/>
  <c r="BH93" i="9" s="1"/>
  <c r="BY90" i="9" a="1"/>
  <c r="BY90" i="9" s="1"/>
  <c r="CE98" i="9" a="1"/>
  <c r="CE98" i="9" s="1"/>
  <c r="BH92" i="9" a="1"/>
  <c r="BH92" i="9" s="1"/>
  <c r="BW87" i="9" a="1"/>
  <c r="BW87" i="9" s="1"/>
  <c r="CC12" i="9" a="1"/>
  <c r="CC12" i="9" s="1"/>
  <c r="CB83" i="9" a="1"/>
  <c r="CB83" i="9" s="1"/>
  <c r="BQ81" i="9" a="1"/>
  <c r="BQ81" i="9" s="1"/>
  <c r="CB85" i="9" a="1"/>
  <c r="CB85" i="9" s="1"/>
  <c r="BM81" i="9" a="1"/>
  <c r="BM81" i="9" s="1"/>
  <c r="BK49" i="9" a="1"/>
  <c r="BK49" i="9" s="1"/>
  <c r="CF56" i="9" a="1"/>
  <c r="CF56" i="9" s="1"/>
  <c r="BN26" i="9" a="1"/>
  <c r="BN26" i="9" s="1"/>
  <c r="BG43" i="9" a="1"/>
  <c r="BG43" i="9" s="1"/>
  <c r="BK82" i="9" a="1"/>
  <c r="BK82" i="9" s="1"/>
  <c r="BM33" i="9" a="1"/>
  <c r="BM33" i="9" s="1"/>
  <c r="BF48" i="9" a="1"/>
  <c r="BF48" i="9" s="1"/>
  <c r="BF88" i="9" a="1"/>
  <c r="BF88" i="9" s="1"/>
  <c r="CB43" i="9" a="1"/>
  <c r="CB43" i="9" s="1"/>
  <c r="BZ45" i="9" a="1"/>
  <c r="BZ45" i="9" s="1"/>
  <c r="BJ41" i="9" a="1"/>
  <c r="BJ41" i="9" s="1"/>
  <c r="CF43" i="9" a="1"/>
  <c r="CF43" i="9" s="1"/>
  <c r="BH80" i="9" a="1"/>
  <c r="BH80" i="9" s="1"/>
  <c r="BN82" i="9" a="1"/>
  <c r="BN82" i="9" s="1"/>
  <c r="CC77" i="9" a="1"/>
  <c r="CC77" i="9" s="1"/>
  <c r="BG84" i="9" a="1"/>
  <c r="BG84" i="9" s="1"/>
  <c r="BF85" i="9" a="1"/>
  <c r="BF85" i="9" s="1"/>
  <c r="BY70" i="9" a="1"/>
  <c r="BY70" i="9" s="1"/>
  <c r="BH52" i="9" a="1"/>
  <c r="BH52" i="9" s="1"/>
  <c r="BQ78" i="9" a="1"/>
  <c r="BQ78" i="9" s="1"/>
  <c r="CB69" i="9" a="1"/>
  <c r="CB69" i="9" s="1"/>
  <c r="BN67" i="9" a="1"/>
  <c r="BN67" i="9" s="1"/>
  <c r="BO81" i="9" a="1"/>
  <c r="BO81" i="9" s="1"/>
  <c r="CB35" i="9" a="1"/>
  <c r="CB35" i="9" s="1"/>
  <c r="BF103" i="9" a="1"/>
  <c r="BF103" i="9" s="1"/>
  <c r="BW18" i="9" a="1"/>
  <c r="BW18" i="9" s="1"/>
  <c r="BK104" i="9" a="1"/>
  <c r="BK104" i="9" s="1"/>
  <c r="BZ99" i="9" a="1"/>
  <c r="BZ99" i="9" s="1"/>
  <c r="BT42" i="9" a="1"/>
  <c r="BT42" i="9" s="1"/>
  <c r="BW81" i="9" a="1"/>
  <c r="BW81" i="9" s="1"/>
  <c r="BK35" i="9" a="1"/>
  <c r="BK35" i="9" s="1"/>
  <c r="BJ44" i="9" a="1"/>
  <c r="BJ44" i="9" s="1"/>
  <c r="BS47" i="9" a="1"/>
  <c r="BS47" i="9" s="1"/>
  <c r="BG71" i="9" a="1"/>
  <c r="BG71" i="9" s="1"/>
  <c r="CC57" i="9" a="1"/>
  <c r="CC57" i="9" s="1"/>
  <c r="BP106" i="9" a="1"/>
  <c r="BP106" i="9" s="1"/>
  <c r="BQ39" i="9" a="1"/>
  <c r="BQ39" i="9" s="1"/>
  <c r="BP52" i="9" a="1"/>
  <c r="BP52" i="9" s="1"/>
  <c r="BS66" i="9" a="1"/>
  <c r="BS66" i="9" s="1"/>
  <c r="BT44" i="9" a="1"/>
  <c r="BT44" i="9" s="1"/>
  <c r="BH12" i="9" a="1"/>
  <c r="BH12" i="9" s="1"/>
  <c r="BJ49" i="9" a="1"/>
  <c r="BJ49" i="9" s="1"/>
  <c r="CC48" i="9" a="1"/>
  <c r="CC48" i="9" s="1"/>
  <c r="BH46" i="9" a="1"/>
  <c r="BH46" i="9" s="1"/>
  <c r="BO31" i="9" a="1"/>
  <c r="BO31" i="9" s="1"/>
  <c r="CE69" i="9" a="1"/>
  <c r="CE69" i="9" s="1"/>
  <c r="BF51" i="9" a="1"/>
  <c r="BF51" i="9" s="1"/>
  <c r="BP46" i="9" a="1"/>
  <c r="BP46" i="9" s="1"/>
  <c r="BQ12" i="9" a="1"/>
  <c r="BQ12" i="9" s="1"/>
  <c r="BT110" i="9" a="1"/>
  <c r="BT110" i="9" s="1"/>
  <c r="CE104" i="9" a="1"/>
  <c r="CE104" i="9" s="1"/>
  <c r="BP100" i="9" a="1"/>
  <c r="BP100" i="9" s="1"/>
  <c r="BK105" i="9" a="1"/>
  <c r="BK105" i="9" s="1"/>
  <c r="CC105" i="9" a="1"/>
  <c r="CC105" i="9" s="1"/>
  <c r="BN99" i="9" a="1"/>
  <c r="BN99" i="9" s="1"/>
  <c r="BO96" i="9" a="1"/>
  <c r="BO96" i="9" s="1"/>
  <c r="BP25" i="9" a="1"/>
  <c r="BP25" i="9" s="1"/>
  <c r="CE89" i="9" a="1"/>
  <c r="CE89" i="9" s="1"/>
  <c r="BT87" i="9" a="1"/>
  <c r="BT87" i="9" s="1"/>
  <c r="BJ96" i="9" a="1"/>
  <c r="BJ96" i="9" s="1"/>
  <c r="CC83" i="9" a="1"/>
  <c r="CC83" i="9" s="1"/>
  <c r="BZ41" i="9" a="1"/>
  <c r="BZ41" i="9" s="1"/>
  <c r="BG66" i="9" a="1"/>
  <c r="BG66" i="9" s="1"/>
  <c r="BF46" i="9" a="1"/>
  <c r="BF46" i="9" s="1"/>
  <c r="BN45" i="9" a="1"/>
  <c r="BN45" i="9" s="1"/>
  <c r="CC54" i="9" a="1"/>
  <c r="CC54" i="9" s="1"/>
  <c r="BW26" i="9" a="1"/>
  <c r="BW26" i="9" s="1"/>
  <c r="BS41" i="9" a="1"/>
  <c r="BS41" i="9" s="1"/>
  <c r="BV16" i="9" a="1"/>
  <c r="BV16" i="9" s="1"/>
  <c r="BF15" i="9" a="1"/>
  <c r="BF15" i="9" s="1"/>
  <c r="BH47" i="9" a="1"/>
  <c r="BH47" i="9" s="1"/>
  <c r="BJ20" i="9" a="1"/>
  <c r="BJ20" i="9" s="1"/>
  <c r="BS17" i="9" a="1"/>
  <c r="BS17" i="9" s="1"/>
  <c r="BN70" i="9" a="1"/>
  <c r="BN70" i="9" s="1"/>
  <c r="BG79" i="9" a="1"/>
  <c r="BG79" i="9" s="1"/>
  <c r="BW83" i="9" a="1"/>
  <c r="BW83" i="9" s="1"/>
  <c r="BY78" i="9" a="1"/>
  <c r="BY78" i="9" s="1"/>
  <c r="BG17" i="9" a="1"/>
  <c r="BG17" i="9" s="1"/>
  <c r="BP45" i="9" a="1"/>
  <c r="BP45" i="9" s="1"/>
  <c r="BP14" i="9" a="1"/>
  <c r="BP14" i="9" s="1"/>
  <c r="BW11" i="9" a="1"/>
  <c r="BW11" i="9" s="1"/>
  <c r="CF15" i="9" a="1"/>
  <c r="CF15" i="9" s="1"/>
  <c r="BG40" i="9" a="1"/>
  <c r="BG40" i="9" s="1"/>
  <c r="CB12" i="9" a="1"/>
  <c r="CB12" i="9" s="1"/>
  <c r="CF111" i="9" a="1"/>
  <c r="CF111" i="9" s="1"/>
  <c r="BY34" i="9" a="1"/>
  <c r="BY34" i="9" s="1"/>
  <c r="BT95" i="9" a="1"/>
  <c r="BT95" i="9" s="1"/>
  <c r="CB100" i="9" a="1"/>
  <c r="CB100" i="9" s="1"/>
  <c r="BV96" i="9" a="1"/>
  <c r="BV96" i="9" s="1"/>
  <c r="BS97" i="9" a="1"/>
  <c r="BS97" i="9" s="1"/>
  <c r="BK22" i="9" a="1"/>
  <c r="BK22" i="9" s="1"/>
  <c r="BO25" i="9" a="1"/>
  <c r="BO25" i="9" s="1"/>
  <c r="BQ22" i="9" a="1"/>
  <c r="BQ22" i="9" s="1"/>
  <c r="BZ14" i="9" a="1"/>
  <c r="BZ14" i="9" s="1"/>
  <c r="BN31" i="9" a="1"/>
  <c r="BN31" i="9" s="1"/>
  <c r="BT43" i="9" a="1"/>
  <c r="BT43" i="9" s="1"/>
  <c r="CC64" i="9" a="1"/>
  <c r="CC64" i="9" s="1"/>
  <c r="BZ27" i="9" a="1"/>
  <c r="BZ27" i="9" s="1"/>
  <c r="BY30" i="9" a="1"/>
  <c r="BY30" i="9" s="1"/>
  <c r="BG87" i="9" a="1"/>
  <c r="BG87" i="9" s="1"/>
  <c r="BH34" i="9" a="1"/>
  <c r="BH34" i="9" s="1"/>
  <c r="BM59" i="9" a="1"/>
  <c r="BM59" i="9" s="1"/>
  <c r="BY91" i="9" a="1"/>
  <c r="BY91" i="9" s="1"/>
  <c r="BY54" i="9" a="1"/>
  <c r="BY54" i="9" s="1"/>
  <c r="BW51" i="9" a="1"/>
  <c r="BW51" i="9" s="1"/>
  <c r="BH107" i="9" a="1"/>
  <c r="BH107" i="9" s="1"/>
  <c r="BY112" i="9" a="1"/>
  <c r="BY112" i="9" s="1"/>
  <c r="BZ97" i="9" a="1"/>
  <c r="BZ97" i="9" s="1"/>
  <c r="BG103" i="9" a="1"/>
  <c r="BG103" i="9" s="1"/>
  <c r="CE87" i="9" a="1"/>
  <c r="CE87" i="9" s="1"/>
  <c r="BF83" i="9" a="1"/>
  <c r="BF83" i="9" s="1"/>
  <c r="BZ78" i="9" a="1"/>
  <c r="BZ78" i="9" s="1"/>
  <c r="BK76" i="9" a="1"/>
  <c r="BK76" i="9" s="1"/>
  <c r="BJ93" i="9" a="1"/>
  <c r="BJ93" i="9" s="1"/>
  <c r="BP77" i="9" a="1"/>
  <c r="BP77" i="9" s="1"/>
  <c r="CB72" i="9" a="1"/>
  <c r="CB72" i="9" s="1"/>
  <c r="BM69" i="9" a="1"/>
  <c r="BM69" i="9" s="1"/>
  <c r="BV49" i="9" a="1"/>
  <c r="BV49" i="9" s="1"/>
  <c r="BG76" i="9" a="1"/>
  <c r="BG76" i="9" s="1"/>
  <c r="BM71" i="9" a="1"/>
  <c r="BM71" i="9" s="1"/>
  <c r="CE64" i="9" a="1"/>
  <c r="CE64" i="9" s="1"/>
  <c r="BT94" i="9" a="1"/>
  <c r="BT94" i="9" s="1"/>
  <c r="BJ66" i="9" a="1"/>
  <c r="BJ66" i="9" s="1"/>
  <c r="BP58" i="9" a="1"/>
  <c r="BP58" i="9" s="1"/>
  <c r="BV76" i="9" a="1"/>
  <c r="BV76" i="9" s="1"/>
  <c r="BY53" i="9" a="1"/>
  <c r="BY53" i="9" s="1"/>
  <c r="CE46" i="9" a="1"/>
  <c r="CE46" i="9" s="1"/>
  <c r="BZ63" i="9" a="1"/>
  <c r="BZ63" i="9" s="1"/>
  <c r="BY29" i="9" a="1"/>
  <c r="BY29" i="9" s="1"/>
  <c r="BM43" i="9" a="1"/>
  <c r="BM43" i="9" s="1"/>
  <c r="BY99" i="9" a="1"/>
  <c r="BY99" i="9" s="1"/>
  <c r="CE76" i="9" a="1"/>
  <c r="CE76" i="9" s="1"/>
  <c r="BJ88" i="9" a="1"/>
  <c r="BJ88" i="9" s="1"/>
  <c r="BZ17" i="9" a="1"/>
  <c r="BZ17" i="9" s="1"/>
  <c r="BJ39" i="9" a="1"/>
  <c r="BJ39" i="9" s="1"/>
  <c r="BH15" i="9" a="1"/>
  <c r="BH15" i="9" s="1"/>
  <c r="BH111" i="9" a="1"/>
  <c r="BH111" i="9" s="1"/>
  <c r="BY108" i="9" a="1"/>
  <c r="BY108" i="9" s="1"/>
  <c r="BV66" i="9" a="1"/>
  <c r="BV66" i="9" s="1"/>
  <c r="BH110" i="9" a="1"/>
  <c r="BH110" i="9" s="1"/>
  <c r="BZ110" i="9" a="1"/>
  <c r="BZ110" i="9" s="1"/>
  <c r="BT27" i="9" a="1"/>
  <c r="BT27" i="9" s="1"/>
  <c r="CC96" i="9" a="1"/>
  <c r="CC96" i="9" s="1"/>
  <c r="BH103" i="9" a="1"/>
  <c r="BH103" i="9" s="1"/>
  <c r="BV95" i="9" a="1"/>
  <c r="BV95" i="9" s="1"/>
  <c r="BN91" i="9" a="1"/>
  <c r="BN91" i="9" s="1"/>
  <c r="BM23" i="9" a="1"/>
  <c r="BM23" i="9" s="1"/>
  <c r="CB15" i="9" a="1"/>
  <c r="CB15" i="9" s="1"/>
  <c r="BO35" i="9" a="1"/>
  <c r="BO35" i="9" s="1"/>
  <c r="BM21" i="9" a="1"/>
  <c r="BM21" i="9" s="1"/>
  <c r="BP33" i="9" a="1"/>
  <c r="BP33" i="9" s="1"/>
  <c r="CC35" i="9" a="1"/>
  <c r="CC35" i="9" s="1"/>
  <c r="BM42" i="9" a="1"/>
  <c r="BM42" i="9" s="1"/>
  <c r="CF61" i="9" a="1"/>
  <c r="CF61" i="9" s="1"/>
  <c r="CF57" i="9" a="1"/>
  <c r="CF57" i="9" s="1"/>
  <c r="BZ93" i="9" a="1"/>
  <c r="BZ93" i="9" s="1"/>
  <c r="BF28" i="9" a="1"/>
  <c r="BF28" i="9" s="1"/>
  <c r="CB10" i="9" a="1"/>
  <c r="CB10" i="9" s="1"/>
  <c r="BQ21" i="9" a="1"/>
  <c r="BQ21" i="9" s="1"/>
  <c r="BW74" i="9" a="1"/>
  <c r="BW74" i="9" s="1"/>
  <c r="BS51" i="9" a="1"/>
  <c r="BS51" i="9" s="1"/>
  <c r="BV65" i="9" a="1"/>
  <c r="BV65" i="9" s="1"/>
  <c r="CC27" i="9" a="1"/>
  <c r="CC27" i="9" s="1"/>
  <c r="BQ104" i="9" a="1"/>
  <c r="BQ104" i="9" s="1"/>
  <c r="BG104" i="9" a="1"/>
  <c r="BG104" i="9" s="1"/>
  <c r="BO87" i="9" a="1"/>
  <c r="BO87" i="9" s="1"/>
  <c r="BW93" i="9" a="1"/>
  <c r="BW93" i="9" s="1"/>
  <c r="BZ79" i="9" a="1"/>
  <c r="BZ79" i="9" s="1"/>
  <c r="BO84" i="9" a="1"/>
  <c r="BO84" i="9" s="1"/>
  <c r="BS79" i="9" a="1"/>
  <c r="BS79" i="9" s="1"/>
  <c r="CC62" i="9" a="1"/>
  <c r="CC62" i="9" s="1"/>
  <c r="BF74" i="9" a="1"/>
  <c r="BF74" i="9" s="1"/>
  <c r="BV78" i="9" a="1"/>
  <c r="BV78" i="9" s="1"/>
  <c r="BJ74" i="9" a="1"/>
  <c r="BJ74" i="9" s="1"/>
  <c r="CF60" i="9" a="1"/>
  <c r="CF60" i="9" s="1"/>
  <c r="BK57" i="9" a="1"/>
  <c r="BK57" i="9" s="1"/>
  <c r="CF112" i="9" a="1"/>
  <c r="CF112" i="9" s="1"/>
  <c r="BP37" i="9" a="1"/>
  <c r="BP37" i="9" s="1"/>
  <c r="BO18" i="9" a="1"/>
  <c r="BO18" i="9" s="1"/>
  <c r="BN109" i="9" a="1"/>
  <c r="BN109" i="9" s="1"/>
  <c r="CF70" i="9" a="1"/>
  <c r="CF70" i="9" s="1"/>
  <c r="BV50" i="9" a="1"/>
  <c r="BV50" i="9" s="1"/>
  <c r="BY64" i="9" a="1"/>
  <c r="BY64" i="9" s="1"/>
  <c r="BQ60" i="9" a="1"/>
  <c r="BQ60" i="9" s="1"/>
  <c r="BM39" i="9" a="1"/>
  <c r="BM39" i="9" s="1"/>
  <c r="BZ71" i="9" a="1"/>
  <c r="BZ71" i="9" s="1"/>
  <c r="BH59" i="9" a="1"/>
  <c r="BH59" i="9" s="1"/>
  <c r="BF36" i="9" a="1"/>
  <c r="BF36" i="9" s="1"/>
  <c r="BO66" i="9" a="1"/>
  <c r="BO66" i="9" s="1"/>
  <c r="BY47" i="9" a="1"/>
  <c r="BY47" i="9" s="1"/>
  <c r="BZ37" i="9" a="1"/>
  <c r="BZ37" i="9" s="1"/>
  <c r="BV61" i="9" a="1"/>
  <c r="BV61" i="9" s="1"/>
  <c r="BJ107" i="9" a="1"/>
  <c r="BJ107" i="9" s="1"/>
  <c r="BZ16" i="9" a="1"/>
  <c r="BZ16" i="9" s="1"/>
  <c r="BN111" i="9" a="1"/>
  <c r="BN111" i="9" s="1"/>
  <c r="BT106" i="9" a="1"/>
  <c r="BT106" i="9" s="1"/>
  <c r="BQ98" i="9" a="1"/>
  <c r="BQ98" i="9" s="1"/>
  <c r="BZ92" i="9" a="1"/>
  <c r="BZ92" i="9" s="1"/>
  <c r="CB87" i="9" a="1"/>
  <c r="CB87" i="9" s="1"/>
  <c r="BM99" i="9" a="1"/>
  <c r="BM99" i="9" s="1"/>
  <c r="BW102" i="9" a="1"/>
  <c r="BW102" i="9" s="1"/>
  <c r="CB86" i="9" a="1"/>
  <c r="CB86" i="9" s="1"/>
  <c r="BW92" i="9" a="1"/>
  <c r="BW92" i="9" s="1"/>
  <c r="BS28" i="9" a="1"/>
  <c r="BS28" i="9" s="1"/>
  <c r="BH45" i="9" a="1"/>
  <c r="BH45" i="9" s="1"/>
  <c r="BS81" i="9" a="1"/>
  <c r="BS81" i="9" s="1"/>
  <c r="BY75" i="9" a="1"/>
  <c r="BY75" i="9" s="1"/>
  <c r="BH69" i="9" a="1"/>
  <c r="BH69" i="9" s="1"/>
  <c r="BW85" i="9" a="1"/>
  <c r="BW85" i="9" s="1"/>
  <c r="BG34" i="9" a="1"/>
  <c r="BG34" i="9" s="1"/>
  <c r="BV48" i="9" a="1"/>
  <c r="BV48" i="9" s="1"/>
  <c r="BG60" i="9" a="1"/>
  <c r="BG60" i="9" s="1"/>
  <c r="BZ30" i="9" a="1"/>
  <c r="BZ30" i="9" s="1"/>
  <c r="BM37" i="9" a="1"/>
  <c r="BM37" i="9" s="1"/>
  <c r="CE47" i="9" a="1"/>
  <c r="CE47" i="9" s="1"/>
  <c r="BG29" i="9" a="1"/>
  <c r="BG29" i="9" s="1"/>
  <c r="CC56" i="9" a="1"/>
  <c r="CC56" i="9" s="1"/>
  <c r="BT45" i="9" a="1"/>
  <c r="BT45" i="9" s="1"/>
  <c r="BP21" i="9" a="1"/>
  <c r="BP21" i="9" s="1"/>
  <c r="BQ23" i="9" a="1"/>
  <c r="BQ23" i="9" s="1"/>
  <c r="BO29" i="9" a="1"/>
  <c r="BO29" i="9" s="1"/>
  <c r="CF23" i="9" a="1"/>
  <c r="CF23" i="9" s="1"/>
  <c r="CB11" i="9" a="1"/>
  <c r="CB11" i="9" s="1"/>
  <c r="BG69" i="9" a="1"/>
  <c r="BG69" i="9" s="1"/>
  <c r="BF82" i="9" a="1"/>
  <c r="BF82" i="9" s="1"/>
  <c r="CC87" i="9" a="1"/>
  <c r="CC87" i="9" s="1"/>
  <c r="BJ82" i="9" a="1"/>
  <c r="BJ82" i="9" s="1"/>
  <c r="BP11" i="9" a="1"/>
  <c r="BP11" i="9" s="1"/>
  <c r="BZ48" i="9" a="1"/>
  <c r="BZ48" i="9" s="1"/>
  <c r="BF9" i="9" a="1"/>
  <c r="BF9" i="9" s="1"/>
  <c r="BO17" i="9" a="1"/>
  <c r="BO17" i="9" s="1"/>
  <c r="BT9" i="9" a="1"/>
  <c r="BT9" i="9" s="1"/>
  <c r="BF43" i="9" a="1"/>
  <c r="BF43" i="9" s="1"/>
  <c r="CB19" i="9" a="1"/>
  <c r="CB19" i="9" s="1"/>
  <c r="BH104" i="9" a="1"/>
  <c r="BH104" i="9" s="1"/>
  <c r="BW21" i="9" a="1"/>
  <c r="BW21" i="9" s="1"/>
  <c r="CF13" i="9" a="1"/>
  <c r="CF13" i="9" s="1"/>
  <c r="BF11" i="9" a="1"/>
  <c r="BF11" i="9" s="1"/>
  <c r="BZ11" i="9" a="1"/>
  <c r="BZ11" i="9" s="1"/>
  <c r="BQ85" i="9" a="1"/>
  <c r="BQ85" i="9" s="1"/>
  <c r="BF69" i="9" a="1"/>
  <c r="BF69" i="9" s="1"/>
  <c r="BW56" i="9" a="1"/>
  <c r="BW56" i="9" s="1"/>
  <c r="BH41" i="9" a="1"/>
  <c r="BH41" i="9" s="1"/>
  <c r="CC11" i="9" a="1"/>
  <c r="CC11" i="9" s="1"/>
  <c r="CC14" i="9" a="1"/>
  <c r="CC14" i="9" s="1"/>
  <c r="BG98" i="9" a="1"/>
  <c r="BG98" i="9" s="1"/>
  <c r="CC103" i="9" a="1"/>
  <c r="CC103" i="9" s="1"/>
  <c r="BS20" i="9" a="1"/>
  <c r="BS20" i="9" s="1"/>
  <c r="CC13" i="9" a="1"/>
  <c r="CC13" i="9" s="1"/>
  <c r="BK30" i="9" a="1"/>
  <c r="BK30" i="9" s="1"/>
  <c r="BQ43" i="9" a="1"/>
  <c r="BQ43" i="9" s="1"/>
  <c r="BQ40" i="9" a="1"/>
  <c r="BQ40" i="9" s="1"/>
  <c r="BN37" i="9" a="1"/>
  <c r="BN37" i="9" s="1"/>
  <c r="BN71" i="9" a="1"/>
  <c r="BN71" i="9" s="1"/>
  <c r="BV39" i="9" a="1"/>
  <c r="BV39" i="9" s="1"/>
  <c r="BV27" i="9" a="1"/>
  <c r="BV27" i="9" s="1"/>
  <c r="BZ58" i="9" a="1"/>
  <c r="BZ58" i="9" s="1"/>
  <c r="BM68" i="9" a="1"/>
  <c r="BM68" i="9" s="1"/>
  <c r="BK77" i="9" a="1"/>
  <c r="BK77" i="9" s="1"/>
  <c r="CE13" i="9" a="1"/>
  <c r="CE13" i="9" s="1"/>
  <c r="BJ27" i="9" a="1"/>
  <c r="BJ27" i="9" s="1"/>
  <c r="BY92" i="9" a="1"/>
  <c r="BY92" i="9" s="1"/>
  <c r="BN88" i="9" a="1"/>
  <c r="BN88" i="9" s="1"/>
  <c r="BW72" i="9" a="1"/>
  <c r="BW72" i="9" s="1"/>
  <c r="BZ84" i="9" a="1"/>
  <c r="BZ84" i="9" s="1"/>
  <c r="BZ74" i="9" a="1"/>
  <c r="BZ74" i="9" s="1"/>
  <c r="BY67" i="9" a="1"/>
  <c r="BY67" i="9" s="1"/>
  <c r="BM63" i="9" a="1"/>
  <c r="BM63" i="9" s="1"/>
  <c r="BN42" i="9" a="1"/>
  <c r="BN42" i="9" s="1"/>
  <c r="CF72" i="9" a="1"/>
  <c r="CF72" i="9" s="1"/>
  <c r="BM62" i="9" a="1"/>
  <c r="BM62" i="9" s="1"/>
  <c r="BW57" i="9" a="1"/>
  <c r="BW57" i="9" s="1"/>
  <c r="BO60" i="9" a="1"/>
  <c r="BO60" i="9" s="1"/>
  <c r="BN25" i="9" a="1"/>
  <c r="BN25" i="9" s="1"/>
  <c r="BH102" i="9" a="1"/>
  <c r="BH102" i="9" s="1"/>
  <c r="BM109" i="9" a="1"/>
  <c r="BM109" i="9" s="1"/>
  <c r="BM103" i="9" a="1"/>
  <c r="BM103" i="9" s="1"/>
  <c r="BW98" i="9" a="1"/>
  <c r="BW98" i="9" s="1"/>
  <c r="BK67" i="9" a="1"/>
  <c r="BK67" i="9" s="1"/>
  <c r="BT70" i="9" a="1"/>
  <c r="BT70" i="9" s="1"/>
  <c r="BK9" i="9" a="1"/>
  <c r="BK9" i="9" s="1"/>
  <c r="BZ20" i="9" a="1"/>
  <c r="BZ20" i="9" s="1"/>
  <c r="BN17" i="9" a="1"/>
  <c r="BN17" i="9" s="1"/>
  <c r="BJ29" i="9" a="1"/>
  <c r="BJ29" i="9" s="1"/>
  <c r="BS35" i="9" a="1"/>
  <c r="BS35" i="9" s="1"/>
  <c r="BZ46" i="9" a="1"/>
  <c r="BZ46" i="9" s="1"/>
  <c r="BJ36" i="9" a="1"/>
  <c r="BJ36" i="9" s="1"/>
  <c r="BN96" i="9" a="1"/>
  <c r="BN96" i="9" s="1"/>
  <c r="BY101" i="9" a="1"/>
  <c r="BY101" i="9" s="1"/>
  <c r="BN97" i="9" a="1"/>
  <c r="BN97" i="9" s="1"/>
  <c r="BJ100" i="9" a="1"/>
  <c r="BJ100" i="9" s="1"/>
  <c r="CE92" i="9" a="1"/>
  <c r="CE92" i="9" s="1"/>
  <c r="BP83" i="9" a="1"/>
  <c r="BP83" i="9" s="1"/>
  <c r="CB78" i="9" a="1"/>
  <c r="CB78" i="9" s="1"/>
  <c r="BO97" i="9" a="1"/>
  <c r="BO97" i="9" s="1"/>
  <c r="BN87" i="9" a="1"/>
  <c r="BN87" i="9" s="1"/>
  <c r="CE77" i="9" a="1"/>
  <c r="CE77" i="9" s="1"/>
  <c r="BK73" i="9" a="1"/>
  <c r="BK73" i="9" s="1"/>
  <c r="CB50" i="9" a="1"/>
  <c r="CB50" i="9" s="1"/>
  <c r="BV33" i="9" a="1"/>
  <c r="BV33" i="9" s="1"/>
  <c r="BJ72" i="9" a="1"/>
  <c r="BJ72" i="9" s="1"/>
  <c r="BP53" i="9" a="1"/>
  <c r="BP53" i="9" s="1"/>
  <c r="CE48" i="9" a="1"/>
  <c r="CE48" i="9" s="1"/>
  <c r="BZ54" i="9" a="1"/>
  <c r="BZ54" i="9" s="1"/>
  <c r="BW32" i="9" a="1"/>
  <c r="BW32" i="9" s="1"/>
  <c r="BK63" i="9" a="1"/>
  <c r="BK63" i="9" s="1"/>
  <c r="BF47" i="9" a="1"/>
  <c r="BF47" i="9" s="1"/>
  <c r="BZ95" i="9" a="1"/>
  <c r="BZ95" i="9" s="1"/>
  <c r="BO43" i="9" a="1"/>
  <c r="BO43" i="9" s="1"/>
  <c r="BF64" i="9" a="1"/>
  <c r="BF64" i="9" s="1"/>
  <c r="BW52" i="9" a="1"/>
  <c r="BW52" i="9" s="1"/>
  <c r="BY13" i="9" a="1"/>
  <c r="BY13" i="9" s="1"/>
  <c r="BH28" i="9" a="1"/>
  <c r="BH28" i="9" s="1"/>
  <c r="CC55" i="9" a="1"/>
  <c r="CC55" i="9" s="1"/>
  <c r="BG89" i="9" a="1"/>
  <c r="BG89" i="9" s="1"/>
  <c r="BM14" i="9" a="1"/>
  <c r="BM14" i="9" s="1"/>
  <c r="BM19" i="9" a="1"/>
  <c r="BM19" i="9" s="1"/>
  <c r="BN81" i="9" a="1"/>
  <c r="BN81" i="9" s="1"/>
  <c r="BO92" i="9" a="1"/>
  <c r="BO92" i="9" s="1"/>
  <c r="BS82" i="9" a="1"/>
  <c r="BS82" i="9" s="1"/>
  <c r="BG78" i="9" a="1"/>
  <c r="BG78" i="9" s="1"/>
  <c r="CE71" i="9" a="1"/>
  <c r="CE71" i="9" s="1"/>
  <c r="BP61" i="9" a="1"/>
  <c r="BP61" i="9" s="1"/>
  <c r="CE56" i="9" a="1"/>
  <c r="CE56" i="9" s="1"/>
  <c r="BH36" i="9" a="1"/>
  <c r="BH36" i="9" s="1"/>
  <c r="BJ81" i="9" a="1"/>
  <c r="BJ81" i="9" s="1"/>
  <c r="BG56" i="9" a="1"/>
  <c r="BG56" i="9" s="1"/>
  <c r="BN51" i="9" a="1"/>
  <c r="BN51" i="9" s="1"/>
  <c r="CB53" i="9" a="1"/>
  <c r="CB53" i="9" s="1"/>
  <c r="BH48" i="9" a="1"/>
  <c r="BH48" i="9" s="1"/>
  <c r="BQ105" i="9" a="1"/>
  <c r="BQ105" i="9" s="1"/>
  <c r="BF112" i="9" a="1"/>
  <c r="BF112" i="9" s="1"/>
  <c r="CB107" i="9" a="1"/>
  <c r="CB107" i="9" s="1"/>
  <c r="BJ102" i="9" a="1"/>
  <c r="BJ102" i="9" s="1"/>
  <c r="BH54" i="9" a="1"/>
  <c r="BH54" i="9" s="1"/>
  <c r="CE83" i="9" a="1"/>
  <c r="CE83" i="9" s="1"/>
  <c r="CE43" i="9" a="1"/>
  <c r="CE43" i="9" s="1"/>
  <c r="CE9" i="9" a="1"/>
  <c r="CE9" i="9" s="1"/>
  <c r="BK10" i="9" a="1"/>
  <c r="BK10" i="9" s="1"/>
  <c r="CB59" i="9" a="1"/>
  <c r="CB59" i="9" s="1"/>
  <c r="BF55" i="9" a="1"/>
  <c r="BF55" i="9" s="1"/>
  <c r="BN10" i="9" a="1"/>
  <c r="BN10" i="9" s="1"/>
  <c r="BO36" i="9" a="1"/>
  <c r="BO36" i="9" s="1"/>
  <c r="CB40" i="9" a="1"/>
  <c r="CB40" i="9" s="1"/>
  <c r="BJ17" i="9" a="1"/>
  <c r="BJ17" i="9" s="1"/>
  <c r="BJ105" i="9" a="1"/>
  <c r="BJ105" i="9" s="1"/>
  <c r="BZ108" i="9" a="1"/>
  <c r="BZ108" i="9" s="1"/>
  <c r="CB104" i="9" a="1"/>
  <c r="CB104" i="9" s="1"/>
  <c r="BG88" i="9" a="1"/>
  <c r="BG88" i="9" s="1"/>
  <c r="BO94" i="9" a="1"/>
  <c r="BO94" i="9" s="1"/>
  <c r="BJ92" i="9" a="1"/>
  <c r="BJ92" i="9" s="1"/>
  <c r="BK99" i="9" a="1"/>
  <c r="BK99" i="9" s="1"/>
  <c r="BO93" i="9" a="1"/>
  <c r="BO93" i="9" s="1"/>
  <c r="BV88" i="9" a="1"/>
  <c r="BV88" i="9" s="1"/>
  <c r="BT15" i="9" a="1"/>
  <c r="BT15" i="9" s="1"/>
  <c r="CB57" i="9" a="1"/>
  <c r="CB57" i="9" s="1"/>
  <c r="BS93" i="9" a="1"/>
  <c r="BS93" i="9" s="1"/>
  <c r="BO76" i="9" a="1"/>
  <c r="BO76" i="9" s="1"/>
  <c r="BW66" i="9" a="1"/>
  <c r="BW66" i="9" s="1"/>
  <c r="BG54" i="9" a="1"/>
  <c r="BG54" i="9" s="1"/>
  <c r="BO14" i="9" a="1"/>
  <c r="BO14" i="9" s="1"/>
  <c r="BT74" i="9" a="1"/>
  <c r="BT74" i="9" s="1"/>
  <c r="BF54" i="9" a="1"/>
  <c r="BF54" i="9" s="1"/>
  <c r="CF12" i="9" a="1"/>
  <c r="CF12" i="9" s="1"/>
  <c r="CE51" i="9" a="1"/>
  <c r="CE51" i="9" s="1"/>
  <c r="BG39" i="9" a="1"/>
  <c r="BG39" i="9" s="1"/>
  <c r="BZ55" i="9" a="1"/>
  <c r="BZ55" i="9" s="1"/>
  <c r="BV84" i="9" a="1"/>
  <c r="BV84" i="9" s="1"/>
  <c r="CC18" i="9" a="1"/>
  <c r="CC18" i="9" s="1"/>
  <c r="BK84" i="9" a="1"/>
  <c r="BK84" i="9" s="1"/>
  <c r="BN90" i="9" a="1"/>
  <c r="BN90" i="9" s="1"/>
  <c r="BP85" i="9" a="1"/>
  <c r="BP85" i="9" s="1"/>
  <c r="CB80" i="9" a="1"/>
  <c r="CB80" i="9" s="1"/>
  <c r="BW90" i="9" a="1"/>
  <c r="BW90" i="9" s="1"/>
  <c r="CB70" i="9" a="1"/>
  <c r="CB70" i="9" s="1"/>
  <c r="CC79" i="9" a="1"/>
  <c r="CC79" i="9" s="1"/>
  <c r="CB55" i="9" a="1"/>
  <c r="CB55" i="9" s="1"/>
  <c r="CC81" i="9" a="1"/>
  <c r="CC81" i="9" s="1"/>
  <c r="BT75" i="9" a="1"/>
  <c r="BT75" i="9" s="1"/>
  <c r="BN85" i="9" a="1"/>
  <c r="BN85" i="9" s="1"/>
  <c r="BQ33" i="9" a="1"/>
  <c r="BQ33" i="9" s="1"/>
  <c r="BQ45" i="9" a="1"/>
  <c r="BQ45" i="9" s="1"/>
  <c r="BO105" i="9" a="1"/>
  <c r="BO105" i="9" s="1"/>
  <c r="BJ12" i="9" a="1"/>
  <c r="BJ12" i="9" s="1"/>
  <c r="BW107" i="9" a="1"/>
  <c r="BW107" i="9" s="1"/>
  <c r="BY102" i="9" a="1"/>
  <c r="BY102" i="9" s="1"/>
  <c r="BO38" i="9" a="1"/>
  <c r="BO38" i="9" s="1"/>
  <c r="CF53" i="9" a="1"/>
  <c r="CF53" i="9" s="1"/>
  <c r="BS77" i="9" a="1"/>
  <c r="BS77" i="9" s="1"/>
  <c r="BF17" i="9" a="1"/>
  <c r="BF17" i="9" s="1"/>
  <c r="BW50" i="9" a="1"/>
  <c r="BW50" i="9" s="1"/>
  <c r="BY103" i="9" a="1"/>
  <c r="BY103" i="9" s="1"/>
  <c r="BQ38" i="9" a="1"/>
  <c r="BQ38" i="9" s="1"/>
  <c r="BT62" i="9" a="1"/>
  <c r="BT62" i="9" s="1"/>
  <c r="BY33" i="9" a="1"/>
  <c r="BY33" i="9" s="1"/>
  <c r="BZ51" i="9" a="1"/>
  <c r="BZ51" i="9" s="1"/>
  <c r="CB38" i="9" a="1"/>
  <c r="CB38" i="9" s="1"/>
  <c r="BJ103" i="9" a="1"/>
  <c r="BJ103" i="9" s="1"/>
  <c r="BZ109" i="9" a="1"/>
  <c r="BZ109" i="9" s="1"/>
  <c r="BO104" i="9" a="1"/>
  <c r="BO104" i="9" s="1"/>
  <c r="BS99" i="9" a="1"/>
  <c r="BS99" i="9" s="1"/>
  <c r="BK95" i="9" a="1"/>
  <c r="BK95" i="9" s="1"/>
  <c r="CE79" i="9" a="1"/>
  <c r="CE79" i="9" s="1"/>
  <c r="BK75" i="9" a="1"/>
  <c r="BK75" i="9" s="1"/>
  <c r="CE72" i="9" a="1"/>
  <c r="CE72" i="9" s="1"/>
  <c r="BV89" i="9" a="1"/>
  <c r="BV89" i="9" s="1"/>
  <c r="BN74" i="9" a="1"/>
  <c r="BN74" i="9" s="1"/>
  <c r="BG86" i="9" a="1"/>
  <c r="BG86" i="9" s="1"/>
  <c r="BG81" i="9" a="1"/>
  <c r="BG81" i="9" s="1"/>
  <c r="BW46" i="9" a="1"/>
  <c r="BW46" i="9" s="1"/>
  <c r="BS94" i="9" a="1"/>
  <c r="BS94" i="9" s="1"/>
  <c r="BQ66" i="9" a="1"/>
  <c r="BQ66" i="9" s="1"/>
  <c r="BS61" i="9" a="1"/>
  <c r="BS61" i="9" s="1"/>
  <c r="BM28" i="9" a="1"/>
  <c r="BM28" i="9" s="1"/>
  <c r="BV34" i="9" a="1"/>
  <c r="BV34" i="9" s="1"/>
  <c r="BG46" i="9" a="1"/>
  <c r="BG46" i="9" s="1"/>
  <c r="CC50" i="9" a="1"/>
  <c r="CC50" i="9" s="1"/>
  <c r="BY65" i="9" a="1"/>
  <c r="BY65" i="9" s="1"/>
  <c r="BF90" i="9" a="1"/>
  <c r="BF90" i="9" s="1"/>
  <c r="BF35" i="9" a="1"/>
  <c r="BF35" i="9" s="1"/>
  <c r="BJ60" i="9" a="1"/>
  <c r="BJ60" i="9" s="1"/>
  <c r="BT31" i="9" a="1"/>
  <c r="BT31" i="9" s="1"/>
  <c r="BQ53" i="9" a="1"/>
  <c r="BQ53" i="9" s="1"/>
  <c r="CF9" i="9" a="1"/>
  <c r="CF9" i="9" s="1"/>
  <c r="BJ14" i="9" a="1"/>
  <c r="BJ14" i="9" s="1"/>
  <c r="BM26" i="9" a="1"/>
  <c r="BM26" i="9" s="1"/>
  <c r="BK28" i="9" a="1"/>
  <c r="BK28" i="9" s="1"/>
  <c r="BN66" i="9" a="1"/>
  <c r="BN66" i="9" s="1"/>
  <c r="BY72" i="9" a="1"/>
  <c r="BY72" i="9" s="1"/>
  <c r="BF76" i="9" a="1"/>
  <c r="BF76" i="9" s="1"/>
  <c r="CC68" i="9" a="1"/>
  <c r="CC68" i="9" s="1"/>
  <c r="BV112" i="9" a="1"/>
  <c r="BV112" i="9" s="1"/>
  <c r="BT56" i="9" a="1"/>
  <c r="BT56" i="9" s="1"/>
  <c r="BV105" i="9" a="1"/>
  <c r="BV105" i="9" s="1"/>
  <c r="BO109" i="9" a="1"/>
  <c r="BO109" i="9" s="1"/>
  <c r="BS112" i="9" a="1"/>
  <c r="BS112" i="9" s="1"/>
  <c r="BJ13" i="9" a="1"/>
  <c r="BJ13" i="9" s="1"/>
  <c r="BM108" i="9" a="1"/>
  <c r="BM108" i="9" s="1"/>
  <c r="BK111" i="9" a="1"/>
  <c r="BK111" i="9" s="1"/>
  <c r="BV18" i="9" a="1"/>
  <c r="BV18" i="9" s="1"/>
  <c r="BS89" i="9" a="1"/>
  <c r="BS89" i="9" s="1"/>
  <c r="BZ100" i="9" a="1"/>
  <c r="BZ100" i="9" s="1"/>
  <c r="CF90" i="9" a="1"/>
  <c r="CF90" i="9" s="1"/>
  <c r="BO86" i="9" a="1"/>
  <c r="BO86" i="9" s="1"/>
  <c r="BO42" i="9" a="1"/>
  <c r="BO42" i="9" s="1"/>
  <c r="CC10" i="9" a="1"/>
  <c r="CC10" i="9" s="1"/>
  <c r="BV13" i="9" a="1"/>
  <c r="BV13" i="9" s="1"/>
  <c r="BS24" i="9" a="1"/>
  <c r="BS24" i="9" s="1"/>
  <c r="BZ50" i="9" a="1"/>
  <c r="BZ50" i="9" s="1"/>
  <c r="BT29" i="9" a="1"/>
  <c r="BT29" i="9" s="1"/>
  <c r="BK18" i="9" a="1"/>
  <c r="BK18" i="9" s="1"/>
  <c r="BH78" i="9" a="1"/>
  <c r="BH78" i="9" s="1"/>
  <c r="BN22" i="9" a="1"/>
  <c r="BN22" i="9" s="1"/>
  <c r="BJ53" i="9" a="1"/>
  <c r="BJ53" i="9" s="1"/>
  <c r="BP22" i="9" a="1"/>
  <c r="BP22" i="9" s="1"/>
  <c r="CF100" i="9" a="1"/>
  <c r="CF100" i="9" s="1"/>
  <c r="BN104" i="9" a="1"/>
  <c r="BN104" i="9" s="1"/>
  <c r="CB103" i="9" a="1"/>
  <c r="CB103" i="9" s="1"/>
  <c r="BF89" i="9" a="1"/>
  <c r="BF89" i="9" s="1"/>
  <c r="BT73" i="9" a="1"/>
  <c r="BT73" i="9" s="1"/>
  <c r="BO85" i="9" a="1"/>
  <c r="BO85" i="9" s="1"/>
  <c r="BH83" i="9" a="1"/>
  <c r="BH83" i="9" s="1"/>
  <c r="CB93" i="9" a="1"/>
  <c r="CB93" i="9" s="1"/>
  <c r="BM84" i="9" a="1"/>
  <c r="BM84" i="9" s="1"/>
  <c r="BY79" i="9" a="1"/>
  <c r="BY79" i="9" s="1"/>
  <c r="CC63" i="9" a="1"/>
  <c r="CC63" i="9" s="1"/>
  <c r="CE39" i="9" a="1"/>
  <c r="CE39" i="9" s="1"/>
  <c r="BM70" i="9" a="1"/>
  <c r="BM70" i="9" s="1"/>
  <c r="BY59" i="9" a="1"/>
  <c r="BY59" i="9" s="1"/>
  <c r="BM55" i="9" a="1"/>
  <c r="BM55" i="9" s="1"/>
  <c r="BY35" i="9" a="1"/>
  <c r="BY35" i="9" s="1"/>
  <c r="BN41" i="9" a="1"/>
  <c r="BN41" i="9" s="1"/>
  <c r="CC47" i="9" a="1"/>
  <c r="CC47" i="9" s="1"/>
  <c r="BT17" i="9" a="1"/>
  <c r="BT17" i="9" s="1"/>
  <c r="BZ36" i="9" a="1"/>
  <c r="BZ36" i="9" s="1"/>
  <c r="BY60" i="9" a="1"/>
  <c r="BY60" i="9" s="1"/>
  <c r="CB54" i="9" a="1"/>
  <c r="CB54" i="9" s="1"/>
  <c r="BO48" i="9" a="1"/>
  <c r="BO48" i="9" s="1"/>
  <c r="CC25" i="9" a="1"/>
  <c r="CC25" i="9" s="1"/>
  <c r="BV40" i="9" a="1"/>
  <c r="BV40" i="9" s="1"/>
  <c r="BG52" i="9" a="1"/>
  <c r="BG52" i="9" s="1"/>
  <c r="BN20" i="9" a="1"/>
  <c r="BN20" i="9" s="1"/>
  <c r="BF27" i="9" a="1"/>
  <c r="BF27" i="9" s="1"/>
  <c r="BP13" i="9" a="1"/>
  <c r="BP13" i="9" s="1"/>
  <c r="BJ34" i="9" a="1"/>
  <c r="BJ34" i="9" s="1"/>
  <c r="CC9" i="9" a="1"/>
  <c r="CC9" i="9" s="1"/>
  <c r="CB65" i="9" a="1"/>
  <c r="CB65" i="9" s="1"/>
  <c r="BS75" i="9" a="1"/>
  <c r="BS75" i="9" s="1"/>
  <c r="BK80" i="9" a="1"/>
  <c r="BK80" i="9" s="1"/>
  <c r="BZ75" i="9" a="1"/>
  <c r="BZ75" i="9" s="1"/>
  <c r="BT11" i="9" a="1"/>
  <c r="BT11" i="9" s="1"/>
  <c r="BQ42" i="9" a="1"/>
  <c r="BQ42" i="9" s="1"/>
  <c r="BS9" i="9" a="1"/>
  <c r="BS9" i="9" s="1"/>
  <c r="BG18" i="9" a="1"/>
  <c r="BG18" i="9" s="1"/>
  <c r="BJ112" i="9" a="1"/>
  <c r="BJ112" i="9" s="1"/>
  <c r="CF86" i="9" a="1"/>
  <c r="CF86" i="9" s="1"/>
  <c r="CF19" i="9" a="1"/>
  <c r="CF19" i="9" s="1"/>
  <c r="BV108" i="9" a="1"/>
  <c r="BV108" i="9" s="1"/>
  <c r="BS30" i="9" a="1"/>
  <c r="BS30" i="9" s="1"/>
  <c r="BH98" i="9" a="1"/>
  <c r="BH98" i="9" s="1"/>
  <c r="BK112" i="9" a="1"/>
  <c r="BK112" i="9" s="1"/>
  <c r="BT102" i="9" a="1"/>
  <c r="BT102" i="9" s="1"/>
  <c r="CC94" i="9" a="1"/>
  <c r="CC94" i="9" s="1"/>
  <c r="BS62" i="9" a="1"/>
  <c r="BS62" i="9" s="1"/>
  <c r="BM22" i="9" a="1"/>
  <c r="BM22" i="9" s="1"/>
  <c r="BS12" i="9" a="1"/>
  <c r="BS12" i="9" s="1"/>
  <c r="BT30" i="9" a="1"/>
  <c r="BT30" i="9" s="1"/>
  <c r="BZ26" i="9" a="1"/>
  <c r="BZ26" i="9" s="1"/>
  <c r="BV20" i="9" a="1"/>
  <c r="BV20" i="9" s="1"/>
  <c r="BH49" i="9" a="1"/>
  <c r="BH49" i="9" s="1"/>
  <c r="CB63" i="9" a="1"/>
  <c r="CB63" i="9" s="1"/>
  <c r="BK45" i="9" a="1"/>
  <c r="BK45" i="9" s="1"/>
  <c r="BH16" i="9" a="1"/>
  <c r="BH16" i="9" s="1"/>
  <c r="BQ87" i="9" a="1"/>
  <c r="BQ87" i="9" s="1"/>
  <c r="CE95" i="9" a="1"/>
  <c r="CE95" i="9" s="1"/>
  <c r="BQ88" i="9" a="1"/>
  <c r="BQ88" i="9" s="1"/>
  <c r="BN94" i="9" a="1"/>
  <c r="BN94" i="9" s="1"/>
  <c r="CF87" i="9" a="1"/>
  <c r="CF87" i="9" s="1"/>
  <c r="CC74" i="9" a="1"/>
  <c r="CC74" i="9" s="1"/>
  <c r="BN77" i="9" a="1"/>
  <c r="BN77" i="9" s="1"/>
  <c r="BV43" i="9" a="1"/>
  <c r="BV43" i="9" s="1"/>
  <c r="BY80" i="9" a="1"/>
  <c r="BY80" i="9" s="1"/>
  <c r="BO73" i="9" a="1"/>
  <c r="BO73" i="9" s="1"/>
  <c r="BP68" i="9" a="1"/>
  <c r="BP68" i="9" s="1"/>
  <c r="BQ49" i="9" a="1"/>
  <c r="BQ49" i="9" s="1"/>
  <c r="BV47" i="9" a="1"/>
  <c r="BV47" i="9" s="1"/>
  <c r="BK108" i="9" a="1"/>
  <c r="BK108" i="9" s="1"/>
  <c r="BM61" i="9" a="1"/>
  <c r="BM61" i="9" s="1"/>
  <c r="BP109" i="9" a="1"/>
  <c r="BP109" i="9" s="1"/>
  <c r="BZ105" i="9" a="1"/>
  <c r="BZ105" i="9" s="1"/>
  <c r="CB31" i="9" a="1"/>
  <c r="CB31" i="9" s="1"/>
  <c r="BZ47" i="9" a="1"/>
  <c r="BZ47" i="9" s="1"/>
  <c r="BS70" i="9" a="1"/>
  <c r="BS70" i="9" s="1"/>
  <c r="BO74" i="9" a="1"/>
  <c r="BO74" i="9" s="1"/>
  <c r="BQ10" i="9" a="1"/>
  <c r="BQ10" i="9" s="1"/>
  <c r="CB45" i="9" a="1"/>
  <c r="CB45" i="9" s="1"/>
  <c r="CC60" i="9" a="1"/>
  <c r="CC60" i="9" s="1"/>
  <c r="CB41" i="9" a="1"/>
  <c r="CB41" i="9" s="1"/>
  <c r="CF30" i="9" a="1"/>
  <c r="CF30" i="9" s="1"/>
  <c r="BY18" i="9" a="1"/>
  <c r="BY18" i="9" s="1"/>
  <c r="BT35" i="9" a="1"/>
  <c r="BT35" i="9" s="1"/>
  <c r="BQ25" i="9" a="1"/>
  <c r="BQ25" i="9" s="1"/>
  <c r="BH37" i="9" a="1"/>
  <c r="BH37" i="9" s="1"/>
  <c r="BN64" i="9" a="1"/>
  <c r="BN64" i="9" s="1"/>
  <c r="BT18" i="9" a="1"/>
  <c r="BT18" i="9" s="1"/>
  <c r="BS44" i="9" a="1"/>
  <c r="BS44" i="9" s="1"/>
  <c r="BJ16" i="9" a="1"/>
  <c r="BJ16" i="9" s="1"/>
  <c r="BY12" i="9" a="1"/>
  <c r="BY12" i="9" s="1"/>
  <c r="BP112" i="9" a="1"/>
  <c r="BP112" i="9" s="1"/>
  <c r="BV98" i="9" a="1"/>
  <c r="BV98" i="9" s="1"/>
  <c r="BW95" i="9" a="1"/>
  <c r="BW95" i="9" s="1"/>
  <c r="BN98" i="9" a="1"/>
  <c r="BN98" i="9" s="1"/>
  <c r="BK103" i="9" a="1"/>
  <c r="BK103" i="9" s="1"/>
  <c r="BQ103" i="9" a="1"/>
  <c r="BQ103" i="9" s="1"/>
  <c r="CB109" i="9" a="1"/>
  <c r="CB109" i="9" s="1"/>
  <c r="BZ57" i="9" a="1"/>
  <c r="BZ57" i="9" s="1"/>
  <c r="BV80" i="9" a="1"/>
  <c r="BV80" i="9" s="1"/>
  <c r="BW91" i="9" a="1"/>
  <c r="BW91" i="9" s="1"/>
  <c r="BV81" i="9" a="1"/>
  <c r="BV81" i="9" s="1"/>
  <c r="BO77" i="9" a="1"/>
  <c r="BO77" i="9" s="1"/>
  <c r="BJ30" i="9" a="1"/>
  <c r="BJ30" i="9" s="1"/>
  <c r="CB17" i="9" a="1"/>
  <c r="CB17" i="9" s="1"/>
  <c r="CC34" i="9" a="1"/>
  <c r="CC34" i="9" s="1"/>
  <c r="BY24" i="9" a="1"/>
  <c r="BY24" i="9" s="1"/>
  <c r="BK51" i="9" a="1"/>
  <c r="BK51" i="9" s="1"/>
  <c r="CB30" i="9" a="1"/>
  <c r="CB30" i="9" s="1"/>
  <c r="BV46" i="9" a="1"/>
  <c r="BV46" i="9" s="1"/>
  <c r="CE45" i="9" a="1"/>
  <c r="CE45" i="9" s="1"/>
  <c r="BZ65" i="9" a="1"/>
  <c r="BZ65" i="9" s="1"/>
  <c r="CF41" i="9" a="1"/>
  <c r="CF41" i="9" s="1"/>
  <c r="BW16" i="9" a="1"/>
  <c r="BW16" i="9" s="1"/>
  <c r="BO41" i="9" a="1"/>
  <c r="BO41" i="9" s="1"/>
  <c r="BT72" i="9" a="1"/>
  <c r="BT72" i="9" s="1"/>
  <c r="BT92" i="9" a="1"/>
  <c r="BT92" i="9" s="1"/>
  <c r="BV87" i="9" a="1"/>
  <c r="BV87" i="9" s="1"/>
  <c r="BF80" i="9" a="1"/>
  <c r="BF80" i="9" s="1"/>
  <c r="BG72" i="9" a="1"/>
  <c r="BG72" i="9" s="1"/>
  <c r="BS85" i="9" a="1"/>
  <c r="BS85" i="9" s="1"/>
  <c r="BV69" i="9" a="1"/>
  <c r="BV69" i="9" s="1"/>
  <c r="BP74" i="9" a="1"/>
  <c r="BP74" i="9" s="1"/>
  <c r="CE81" i="9" a="1"/>
  <c r="CE81" i="9" s="1"/>
  <c r="BO70" i="9" a="1"/>
  <c r="BO70" i="9" s="1"/>
  <c r="BH43" i="9" a="1"/>
  <c r="BH43" i="9" s="1"/>
  <c r="BK41" i="9" a="1"/>
  <c r="BK41" i="9" s="1"/>
  <c r="CE110" i="9" a="1"/>
  <c r="CE110" i="9" s="1"/>
  <c r="CE54" i="9" a="1"/>
  <c r="CE54" i="9" s="1"/>
  <c r="BN112" i="9" a="1"/>
  <c r="BN112" i="9" s="1"/>
  <c r="CC107" i="9" a="1"/>
  <c r="CC107" i="9" s="1"/>
  <c r="CC44" i="9" a="1"/>
  <c r="CC44" i="9" s="1"/>
  <c r="BK60" i="9" a="1"/>
  <c r="BK60" i="9" s="1"/>
  <c r="BO89" i="9" a="1"/>
  <c r="BO89" i="9" s="1"/>
  <c r="CF25" i="9" a="1"/>
  <c r="CF25" i="9" s="1"/>
  <c r="BJ40" i="9" a="1"/>
  <c r="BJ40" i="9" s="1"/>
  <c r="BQ67" i="9" a="1"/>
  <c r="BQ67" i="9" s="1"/>
  <c r="BQ29" i="9" a="1"/>
  <c r="BQ29" i="9" s="1"/>
  <c r="CB9" i="9" a="1"/>
  <c r="CB9" i="9" s="1"/>
  <c r="BJ71" i="9" a="1"/>
  <c r="BJ71" i="9" s="1"/>
  <c r="BH38" i="9" a="1"/>
  <c r="BH38" i="9" s="1"/>
  <c r="BT68" i="9" a="1"/>
  <c r="BT68" i="9" s="1"/>
  <c r="BT10" i="9" a="1"/>
  <c r="BT10" i="9" s="1"/>
  <c r="BY42" i="9" a="1"/>
  <c r="BY42" i="9" s="1"/>
  <c r="CF24" i="9" a="1"/>
  <c r="CF24" i="9" s="1"/>
  <c r="BF40" i="9" a="1"/>
  <c r="BF40" i="9" s="1"/>
  <c r="BJ51" i="9" a="1"/>
  <c r="BJ51" i="9" s="1"/>
  <c r="BK34" i="9" a="1"/>
  <c r="BK34" i="9" s="1"/>
  <c r="CF48" i="9" a="1"/>
  <c r="CF48" i="9" s="1"/>
  <c r="CC106" i="9" a="1"/>
  <c r="CC106" i="9" s="1"/>
  <c r="BN11" i="9" a="1"/>
  <c r="BN11" i="9" s="1"/>
  <c r="BQ110" i="9" a="1"/>
  <c r="BQ110" i="9" s="1"/>
  <c r="BS103" i="9" a="1"/>
  <c r="BS103" i="9" s="1"/>
  <c r="BW96" i="9" a="1"/>
  <c r="BW96" i="9" s="1"/>
  <c r="BK89" i="9" a="1"/>
  <c r="BK89" i="9" s="1"/>
  <c r="BO95" i="9" a="1"/>
  <c r="BO95" i="9" s="1"/>
  <c r="CB92" i="9" a="1"/>
  <c r="CB92" i="9" s="1"/>
  <c r="BY95" i="9" a="1"/>
  <c r="BY95" i="9" s="1"/>
  <c r="BF94" i="9" a="1"/>
  <c r="BF94" i="9" s="1"/>
  <c r="BP89" i="9" a="1"/>
  <c r="BP89" i="9" s="1"/>
  <c r="BW13" i="9" a="1"/>
  <c r="BW13" i="9" s="1"/>
  <c r="BW40" i="9" a="1"/>
  <c r="BW40" i="9" s="1"/>
  <c r="BT78" i="9" a="1"/>
  <c r="BT78" i="9" s="1"/>
  <c r="BZ70" i="9" a="1"/>
  <c r="BZ70" i="9" s="1"/>
  <c r="CF79" i="9" a="1"/>
  <c r="CF79" i="9" s="1"/>
  <c r="BP38" i="9" a="1"/>
  <c r="BP38" i="9" s="1"/>
  <c r="BH24" i="9" a="1"/>
  <c r="BH24" i="9" s="1"/>
  <c r="BN39" i="9" a="1"/>
  <c r="BN39" i="9" s="1"/>
  <c r="BM50" i="9" a="1"/>
  <c r="BM50" i="9" s="1"/>
  <c r="BW34" i="9" a="1"/>
  <c r="BW34" i="9" s="1"/>
  <c r="BT40" i="9" a="1"/>
  <c r="BT40" i="9" s="1"/>
  <c r="BN24" i="9" a="1"/>
  <c r="BN24" i="9" s="1"/>
  <c r="CC30" i="9" a="1"/>
  <c r="CC30" i="9" s="1"/>
  <c r="BG51" i="9" a="1"/>
  <c r="BG51" i="9" s="1"/>
  <c r="CF34" i="9" a="1"/>
  <c r="CF34" i="9" s="1"/>
  <c r="BT90" i="9" a="1"/>
  <c r="BT90" i="9" s="1"/>
  <c r="BO47" i="9" a="1"/>
  <c r="BO47" i="9" s="1"/>
  <c r="CC73" i="9" a="1"/>
  <c r="CC73" i="9" s="1"/>
  <c r="BF67" i="9" a="1"/>
  <c r="BF67" i="9" s="1"/>
  <c r="BP62" i="9" a="1"/>
  <c r="BP62" i="9" s="1"/>
  <c r="BT101" i="9" a="1"/>
  <c r="BT101" i="9" s="1"/>
  <c r="BM112" i="9" a="1"/>
  <c r="BM112" i="9" s="1"/>
  <c r="BV102" i="9" a="1"/>
  <c r="BV102" i="9" s="1"/>
  <c r="BJ98" i="9" a="1"/>
  <c r="BJ98" i="9" s="1"/>
  <c r="BZ104" i="9" a="1"/>
  <c r="BZ104" i="9" s="1"/>
  <c r="BZ111" i="9" a="1"/>
  <c r="BZ111" i="9" s="1"/>
  <c r="BW108" i="9" a="1"/>
  <c r="BW108" i="9" s="1"/>
  <c r="BF101" i="9" a="1"/>
  <c r="BF101" i="9" s="1"/>
  <c r="BH21" i="9" a="1"/>
  <c r="BH21" i="9" s="1"/>
  <c r="BW89" i="9" a="1"/>
  <c r="BW89" i="9" s="1"/>
  <c r="BS92" i="9" a="1"/>
  <c r="BS92" i="9" s="1"/>
  <c r="BV93" i="9" a="1"/>
  <c r="BV93" i="9" s="1"/>
  <c r="BK83" i="9" a="1"/>
  <c r="BK83" i="9" s="1"/>
  <c r="BF61" i="9" a="1"/>
  <c r="BF61" i="9" s="1"/>
  <c r="BK31" i="9" a="1"/>
  <c r="BK31" i="9" s="1"/>
  <c r="BQ36" i="9" a="1"/>
  <c r="BQ36" i="9" s="1"/>
  <c r="BK36" i="9" a="1"/>
  <c r="BK36" i="9" s="1"/>
  <c r="CC59" i="9" a="1"/>
  <c r="CC59" i="9" s="1"/>
  <c r="BY17" i="9" a="1"/>
  <c r="BY17" i="9" s="1"/>
  <c r="BH20" i="9" a="1"/>
  <c r="BH20" i="9" s="1"/>
  <c r="BT25" i="9" a="1"/>
  <c r="BT25" i="9" s="1"/>
  <c r="BP32" i="9" a="1"/>
  <c r="BP32" i="9" s="1"/>
  <c r="BG45" i="9" a="1"/>
  <c r="BG45" i="9" s="1"/>
  <c r="BP59" i="9" a="1"/>
  <c r="BP59" i="9" s="1"/>
  <c r="CE40" i="9" a="1"/>
  <c r="CE40" i="9" s="1"/>
  <c r="BO19" i="9" a="1"/>
  <c r="BO19" i="9" s="1"/>
  <c r="BP90" i="9" a="1"/>
  <c r="BP90" i="9" s="1"/>
  <c r="BT103" i="9" a="1"/>
  <c r="BT103" i="9" s="1"/>
  <c r="CC91" i="9" a="1"/>
  <c r="CC91" i="9" s="1"/>
  <c r="CE86" i="9" a="1"/>
  <c r="CE86" i="9" s="1"/>
  <c r="BQ73" i="9" a="1"/>
  <c r="BQ73" i="9" s="1"/>
  <c r="CB77" i="9" a="1"/>
  <c r="CB77" i="9" s="1"/>
  <c r="BM73" i="9" a="1"/>
  <c r="BM73" i="9" s="1"/>
  <c r="CB49" i="9" a="1"/>
  <c r="CB49" i="9" s="1"/>
  <c r="BJ84" i="9" a="1"/>
  <c r="BJ84" i="9" s="1"/>
  <c r="BV85" i="9" a="1"/>
  <c r="BV85" i="9" s="1"/>
  <c r="BW71" i="9" a="1"/>
  <c r="BW71" i="9" s="1"/>
  <c r="CC52" i="9" a="1"/>
  <c r="CC52" i="9" s="1"/>
  <c r="CF50" i="9" a="1"/>
  <c r="CF50" i="9" s="1"/>
  <c r="BW111" i="9" a="1"/>
  <c r="BW111" i="9" s="1"/>
  <c r="BT64" i="9" a="1"/>
  <c r="BT64" i="9" s="1"/>
  <c r="BW112" i="9" a="1"/>
  <c r="BW112" i="9" s="1"/>
  <c r="BH108" i="9" a="1"/>
  <c r="BH108" i="9" s="1"/>
  <c r="BO44" i="9" a="1"/>
  <c r="BO44" i="9" s="1"/>
  <c r="BN58" i="9" a="1"/>
  <c r="BN58" i="9" s="1"/>
  <c r="CC39" i="9" a="1"/>
  <c r="CC39" i="9" s="1"/>
  <c r="BT55" i="9" a="1"/>
  <c r="BT55" i="9" s="1"/>
  <c r="BT69" i="9" a="1"/>
  <c r="BT69" i="9" s="1"/>
  <c r="BQ57" i="9" a="1"/>
  <c r="BQ57" i="9" s="1"/>
  <c r="BZ43" i="9" a="1"/>
  <c r="BZ43" i="9" s="1"/>
  <c r="BG59" i="9" a="1"/>
  <c r="BG59" i="9" s="1"/>
  <c r="BG67" i="9" a="1"/>
  <c r="BG67" i="9" s="1"/>
  <c r="BY84" i="9" a="1"/>
  <c r="BY84" i="9" s="1"/>
  <c r="BN86" i="9" a="1"/>
  <c r="BN86" i="9" s="1"/>
  <c r="CE91" i="9" a="1"/>
  <c r="CE91" i="9" s="1"/>
  <c r="BY105" i="9" a="1"/>
  <c r="BY105" i="9" s="1"/>
  <c r="BH22" i="9" a="1"/>
  <c r="BH22" i="9" s="1"/>
  <c r="BP18" i="9" a="1"/>
  <c r="BP18" i="9" s="1"/>
  <c r="CE29" i="9" a="1"/>
  <c r="CE29" i="9" s="1"/>
  <c r="BO58" i="9" a="1"/>
  <c r="BO58" i="9" s="1"/>
  <c r="CE24" i="9" a="1"/>
  <c r="CE24" i="9" s="1"/>
  <c r="BG105" i="9" a="1"/>
  <c r="BG105" i="9" s="1"/>
  <c r="BS109" i="9" a="1"/>
  <c r="BS109" i="9" s="1"/>
  <c r="BW75" i="9" a="1"/>
  <c r="BW75" i="9" s="1"/>
  <c r="BH81" i="9" a="1"/>
  <c r="BH81" i="9" s="1"/>
  <c r="BM96" i="9" a="1"/>
  <c r="BM96" i="9" s="1"/>
  <c r="BP55" i="9" a="1"/>
  <c r="BP55" i="9" s="1"/>
  <c r="BS57" i="9" a="1"/>
  <c r="BS57" i="9" s="1"/>
  <c r="BS33" i="9" a="1"/>
  <c r="BS33" i="9" s="1"/>
  <c r="BO56" i="9" a="1"/>
  <c r="BO56" i="9" s="1"/>
  <c r="BG101" i="9" a="1"/>
  <c r="BG101" i="9" s="1"/>
  <c r="BP17" i="9" a="1"/>
  <c r="BP17" i="9" s="1"/>
  <c r="BY9" i="9" a="1"/>
  <c r="BY9" i="9" s="1"/>
  <c r="BT12" i="9" a="1"/>
  <c r="BT12" i="9" s="1"/>
  <c r="BM47" i="9" a="1"/>
  <c r="BM47" i="9" s="1"/>
  <c r="BF73" i="9" a="1"/>
  <c r="BF73" i="9" s="1"/>
  <c r="BF24" i="9" a="1"/>
  <c r="BF24" i="9" s="1"/>
  <c r="BY28" i="9" a="1"/>
  <c r="BY28" i="9" s="1"/>
  <c r="BF29" i="9" a="1"/>
  <c r="BF29" i="9" s="1"/>
  <c r="BT81" i="9" a="1"/>
  <c r="BT81" i="9" s="1"/>
  <c r="BT104" i="9" a="1"/>
  <c r="BT104" i="9" s="1"/>
  <c r="BN100" i="9" a="1"/>
  <c r="BN100" i="9" s="1"/>
  <c r="BJ56" i="9" a="1"/>
  <c r="BJ56" i="9" s="1"/>
  <c r="CF38" i="9" a="1"/>
  <c r="CF38" i="9" s="1"/>
  <c r="CC42" i="9" a="1"/>
  <c r="CC42" i="9" s="1"/>
  <c r="BV59" i="9" a="1"/>
  <c r="BV59" i="9" s="1"/>
  <c r="BZ33" i="9" a="1"/>
  <c r="BZ33" i="9" s="1"/>
  <c r="BK37" i="9" a="1"/>
  <c r="BK37" i="9" s="1"/>
  <c r="BF20" i="9" a="1"/>
  <c r="BF20" i="9" s="1"/>
  <c r="BH19" i="9" a="1"/>
  <c r="BH19" i="9" s="1"/>
  <c r="BP30" i="9" a="1"/>
  <c r="BP30" i="9" s="1"/>
  <c r="BM32" i="9" a="1"/>
  <c r="BM32" i="9" s="1"/>
  <c r="CE38" i="9" a="1"/>
  <c r="CE38" i="9" s="1"/>
  <c r="BY49" i="9" a="1"/>
  <c r="BY49" i="9" s="1"/>
  <c r="BQ31" i="9" a="1"/>
  <c r="BQ31" i="9" s="1"/>
  <c r="BO101" i="9" a="1"/>
  <c r="BO101" i="9" s="1"/>
  <c r="BZ98" i="9" a="1"/>
  <c r="BZ98" i="9" s="1"/>
  <c r="BO107" i="9" a="1"/>
  <c r="BO107" i="9" s="1"/>
  <c r="BW101" i="9" a="1"/>
  <c r="BW101" i="9" s="1"/>
  <c r="CF89" i="9" a="1"/>
  <c r="CF89" i="9" s="1"/>
  <c r="BN80" i="9" a="1"/>
  <c r="BN80" i="9" s="1"/>
  <c r="CC75" i="9" a="1"/>
  <c r="CC75" i="9" s="1"/>
  <c r="CE75" i="9" a="1"/>
  <c r="CE75" i="9" s="1"/>
  <c r="BG90" i="9" a="1"/>
  <c r="BG90" i="9" s="1"/>
  <c r="BS74" i="9" a="1"/>
  <c r="BS74" i="9" s="1"/>
  <c r="BM88" i="9" a="1"/>
  <c r="BM88" i="9" s="1"/>
  <c r="BN44" i="9" a="1"/>
  <c r="BN44" i="9" s="1"/>
  <c r="CE82" i="9" a="1"/>
  <c r="CE82" i="9" s="1"/>
  <c r="BJ69" i="9" a="1"/>
  <c r="BJ69" i="9" s="1"/>
  <c r="BQ50" i="9" a="1"/>
  <c r="BQ50" i="9" s="1"/>
  <c r="BS45" i="9" a="1"/>
  <c r="BS45" i="9" s="1"/>
  <c r="BH14" i="9" a="1"/>
  <c r="BH14" i="9" s="1"/>
  <c r="BV31" i="9" a="1"/>
  <c r="BV31" i="9" s="1"/>
  <c r="BJ38" i="9" a="1"/>
  <c r="BJ38" i="9" s="1"/>
  <c r="BF49" i="9" a="1"/>
  <c r="BF49" i="9" s="1"/>
  <c r="BK42" i="9" a="1"/>
  <c r="BK42" i="9" s="1"/>
  <c r="BY58" i="9" a="1"/>
  <c r="BY58" i="9" s="1"/>
  <c r="BN56" i="9" a="1"/>
  <c r="BN56" i="9" s="1"/>
  <c r="CE15" i="9" a="1"/>
  <c r="CE15" i="9" s="1"/>
  <c r="BW30" i="9" a="1"/>
  <c r="BW30" i="9" s="1"/>
  <c r="BW59" i="9" a="1"/>
  <c r="BW59" i="9" s="1"/>
  <c r="BK50" i="9" a="1"/>
  <c r="BK50" i="9" s="1"/>
  <c r="BN48" i="9" a="1"/>
  <c r="BN48" i="9" s="1"/>
  <c r="BH109" i="9" a="1"/>
  <c r="BH109" i="9" s="1"/>
  <c r="BJ62" i="9" a="1"/>
  <c r="BJ62" i="9" s="1"/>
  <c r="BM110" i="9" a="1"/>
  <c r="BM110" i="9" s="1"/>
  <c r="BK106" i="9" a="1"/>
  <c r="BK106" i="9" s="1"/>
  <c r="BN101" i="9" a="1"/>
  <c r="BN101" i="9" s="1"/>
  <c r="BZ94" i="9" a="1"/>
  <c r="BZ94" i="9" s="1"/>
  <c r="CB89" i="9" a="1"/>
  <c r="CB89" i="9" s="1"/>
  <c r="BZ87" i="9" a="1"/>
  <c r="BZ87" i="9" s="1"/>
  <c r="BF106" i="9" a="1"/>
  <c r="BF106" i="9" s="1"/>
  <c r="CB88" i="9" a="1"/>
  <c r="CB88" i="9" s="1"/>
  <c r="CE94" i="9" a="1"/>
  <c r="CE94" i="9" s="1"/>
  <c r="BT19" i="9" a="1"/>
  <c r="BT19" i="9" s="1"/>
  <c r="BW68" i="9" a="1"/>
  <c r="BW68" i="9" s="1"/>
  <c r="BJ78" i="9" a="1"/>
  <c r="BJ78" i="9" s="1"/>
  <c r="CC82" i="9" a="1"/>
  <c r="CC82" i="9" s="1"/>
  <c r="BF78" i="9" a="1"/>
  <c r="BF78" i="9" s="1"/>
  <c r="BO23" i="9" a="1"/>
  <c r="BO23" i="9" s="1"/>
  <c r="BH29" i="9" a="1"/>
  <c r="BH29" i="9" s="1"/>
  <c r="BY38" i="9" a="1"/>
  <c r="BY38" i="9" s="1"/>
  <c r="BT33" i="9" a="1"/>
  <c r="BT33" i="9" s="1"/>
  <c r="BS54" i="9" a="1"/>
  <c r="BS54" i="9" s="1"/>
  <c r="BN23" i="9" a="1"/>
  <c r="BN23" i="9" s="1"/>
  <c r="BH13" i="9" a="1"/>
  <c r="BH13" i="9" s="1"/>
  <c r="BH9" i="9" a="1"/>
  <c r="BH9" i="9" s="1"/>
  <c r="BG15" i="9" a="1"/>
  <c r="BG15" i="9" s="1"/>
  <c r="BP47" i="9" a="1"/>
  <c r="BP47" i="9" s="1"/>
  <c r="BM45" i="9" a="1"/>
  <c r="BM45" i="9" s="1"/>
  <c r="BF57" i="9" a="1"/>
  <c r="BF57" i="9" s="1"/>
  <c r="BJ25" i="9" a="1"/>
  <c r="BJ25" i="9" s="1"/>
  <c r="BP92" i="9" a="1"/>
  <c r="BP92" i="9" s="1"/>
  <c r="BV100" i="9" a="1"/>
  <c r="BV100" i="9" s="1"/>
  <c r="CC93" i="9" a="1"/>
  <c r="CC93" i="9" s="1"/>
  <c r="CE88" i="9" a="1"/>
  <c r="CE88" i="9" s="1"/>
  <c r="BP86" i="9" a="1"/>
  <c r="BP86" i="9" s="1"/>
  <c r="BV73" i="9" a="1"/>
  <c r="BV73" i="9" s="1"/>
  <c r="BF86" i="9" a="1"/>
  <c r="BF86" i="9" s="1"/>
  <c r="BY76" i="9" a="1"/>
  <c r="BY76" i="9" s="1"/>
  <c r="BT80" i="9" a="1"/>
  <c r="BT80" i="9" s="1"/>
  <c r="CE84" i="9" a="1"/>
  <c r="CE84" i="9" s="1"/>
  <c r="BP80" i="9" a="1"/>
  <c r="BP80" i="9" s="1"/>
  <c r="BF77" i="9" a="1"/>
  <c r="BF77" i="9" s="1"/>
  <c r="BV63" i="9" a="1"/>
  <c r="BV63" i="9" s="1"/>
  <c r="BF21" i="9" a="1"/>
  <c r="BF21" i="9" s="1"/>
  <c r="BY43" i="9" a="1"/>
  <c r="BY43" i="9" s="1"/>
  <c r="BW17" i="9" a="1"/>
  <c r="BW17" i="9" s="1"/>
  <c r="BS14" i="9" a="1"/>
  <c r="BS14" i="9" s="1"/>
  <c r="BF45" i="9" a="1"/>
  <c r="BF45" i="9" s="1"/>
  <c r="BP44" i="9" a="1"/>
  <c r="BP44" i="9" s="1"/>
  <c r="CE55" i="9" a="1"/>
  <c r="CE55" i="9" s="1"/>
  <c r="BH71" i="9" a="1"/>
  <c r="BH71" i="9" s="1"/>
  <c r="CF45" i="9" a="1"/>
  <c r="CF45" i="9" s="1"/>
  <c r="BJ10" i="9" a="1"/>
  <c r="BJ10" i="9" s="1"/>
  <c r="CC95" i="9" a="1"/>
  <c r="CC95" i="9" s="1"/>
  <c r="BF42" i="9" a="1"/>
  <c r="BF42" i="9" s="1"/>
  <c r="BY15" i="9" a="1"/>
  <c r="BY15" i="9" s="1"/>
  <c r="BO91" i="9" a="1"/>
  <c r="BO91" i="9" s="1"/>
  <c r="BS60" i="9" a="1"/>
  <c r="BS60" i="9" s="1"/>
  <c r="BN69" i="9" a="1"/>
  <c r="BN69" i="9" s="1"/>
  <c r="CB108" i="9" a="1"/>
  <c r="CB108" i="9" s="1"/>
  <c r="BH10" i="9" a="1"/>
  <c r="BH10" i="9" s="1"/>
  <c r="BF105" i="9" a="1"/>
  <c r="BF105" i="9" s="1"/>
  <c r="BP104" i="9" a="1"/>
  <c r="BP104" i="9" s="1"/>
  <c r="BN102" i="9" a="1"/>
  <c r="BN102" i="9" s="1"/>
  <c r="BJ21" i="9" a="1"/>
  <c r="BJ21" i="9" s="1"/>
  <c r="BN103" i="9" a="1"/>
  <c r="BN103" i="9" s="1"/>
  <c r="BG99" i="9" a="1"/>
  <c r="BG99" i="9" s="1"/>
  <c r="BG32" i="9" a="1"/>
  <c r="BG32" i="9" s="1"/>
  <c r="BZ90" i="9" a="1"/>
  <c r="BZ90" i="9" s="1"/>
  <c r="BZ101" i="9" a="1"/>
  <c r="BZ101" i="9" s="1"/>
  <c r="BZ91" i="9" a="1"/>
  <c r="BZ91" i="9" s="1"/>
  <c r="CE12" i="9" a="1"/>
  <c r="CE12" i="9" s="1"/>
  <c r="BF56" i="9" a="1"/>
  <c r="BF56" i="9" s="1"/>
  <c r="BO65" i="9" a="1"/>
  <c r="BO65" i="9" s="1"/>
  <c r="BV103" i="9" a="1"/>
  <c r="BV103" i="9" s="1"/>
  <c r="BS18" i="9" a="1"/>
  <c r="BS18" i="9" s="1"/>
  <c r="BN32" i="9" a="1"/>
  <c r="BN32" i="9" s="1"/>
  <c r="BQ14" i="9" a="1"/>
  <c r="BQ14" i="9" s="1"/>
  <c r="BS100" i="9" a="1"/>
  <c r="BS100" i="9" s="1"/>
  <c r="BG50" i="9" a="1"/>
  <c r="BG50" i="9" s="1"/>
  <c r="BS65" i="9" a="1"/>
  <c r="BS65" i="9" s="1"/>
  <c r="BJ37" i="9" a="1"/>
  <c r="BJ37" i="9" s="1"/>
  <c r="BK48" i="9" a="1"/>
  <c r="BK48" i="9" s="1"/>
  <c r="BO34" i="9" a="1"/>
  <c r="BO34" i="9" s="1"/>
  <c r="BV99" i="9" a="1"/>
  <c r="BV99" i="9" s="1"/>
  <c r="BY109" i="9" a="1"/>
  <c r="BY109" i="9" s="1"/>
  <c r="BH101" i="9" a="1"/>
  <c r="BH101" i="9" s="1"/>
  <c r="BP98" i="9" a="1"/>
  <c r="BP98" i="9" s="1"/>
  <c r="BM92" i="9" a="1"/>
  <c r="BM92" i="9" s="1"/>
  <c r="BS76" i="9" a="1"/>
  <c r="BS76" i="9" s="1"/>
  <c r="CC97" i="9" a="1"/>
  <c r="CC97" i="9" s="1"/>
  <c r="BK86" i="9" a="1"/>
  <c r="BK86" i="9" s="1"/>
  <c r="BW86" i="9" a="1"/>
  <c r="BW86" i="9" s="1"/>
  <c r="BT91" i="9" a="1"/>
  <c r="BT91" i="9" s="1"/>
  <c r="CF82" i="9" a="1"/>
  <c r="CF82" i="9" s="1"/>
  <c r="CF78" i="9" a="1"/>
  <c r="CF78" i="9" s="1"/>
  <c r="BK43" i="9" a="1"/>
  <c r="BK43" i="9" s="1"/>
  <c r="CE74" i="9" a="1"/>
  <c r="CE74" i="9" s="1"/>
  <c r="BJ63" i="9" a="1"/>
  <c r="BJ63" i="9" s="1"/>
  <c r="BT58" i="9" a="1"/>
  <c r="BT58" i="9" s="1"/>
  <c r="BS46" i="9" a="1"/>
  <c r="BS46" i="9" s="1"/>
  <c r="BV64" i="9" a="1"/>
  <c r="BV64" i="9" s="1"/>
  <c r="BM36" i="9" a="1"/>
  <c r="BM36" i="9" s="1"/>
  <c r="BK56" i="9" a="1"/>
  <c r="BK56" i="9" s="1"/>
  <c r="BN93" i="9" a="1"/>
  <c r="BN93" i="9" s="1"/>
  <c r="BW42" i="9" a="1"/>
  <c r="BW42" i="9" s="1"/>
  <c r="CB21" i="9" a="1"/>
  <c r="CB21" i="9" s="1"/>
  <c r="CE42" i="9" a="1"/>
  <c r="CE42" i="9" s="1"/>
  <c r="CC28" i="9" a="1"/>
  <c r="CC28" i="9" s="1"/>
  <c r="BK66" i="9" a="1"/>
  <c r="BK66" i="9" s="1"/>
  <c r="BO61" i="9" a="1"/>
  <c r="BO61" i="9" s="1"/>
  <c r="BN12" i="9" a="1"/>
  <c r="BN12" i="9" s="1"/>
  <c r="BT41" i="9" a="1"/>
  <c r="BT41" i="9" s="1"/>
  <c r="BK11" i="9" a="1"/>
  <c r="BK11" i="9" s="1"/>
  <c r="BP19" i="9" a="1"/>
  <c r="BP19" i="9" s="1"/>
  <c r="BT109" i="9" a="1"/>
  <c r="BT109" i="9" s="1"/>
  <c r="CB96" i="9" a="1"/>
  <c r="CB96" i="9" s="1"/>
  <c r="BY96" i="9" a="1"/>
  <c r="BY96" i="9" s="1"/>
  <c r="BF95" i="9" a="1"/>
  <c r="BF95" i="9" s="1"/>
  <c r="BG100" i="9" a="1"/>
  <c r="BG100" i="9" s="1"/>
  <c r="CB95" i="9" a="1"/>
  <c r="CB95" i="9" s="1"/>
  <c r="CF96" i="9" a="1"/>
  <c r="CF96" i="9" s="1"/>
  <c r="BS29" i="9" a="1"/>
  <c r="BS29" i="9" s="1"/>
  <c r="BH75" i="9" a="1"/>
  <c r="BH75" i="9" s="1"/>
  <c r="BK88" i="9" a="1"/>
  <c r="BK88" i="9" s="1"/>
  <c r="BW78" i="9" a="1"/>
  <c r="BW78" i="9" s="1"/>
  <c r="BH74" i="9" a="1"/>
  <c r="BH74" i="9" s="1"/>
  <c r="BV55" i="9" a="1"/>
  <c r="BV55" i="9" s="1"/>
  <c r="BK15" i="9" a="1"/>
  <c r="BK15" i="9" s="1"/>
  <c r="CC29" i="9" a="1"/>
  <c r="CC29" i="9" s="1"/>
  <c r="BH56" i="9" a="1"/>
  <c r="BH56" i="9" s="1"/>
  <c r="CC78" i="9" a="1"/>
  <c r="CC78" i="9" s="1"/>
  <c r="BF38" i="9" a="1"/>
  <c r="BF38" i="9" s="1"/>
  <c r="BM51" i="9" a="1"/>
  <c r="BM51" i="9" s="1"/>
  <c r="CF33" i="9" a="1"/>
  <c r="CF33" i="9" s="1"/>
  <c r="BN19" i="9" a="1"/>
  <c r="BN19" i="9" s="1"/>
  <c r="BV36" i="9" a="1"/>
  <c r="BV36" i="9" s="1"/>
  <c r="CF51" i="9" a="1"/>
  <c r="CF51" i="9" s="1"/>
  <c r="BK68" i="9" a="1"/>
  <c r="BK68" i="9" s="1"/>
  <c r="BV79" i="9" a="1"/>
  <c r="BV79" i="9" s="1"/>
  <c r="BK12" i="9" a="1"/>
  <c r="BK12" i="9" s="1"/>
  <c r="CF77" i="9" a="1"/>
  <c r="CF77" i="9" s="1"/>
  <c r="BW94" i="9" a="1"/>
  <c r="BW94" i="9" s="1"/>
  <c r="BJ79" i="9" a="1"/>
  <c r="BJ79" i="9" s="1"/>
  <c r="BQ74" i="9" a="1"/>
  <c r="BQ74" i="9" s="1"/>
  <c r="CF80" i="9" a="1"/>
  <c r="CF80" i="9" s="1"/>
  <c r="BS72" i="9" a="1"/>
  <c r="BS72" i="9" s="1"/>
  <c r="CC72" i="9" a="1"/>
  <c r="CC72" i="9" s="1"/>
  <c r="CB48" i="9" a="1"/>
  <c r="CB48" i="9" s="1"/>
  <c r="BO75" i="9" a="1"/>
  <c r="BO75" i="9" s="1"/>
  <c r="BQ68" i="9" a="1"/>
  <c r="BQ68" i="9" s="1"/>
  <c r="BJ64" i="9" a="1"/>
  <c r="BJ64" i="9" s="1"/>
  <c r="CC66" i="9" a="1"/>
  <c r="CC66" i="9" s="1"/>
  <c r="BZ31" i="9" a="1"/>
  <c r="BZ31" i="9" s="1"/>
  <c r="CE99" i="9" a="1"/>
  <c r="CE99" i="9" s="1"/>
  <c r="BS110" i="9" a="1"/>
  <c r="BS110" i="9" s="1"/>
  <c r="CE100" i="9" a="1"/>
  <c r="CE100" i="9" s="1"/>
  <c r="BH106" i="9" a="1"/>
  <c r="BH106" i="9" s="1"/>
  <c r="BH51" i="9" a="1"/>
  <c r="BH51" i="9" s="1"/>
  <c r="BY66" i="9" a="1"/>
  <c r="BY66" i="9" s="1"/>
  <c r="BW76" i="9" a="1"/>
  <c r="BW76" i="9" s="1"/>
  <c r="BM20" i="9" a="1"/>
  <c r="BM20" i="9" s="1"/>
  <c r="CF31" i="9" a="1"/>
  <c r="CF31" i="9" s="1"/>
  <c r="BK23" i="9" a="1"/>
  <c r="BK23" i="9" s="1"/>
  <c r="CF11" i="9" a="1"/>
  <c r="CF11" i="9" s="1"/>
  <c r="BH55" i="9" a="1"/>
  <c r="BH55" i="9" s="1"/>
  <c r="CC53" i="9" a="1"/>
  <c r="CC53" i="9" s="1"/>
  <c r="BW55" i="9" a="1"/>
  <c r="BW55" i="9" s="1"/>
  <c r="CC111" i="9" a="1"/>
  <c r="CC111" i="9" s="1"/>
  <c r="BG112" i="9" a="1"/>
  <c r="BG112" i="9" s="1"/>
  <c r="BO99" i="9" a="1"/>
  <c r="BO99" i="9" s="1"/>
  <c r="BJ95" i="9" a="1"/>
  <c r="BJ95" i="9" s="1"/>
  <c r="BH96" i="9" a="1"/>
  <c r="BH96" i="9" s="1"/>
  <c r="BJ94" i="9" a="1"/>
  <c r="BJ94" i="9" s="1"/>
  <c r="BK102" i="9" a="1"/>
  <c r="BK102" i="9" s="1"/>
  <c r="BS98" i="9" a="1"/>
  <c r="BS98" i="9" s="1"/>
  <c r="BV90" i="9" a="1"/>
  <c r="BV90" i="9" s="1"/>
  <c r="BJ9" i="9" a="1"/>
  <c r="BJ9" i="9" s="1"/>
  <c r="BJ70" i="9" a="1"/>
  <c r="BJ70" i="9" s="1"/>
  <c r="BP84" i="9" a="1"/>
  <c r="BP84" i="9" s="1"/>
  <c r="BN72" i="9" a="1"/>
  <c r="BN72" i="9" s="1"/>
  <c r="BT84" i="9" a="1"/>
  <c r="BT84" i="9" s="1"/>
  <c r="BS68" i="9" a="1"/>
  <c r="BS68" i="9" s="1"/>
  <c r="BY21" i="9" a="1"/>
  <c r="BY21" i="9" s="1"/>
  <c r="BN38" i="9" a="1"/>
  <c r="BN38" i="9" s="1"/>
  <c r="CB28" i="9" a="1"/>
  <c r="CB28" i="9" s="1"/>
  <c r="BG68" i="9" a="1"/>
  <c r="BG68" i="9" s="1"/>
  <c r="BH30" i="9" a="1"/>
  <c r="BH30" i="9" s="1"/>
  <c r="CE80" i="9" a="1"/>
  <c r="CE80" i="9" s="1"/>
  <c r="BG26" i="9" a="1"/>
  <c r="BG26" i="9" s="1"/>
  <c r="CC19" i="9" a="1"/>
  <c r="CC19" i="9" s="1"/>
  <c r="BG27" i="9" a="1"/>
  <c r="BG27" i="9" s="1"/>
  <c r="BG53" i="9" a="1"/>
  <c r="BG53" i="9" s="1"/>
  <c r="BH68" i="9" a="1"/>
  <c r="BH68" i="9" s="1"/>
  <c r="BV51" i="9" a="1"/>
  <c r="BV51" i="9" s="1"/>
  <c r="BN13" i="9" a="1"/>
  <c r="BN13" i="9" s="1"/>
  <c r="BQ94" i="9" a="1"/>
  <c r="BQ94" i="9" s="1"/>
  <c r="BK97" i="9" a="1"/>
  <c r="BK97" i="9" s="1"/>
  <c r="BG97" i="9" a="1"/>
  <c r="BG97" i="9" s="1"/>
  <c r="BJ91" i="9" a="1"/>
  <c r="BJ91" i="9" s="1"/>
  <c r="BM83" i="9" a="1"/>
  <c r="BM83" i="9" s="1"/>
  <c r="CB82" i="9" a="1"/>
  <c r="CB82" i="9" s="1"/>
  <c r="CC70" i="9" a="1"/>
  <c r="CC70" i="9" s="1"/>
  <c r="BZ39" i="9" a="1"/>
  <c r="BZ39" i="9" s="1"/>
  <c r="BZ77" i="9" a="1"/>
  <c r="BZ77" i="9" s="1"/>
  <c r="CC69" i="9" a="1"/>
  <c r="CC69" i="9" s="1"/>
  <c r="BQ76" i="9" a="1"/>
  <c r="BQ76" i="9" s="1"/>
  <c r="BO46" i="9" a="1"/>
  <c r="BO46" i="9" s="1"/>
  <c r="BW44" i="9" a="1"/>
  <c r="BW44" i="9" s="1"/>
  <c r="CB105" i="9" a="1"/>
  <c r="CB105" i="9" s="1"/>
  <c r="BF58" i="9" a="1"/>
  <c r="BF58" i="9" s="1"/>
  <c r="BQ106" i="9" a="1"/>
  <c r="BQ106" i="9" s="1"/>
  <c r="CB110" i="9" a="1"/>
  <c r="CB110" i="9" s="1"/>
  <c r="BO52" i="9" a="1"/>
  <c r="BO52" i="9" s="1"/>
  <c r="BH67" i="9" a="1"/>
  <c r="BH67" i="9" s="1"/>
  <c r="CE49" i="9" a="1"/>
  <c r="CE49" i="9" s="1"/>
  <c r="BJ75" i="9" a="1"/>
  <c r="BJ75" i="9" s="1"/>
  <c r="BQ9" i="9" a="1"/>
  <c r="BQ9" i="9" s="1"/>
  <c r="BO72" i="9" a="1"/>
  <c r="BO72" i="9" s="1"/>
  <c r="BZ35" i="9" a="1"/>
  <c r="BZ35" i="9" s="1"/>
  <c r="BS49" i="9" a="1"/>
  <c r="BS49" i="9" s="1"/>
  <c r="BZ60" i="9" a="1"/>
  <c r="BZ60" i="9" s="1"/>
  <c r="BK64" i="9" a="1"/>
  <c r="BK64" i="9" s="1"/>
  <c r="BM29" i="9" a="1"/>
  <c r="BM29" i="9" s="1"/>
  <c r="BF111" i="9" a="1"/>
  <c r="BF111" i="9" s="1"/>
  <c r="BN108" i="9" a="1"/>
  <c r="BN108" i="9" s="1"/>
  <c r="CC98" i="9" a="1"/>
  <c r="CC98" i="9" s="1"/>
  <c r="BS102" i="9" a="1"/>
  <c r="BS102" i="9" s="1"/>
  <c r="BM97" i="9" a="1"/>
  <c r="BM97" i="9" s="1"/>
  <c r="BJ90" i="9" a="1"/>
  <c r="BJ90" i="9" s="1"/>
  <c r="BP94" i="9" a="1"/>
  <c r="BP94" i="9" s="1"/>
  <c r="CF85" i="9" a="1"/>
  <c r="CF85" i="9" s="1"/>
  <c r="BV91" i="9" a="1"/>
  <c r="BV91" i="9" s="1"/>
  <c r="CB90" i="9" a="1"/>
  <c r="CB90" i="9" s="1"/>
  <c r="BQ82" i="9" a="1"/>
  <c r="BQ82" i="9" s="1"/>
  <c r="BJ58" i="9" a="1"/>
  <c r="BJ58" i="9" s="1"/>
  <c r="BJ61" i="9" a="1"/>
  <c r="BJ61" i="9" s="1"/>
  <c r="BY85" i="9" a="1"/>
  <c r="BY85" i="9" s="1"/>
  <c r="BO69" i="9" a="1"/>
  <c r="BO69" i="9" s="1"/>
  <c r="BJ73" i="9" a="1"/>
  <c r="BJ73" i="9" s="1"/>
  <c r="BK96" i="9" a="1"/>
  <c r="BK96" i="9" s="1"/>
  <c r="BY36" i="9" a="1"/>
  <c r="BY36" i="9" s="1"/>
  <c r="BW61" i="9" a="1"/>
  <c r="BW61" i="9" s="1"/>
  <c r="BF33" i="9" a="1"/>
  <c r="BF33" i="9" s="1"/>
  <c r="BZ66" i="9" a="1"/>
  <c r="BZ66" i="9" s="1"/>
  <c r="BF50" i="9" a="1"/>
  <c r="BF50" i="9" s="1"/>
  <c r="CE78" i="9" a="1"/>
  <c r="CE78" i="9" s="1"/>
  <c r="BO32" i="9" a="1"/>
  <c r="BO32" i="9" s="1"/>
  <c r="BN47" i="9" a="1"/>
  <c r="BN47" i="9" s="1"/>
  <c r="BM58" i="9" a="1"/>
  <c r="BM58" i="9" s="1"/>
  <c r="BT14" i="9" a="1"/>
  <c r="BT14" i="9" s="1"/>
  <c r="CE10" i="9" a="1"/>
  <c r="CE10" i="9" s="1"/>
  <c r="BG20" i="9" a="1"/>
  <c r="BG20" i="9" s="1"/>
  <c r="CB34" i="9" a="1"/>
  <c r="CB34" i="9" s="1"/>
  <c r="BG22" i="9" a="1"/>
  <c r="BG22" i="9" s="1"/>
  <c r="BH53" i="9" a="1"/>
  <c r="BH53" i="9" s="1"/>
  <c r="BZ85" i="9" a="1"/>
  <c r="BZ85" i="9" s="1"/>
  <c r="CF73" i="9" a="1"/>
  <c r="CF73" i="9" s="1"/>
  <c r="BZ73" i="9" a="1"/>
  <c r="BZ73" i="9" s="1"/>
  <c r="BM111" i="9" a="1"/>
  <c r="BM111" i="9" s="1"/>
  <c r="BQ75" i="9" a="1"/>
  <c r="BQ75" i="9" s="1"/>
  <c r="BZ112" i="9" a="1"/>
  <c r="BZ112" i="9" s="1"/>
  <c r="CB112" i="9" a="1"/>
  <c r="CB112" i="9" s="1"/>
  <c r="CC110" i="9" a="1"/>
  <c r="CC110" i="9" s="1"/>
  <c r="BW63" i="9" a="1"/>
  <c r="BW63" i="9" s="1"/>
  <c r="CE111" i="9" a="1"/>
  <c r="CE111" i="9" s="1"/>
  <c r="BK107" i="9" a="1"/>
  <c r="BK107" i="9" s="1"/>
  <c r="BM24" i="9" a="1"/>
  <c r="BM24" i="9" s="1"/>
  <c r="BS91" i="9" a="1"/>
  <c r="BS91" i="9" s="1"/>
  <c r="CB99" i="9" a="1"/>
  <c r="CB99" i="9" s="1"/>
  <c r="CF92" i="9" a="1"/>
  <c r="CF92" i="9" s="1"/>
  <c r="BO88" i="9" a="1"/>
  <c r="BO88" i="9" s="1"/>
  <c r="BF16" i="9" a="1"/>
  <c r="BF16" i="9" s="1"/>
  <c r="BQ15" i="9" a="1"/>
  <c r="BQ15" i="9" s="1"/>
  <c r="BJ19" i="9" a="1"/>
  <c r="BJ19" i="9" s="1"/>
  <c r="CF29" i="9" a="1"/>
  <c r="CF29" i="9" s="1"/>
  <c r="CF20" i="9" a="1"/>
  <c r="CF20" i="9" s="1"/>
  <c r="BN27" i="9" a="1"/>
  <c r="BN27" i="9" s="1"/>
  <c r="CB47" i="9" a="1"/>
  <c r="CB47" i="9" s="1"/>
  <c r="BS37" i="9" a="1"/>
  <c r="BS37" i="9" s="1"/>
  <c r="BN15" i="9" a="1"/>
  <c r="BN15" i="9" s="1"/>
  <c r="BJ67" i="9" a="1"/>
  <c r="BJ67" i="9" s="1"/>
  <c r="BM34" i="9" a="1"/>
  <c r="BM34" i="9" s="1"/>
  <c r="CF103" i="9" a="1"/>
  <c r="CF103" i="9" s="1"/>
  <c r="BY100" i="9" a="1"/>
  <c r="BY100" i="9" s="1"/>
  <c r="CB106" i="9" a="1"/>
  <c r="CB106" i="9" s="1"/>
  <c r="BF91" i="9" a="1"/>
  <c r="BF91" i="9" s="1"/>
  <c r="BM87" i="9" a="1"/>
  <c r="BM87" i="9" s="1"/>
  <c r="BY81" i="9" a="1"/>
  <c r="BY81" i="9" s="1"/>
  <c r="BW79" i="9" a="1"/>
  <c r="BW79" i="9" s="1"/>
  <c r="BJ97" i="9" a="1"/>
  <c r="BJ97" i="9" s="1"/>
  <c r="BW80" i="9" a="1"/>
  <c r="BW80" i="9" s="1"/>
  <c r="BH76" i="9" a="1"/>
  <c r="BH76" i="9" s="1"/>
  <c r="BN78" i="9" a="1"/>
  <c r="BN78" i="9" s="1"/>
  <c r="CF52" i="9" a="1"/>
  <c r="CF52" i="9" s="1"/>
  <c r="BK79" i="9" a="1"/>
  <c r="BK79" i="9" s="1"/>
  <c r="BV70" i="9" a="1"/>
  <c r="BV70" i="9" s="1"/>
  <c r="BF68" i="9" a="1"/>
  <c r="BF68" i="9" s="1"/>
  <c r="BT59" i="9" a="1"/>
  <c r="BT59" i="9" s="1"/>
  <c r="BJ68" i="9" a="1"/>
  <c r="BJ68" i="9" s="1"/>
  <c r="BT39" i="9" a="1"/>
  <c r="BT39" i="9" s="1"/>
  <c r="BV26" i="9" a="1"/>
  <c r="BV26" i="9" s="1"/>
  <c r="CB24" i="9" a="1"/>
  <c r="CB24" i="9" s="1"/>
  <c r="BO11" i="9" a="1"/>
  <c r="BO11" i="9" s="1"/>
  <c r="BZ81" i="9" a="1"/>
  <c r="BZ81" i="9" s="1"/>
  <c r="BS63" i="9" a="1"/>
  <c r="BS63" i="9" s="1"/>
  <c r="BF110" i="9" a="1"/>
  <c r="BF110" i="9" s="1"/>
  <c r="CC33" i="9" a="1"/>
  <c r="CC33" i="9" s="1"/>
  <c r="BW39" i="9" a="1"/>
  <c r="BW39" i="9" s="1"/>
  <c r="BS50" i="9" a="1"/>
  <c r="BS50" i="9" s="1"/>
  <c r="CE58" i="9" a="1"/>
  <c r="CE58" i="9" s="1"/>
  <c r="BH64" i="9" a="1"/>
  <c r="BH64" i="9" s="1"/>
  <c r="BO26" i="9" a="1"/>
  <c r="BO26" i="9" s="1"/>
  <c r="BG42" i="9" a="1"/>
  <c r="BG42" i="9" s="1"/>
  <c r="BY69" i="9" a="1"/>
  <c r="BY69" i="9" s="1"/>
  <c r="BH44" i="9" a="1"/>
  <c r="BH44" i="9" s="1"/>
  <c r="BS78" i="9" a="1"/>
  <c r="BS78" i="9" s="1"/>
  <c r="BG64" i="9" a="1"/>
  <c r="BG64" i="9" s="1"/>
  <c r="BN59" i="9" a="1"/>
  <c r="BN59" i="9" s="1"/>
  <c r="BM98" i="9" a="1"/>
  <c r="BM98" i="9" s="1"/>
  <c r="BF109" i="9" a="1"/>
  <c r="BF109" i="9" s="1"/>
  <c r="BW99" i="9" a="1"/>
  <c r="BW99" i="9" s="1"/>
  <c r="BP103" i="9" a="1"/>
  <c r="BP103" i="9" s="1"/>
  <c r="BK101" i="9" a="1"/>
  <c r="BK101" i="9" s="1"/>
  <c r="BP108" i="9" a="1"/>
  <c r="BP108" i="9" s="1"/>
  <c r="BP102" i="9" a="1"/>
  <c r="BP102" i="9" s="1"/>
  <c r="CE97" i="9" a="1"/>
  <c r="CE97" i="9" s="1"/>
  <c r="CF17" i="9" a="1"/>
  <c r="CF17" i="9" s="1"/>
  <c r="BN83" i="9" a="1"/>
  <c r="BN83" i="9" s="1"/>
  <c r="BT89" i="9" a="1"/>
  <c r="BT89" i="9" s="1"/>
  <c r="BS84" i="9" a="1"/>
  <c r="BS84" i="9" s="1"/>
  <c r="BG80" i="9" a="1"/>
  <c r="BG80" i="9" s="1"/>
  <c r="BY44" i="9" a="1"/>
  <c r="BY44" i="9" s="1"/>
  <c r="BV54" i="9" a="1"/>
  <c r="BV54" i="9" s="1"/>
  <c r="BZ25" i="9" a="1"/>
  <c r="BZ25" i="9" s="1"/>
  <c r="BV38" i="9" a="1"/>
  <c r="BV38" i="9" s="1"/>
  <c r="BH66" i="9" a="1"/>
  <c r="BH66" i="9" s="1"/>
  <c r="CB20" i="9" a="1"/>
  <c r="CB20" i="9" s="1"/>
  <c r="BN68" i="9" a="1"/>
  <c r="BN68" i="9" s="1"/>
  <c r="BZ13" i="9" a="1"/>
  <c r="BZ13" i="9" s="1"/>
  <c r="BG11" i="9" a="1"/>
  <c r="BG11" i="9" s="1"/>
  <c r="BP31" i="9" a="1"/>
  <c r="BP31" i="9" s="1"/>
  <c r="BO78" i="9" a="1"/>
  <c r="BO78" i="9" s="1"/>
  <c r="BH89" i="9" a="1"/>
  <c r="BH89" i="9" s="1"/>
  <c r="BT79" i="9" a="1"/>
  <c r="BT79" i="9" s="1"/>
  <c r="CF74" i="9" a="1"/>
  <c r="CF74" i="9" s="1"/>
  <c r="BV68" i="9" a="1"/>
  <c r="BV68" i="9" s="1"/>
  <c r="BQ58" i="9" a="1"/>
  <c r="BQ58" i="9" s="1"/>
  <c r="BS53" i="9" a="1"/>
  <c r="BS53" i="9" s="1"/>
  <c r="CB32" i="9" a="1"/>
  <c r="CB32" i="9" s="1"/>
  <c r="BT71" i="9" a="1"/>
  <c r="BT71" i="9" s="1"/>
  <c r="BS52" i="9" a="1"/>
  <c r="BS52" i="9" s="1"/>
  <c r="BJ48" i="9" a="1"/>
  <c r="BJ48" i="9" s="1"/>
  <c r="CF10" i="9" a="1"/>
  <c r="CF10" i="9" s="1"/>
  <c r="BG37" i="9" a="1"/>
  <c r="BG37" i="9" s="1"/>
  <c r="BM102" i="9" a="1"/>
  <c r="BM102" i="9" s="1"/>
  <c r="BG109" i="9" a="1"/>
  <c r="BG109" i="9" s="1"/>
  <c r="BW103" i="9" a="1"/>
  <c r="BW103" i="9" s="1"/>
  <c r="BY98" i="9" a="1"/>
  <c r="BY98" i="9" s="1"/>
  <c r="BM9" i="9" a="1"/>
  <c r="BM9" i="9" s="1"/>
  <c r="BS11" i="9" a="1"/>
  <c r="BS11" i="9" s="1"/>
  <c r="BT37" i="9" a="1"/>
  <c r="BT37" i="9" s="1"/>
  <c r="CC49" i="9" a="1"/>
  <c r="CC49" i="9" s="1"/>
  <c r="BO20" i="9" a="1"/>
  <c r="BO20" i="9" s="1"/>
  <c r="CB14" i="9" a="1"/>
  <c r="CB14" i="9" s="1"/>
  <c r="BN60" i="9" a="1"/>
  <c r="BN60" i="9" s="1"/>
  <c r="BN73" i="9" a="1"/>
  <c r="BN73" i="9" s="1"/>
  <c r="BS16" i="9" a="1"/>
  <c r="BS16" i="9" s="1"/>
  <c r="BT85" i="9" a="1"/>
  <c r="BT85" i="9" s="1"/>
  <c r="BJ31" i="9" a="1"/>
  <c r="BJ31" i="9" s="1"/>
  <c r="BT46" i="9" a="1"/>
  <c r="BT46" i="9" s="1"/>
  <c r="BP57" i="9" a="1"/>
  <c r="BP57" i="9" s="1"/>
  <c r="BZ67" i="9" a="1"/>
  <c r="BZ67" i="9" s="1"/>
  <c r="CE32" i="9" a="1"/>
  <c r="CE32" i="9" s="1"/>
  <c r="BW100" i="9" a="1"/>
  <c r="BW100" i="9" s="1"/>
  <c r="BP111" i="9" a="1"/>
  <c r="BP111" i="9" s="1"/>
  <c r="CB101" i="9" a="1"/>
  <c r="CB101" i="9" s="1"/>
  <c r="BQ109" i="9" a="1"/>
  <c r="BQ109" i="9" s="1"/>
  <c r="BH95" i="9" a="1"/>
  <c r="BH95" i="9" s="1"/>
  <c r="BQ93" i="9" a="1"/>
  <c r="BQ93" i="9" s="1"/>
  <c r="BS88" i="9" a="1"/>
  <c r="BS88" i="9" s="1"/>
  <c r="BQ86" i="9" a="1"/>
  <c r="BQ86" i="9" s="1"/>
  <c r="BY97" i="9" a="1"/>
  <c r="BY97" i="9" s="1"/>
  <c r="BS87" i="9" a="1"/>
  <c r="BS87" i="9" s="1"/>
  <c r="CC85" i="9" a="1"/>
  <c r="CC85" i="9" s="1"/>
  <c r="BZ23" i="9" a="1"/>
  <c r="BZ23" i="9" s="1"/>
  <c r="BQ65" i="9" a="1"/>
  <c r="BQ65" i="9" s="1"/>
  <c r="BG102" i="9" a="1"/>
  <c r="BG102" i="9" s="1"/>
  <c r="BZ72" i="9" a="1"/>
  <c r="BZ72" i="9" s="1"/>
  <c r="BM86" i="9" a="1"/>
  <c r="BM86" i="9" s="1"/>
  <c r="BZ89" i="9" a="1"/>
  <c r="BZ89" i="9" s="1"/>
  <c r="BN30" i="9" a="1"/>
  <c r="BN30" i="9" s="1"/>
  <c r="BW45" i="9" a="1"/>
  <c r="BW45" i="9" s="1"/>
  <c r="BS56" i="9" a="1"/>
  <c r="BS56" i="9" s="1"/>
  <c r="BP27" i="9" a="1"/>
  <c r="BP27" i="9" s="1"/>
  <c r="BF34" i="9" a="1"/>
  <c r="BF34" i="9" s="1"/>
  <c r="BQ19" i="9" a="1"/>
  <c r="BQ19" i="9" s="1"/>
  <c r="BP10" i="9" a="1"/>
  <c r="BP10" i="9" s="1"/>
  <c r="BT51" i="9" a="1"/>
  <c r="BT51" i="9" s="1"/>
  <c r="CF37" i="9" a="1"/>
  <c r="CF37" i="9" s="1"/>
  <c r="BO111" i="9" a="1"/>
  <c r="BO111" i="9" s="1"/>
  <c r="BM75" i="9" a="1"/>
  <c r="BM75" i="9" s="1"/>
  <c r="BG91" i="9" a="1"/>
  <c r="BG91" i="9" s="1"/>
  <c r="BF104" i="9" a="1"/>
  <c r="BF104" i="9" s="1"/>
  <c r="BY106" i="9" a="1"/>
  <c r="BY106" i="9" s="1"/>
  <c r="BF41" i="9" a="1"/>
  <c r="BF41" i="9" s="1"/>
  <c r="CE16" i="9" a="1"/>
  <c r="CE16" i="9" s="1"/>
  <c r="BW38" i="9" a="1"/>
  <c r="BW38" i="9" s="1"/>
  <c r="BM52" i="9" a="1"/>
  <c r="BM52" i="9" s="1"/>
  <c r="BO27" i="9" a="1"/>
  <c r="BO27" i="9" s="1"/>
  <c r="BF84" i="9" a="1"/>
  <c r="BF84" i="9" s="1"/>
  <c r="CE53" i="9" a="1"/>
  <c r="CE53" i="9" s="1"/>
  <c r="BO90" i="9" a="1"/>
  <c r="BO90" i="9" s="1"/>
  <c r="BP76" i="9" a="1"/>
  <c r="BP76" i="9" s="1"/>
  <c r="BP81" i="9" a="1"/>
  <c r="BP81" i="9" s="1"/>
  <c r="BV32" i="9" a="1"/>
  <c r="BV32" i="9" s="1"/>
  <c r="BM66" i="9" a="1"/>
  <c r="BM66" i="9" s="1"/>
  <c r="CF76" i="9" a="1"/>
  <c r="CF76" i="9" s="1"/>
  <c r="CF98" i="9" a="1"/>
  <c r="CF98" i="9" s="1"/>
  <c r="BH99" i="9" a="1"/>
  <c r="BH99" i="9" s="1"/>
  <c r="BS38" i="9" a="1"/>
  <c r="BS38" i="9" s="1"/>
  <c r="BV62" i="9" a="1"/>
  <c r="BV62" i="9" s="1"/>
  <c r="BW84" i="9" a="1"/>
  <c r="BW84" i="9" s="1"/>
  <c r="BF100" i="9" a="1"/>
  <c r="BF100" i="9" s="1"/>
  <c r="BO37" i="9" a="1"/>
  <c r="BO37" i="9" s="1"/>
  <c r="BM16" i="9" a="1"/>
  <c r="BM16" i="9" s="1"/>
  <c r="BQ95" i="9" a="1"/>
  <c r="BQ95" i="9" s="1"/>
  <c r="BJ28" i="9" a="1"/>
  <c r="BJ28" i="9" s="1"/>
  <c r="BW14" i="9" a="1"/>
  <c r="BW14" i="9" s="1"/>
  <c r="BY62" i="9" a="1"/>
  <c r="BY62" i="9" s="1"/>
  <c r="BS67" i="9" a="1"/>
  <c r="BS67" i="9" s="1"/>
  <c r="BH63" i="9" a="1"/>
  <c r="BH63" i="9" s="1"/>
  <c r="BT26" i="9" a="1"/>
  <c r="BT26" i="9" s="1"/>
  <c r="CC89" i="9" a="1"/>
  <c r="CC89" i="9" s="1"/>
  <c r="CF18" i="9" a="1"/>
  <c r="CF18" i="9" s="1"/>
  <c r="CC80" i="9" a="1"/>
  <c r="CC80" i="9" s="1"/>
  <c r="CE44" i="9" a="1"/>
  <c r="CE44" i="9" s="1"/>
  <c r="CC58" i="9" a="1"/>
  <c r="CC58" i="9" s="1"/>
  <c r="BT100" i="9" a="1"/>
  <c r="BT100" i="9" s="1"/>
  <c r="BP42" i="9" a="1"/>
  <c r="BP42" i="9" s="1"/>
  <c r="BT76" i="9" a="1"/>
  <c r="BT76" i="9" s="1"/>
  <c r="CB94" i="9" a="1"/>
  <c r="CB94" i="9" s="1"/>
  <c r="BV29" i="9" a="1"/>
  <c r="BV29" i="9" s="1"/>
  <c r="CF110" i="9" a="1"/>
  <c r="CF110" i="9" s="1"/>
  <c r="BQ54" i="9" a="1"/>
  <c r="BQ54" i="9" s="1"/>
  <c r="BG41" i="9" a="1"/>
  <c r="BG41" i="9" s="1"/>
  <c r="BH61" i="9" a="1"/>
  <c r="BH61" i="9" s="1"/>
  <c r="BQ32" i="9" a="1"/>
  <c r="BQ32" i="9" s="1"/>
  <c r="BW48" i="9" a="1"/>
  <c r="BW48" i="9" s="1"/>
  <c r="BP34" i="9" a="1"/>
  <c r="BP34" i="9" s="1"/>
  <c r="CE37" i="9" a="1"/>
  <c r="CE37" i="9" s="1"/>
  <c r="CB29" i="9" a="1"/>
  <c r="CB29" i="9" s="1"/>
  <c r="BK55" i="9" a="1"/>
  <c r="BK55" i="9" s="1"/>
  <c r="BF13" i="9" a="1"/>
  <c r="BF13" i="9" s="1"/>
  <c r="BW35" i="9" a="1"/>
  <c r="BW35" i="9" s="1"/>
  <c r="BW29" i="9" a="1"/>
  <c r="BW29" i="9" s="1"/>
  <c r="BM80" i="9" a="1"/>
  <c r="BM80" i="9" s="1"/>
  <c r="CC20" i="9" a="1"/>
  <c r="CC20" i="9" s="1"/>
  <c r="BV19" i="9" a="1"/>
  <c r="BV19" i="9" s="1"/>
  <c r="BS43" i="9" a="1"/>
  <c r="BS43" i="9" s="1"/>
  <c r="BY48" i="9" a="1"/>
  <c r="BY48" i="9" s="1"/>
  <c r="BG16" i="9" a="1"/>
  <c r="BG16" i="9" s="1"/>
  <c r="BY11" i="9" a="1"/>
  <c r="BY11" i="9" s="1"/>
  <c r="CC41" i="9" a="1"/>
  <c r="CC41" i="9" s="1"/>
  <c r="BM91" i="9" a="1"/>
  <c r="BM91" i="9" s="1"/>
  <c r="CF106" i="9" a="1"/>
  <c r="CF106" i="9" s="1"/>
  <c r="BG92" i="9" a="1"/>
  <c r="BG92" i="9" s="1"/>
  <c r="BG74" i="9" a="1"/>
  <c r="BG74" i="9" s="1"/>
  <c r="BK26" i="9" a="1"/>
  <c r="BK26" i="9" s="1"/>
  <c r="BQ46" i="9" a="1"/>
  <c r="BQ46" i="9" s="1"/>
  <c r="BQ48" i="9" a="1"/>
  <c r="BQ48" i="9" s="1"/>
  <c r="BT52" i="9" a="1"/>
  <c r="BT52" i="9" s="1"/>
  <c r="BM25" i="9" a="1"/>
  <c r="BM25" i="9" s="1"/>
  <c r="BP65" i="9" a="1"/>
  <c r="BP65" i="9" s="1"/>
  <c r="CF67" i="9" a="1"/>
  <c r="CF67" i="9" s="1"/>
  <c r="BK39" i="9" a="1"/>
  <c r="BK39" i="9" s="1"/>
  <c r="BG24" i="9" a="1"/>
  <c r="BG24" i="9" s="1"/>
  <c r="CF63" i="9" a="1"/>
  <c r="CF63" i="9" s="1"/>
  <c r="CB67" i="9" a="1"/>
  <c r="CB67" i="9" s="1"/>
  <c r="BG28" i="9" a="1"/>
  <c r="BG28" i="9" s="1"/>
  <c r="BJ45" i="9" a="1"/>
  <c r="BJ45" i="9" s="1"/>
  <c r="BV67" i="9" a="1"/>
  <c r="BV67" i="9" s="1"/>
  <c r="BP35" i="9" a="1"/>
  <c r="BP35" i="9" s="1"/>
  <c r="BV45" i="9" a="1"/>
  <c r="BV45" i="9" s="1"/>
  <c r="BP9" i="9" a="1"/>
  <c r="BP9" i="9" s="1"/>
  <c r="BN46" i="9" a="1"/>
  <c r="BN46" i="9" s="1"/>
  <c r="CF49" i="9" a="1"/>
  <c r="CF49" i="9" s="1"/>
  <c r="BH40" i="9" a="1"/>
  <c r="BH40" i="9" s="1"/>
  <c r="BY55" i="9" a="1"/>
  <c r="BY55" i="9" s="1"/>
  <c r="BH32" i="9" a="1"/>
  <c r="BH32" i="9" s="1"/>
  <c r="BH72" i="9" a="1"/>
  <c r="BH72" i="9" s="1"/>
  <c r="BJ15" i="9" a="1"/>
  <c r="BJ15" i="9" s="1"/>
  <c r="BG55" i="9" a="1"/>
  <c r="BG55" i="9" s="1"/>
  <c r="BP73" i="9" a="1"/>
  <c r="BP73" i="9" s="1"/>
  <c r="BS13" i="9" a="1"/>
  <c r="BS13" i="9" s="1"/>
  <c r="BH33" i="9" a="1"/>
  <c r="BH33" i="9" s="1"/>
  <c r="BO63" i="9" a="1"/>
  <c r="BO63" i="9" s="1"/>
  <c r="BJ11" i="9" a="1"/>
  <c r="BJ11" i="9" s="1"/>
  <c r="BF10" i="9" a="1"/>
  <c r="BF10" i="9" s="1"/>
  <c r="BN16" i="9" a="1"/>
  <c r="BN16" i="9" s="1"/>
  <c r="BQ61" i="9" a="1"/>
  <c r="BQ61" i="9" s="1"/>
  <c r="BZ22" i="9" a="1"/>
  <c r="BZ22" i="9" s="1"/>
  <c r="BO51" i="9" a="1"/>
  <c r="BO51" i="9" s="1"/>
  <c r="BW62" i="9" a="1"/>
  <c r="BW62" i="9" s="1"/>
  <c r="BF23" i="9" a="1"/>
  <c r="BF23" i="9" s="1"/>
  <c r="CB64" i="9" a="1"/>
  <c r="CB64" i="9" s="1"/>
  <c r="BM10" i="9" a="1"/>
  <c r="BM10" i="9" s="1"/>
  <c r="CC38" i="9" a="1"/>
  <c r="CC38" i="9" s="1"/>
  <c r="BV25" i="9" a="1"/>
  <c r="BV25" i="9" s="1"/>
  <c r="BN28" i="9" a="1"/>
  <c r="BN28" i="9" s="1"/>
  <c r="CB25" i="9" a="1"/>
  <c r="CB25" i="9" s="1"/>
  <c r="BF62" i="9" a="1"/>
  <c r="BF62" i="9" s="1"/>
  <c r="BS86" i="9" a="1"/>
  <c r="BS86" i="9" s="1"/>
  <c r="BT21" i="9" a="1"/>
  <c r="BT21" i="9" s="1"/>
  <c r="BJ43" i="9" a="1"/>
  <c r="BJ43" i="9" s="1"/>
  <c r="BT28" i="9" a="1"/>
  <c r="BT28" i="9" s="1"/>
  <c r="BN75" i="9" a="1"/>
  <c r="BN75" i="9" s="1"/>
  <c r="BP36" i="9" a="1"/>
  <c r="BP36" i="9" s="1"/>
  <c r="BT47" i="9" a="1"/>
  <c r="BT47" i="9" s="1"/>
  <c r="BF19" i="9" a="1"/>
  <c r="BF19" i="9" s="1"/>
  <c r="BN55" i="9" a="1"/>
  <c r="BN55" i="9" s="1"/>
  <c r="CE30" i="9" a="1"/>
  <c r="CE30" i="9" s="1"/>
  <c r="BM18" i="9" a="1"/>
  <c r="BM18" i="9" s="1"/>
  <c r="CE23" i="9" a="1"/>
  <c r="CE23" i="9" s="1"/>
  <c r="BZ42" i="9" a="1"/>
  <c r="BZ42" i="9" s="1"/>
  <c r="BJ101" i="9" a="1"/>
  <c r="BJ101" i="9" s="1"/>
  <c r="BZ12" i="9" a="1"/>
  <c r="BZ12" i="9" s="1"/>
  <c r="BK24" i="9" a="1"/>
  <c r="BK24" i="9" s="1"/>
  <c r="BP48" i="9" a="1"/>
  <c r="BP48" i="9" s="1"/>
  <c r="CB27" i="9" a="1"/>
  <c r="CB27" i="9" s="1"/>
  <c r="BN62" i="9" a="1"/>
  <c r="BN62" i="9" s="1"/>
  <c r="BG19" i="9" a="1"/>
  <c r="BG19" i="9" s="1"/>
  <c r="BT82" i="9" a="1"/>
  <c r="BT82" i="9" s="1"/>
  <c r="CB37" i="9" a="1"/>
  <c r="CB37" i="9" s="1"/>
  <c r="BQ11" i="9" a="1"/>
  <c r="BQ11" i="9" s="1"/>
  <c r="CF58" i="9" a="1"/>
  <c r="CF58" i="9" s="1"/>
  <c r="BY50" i="9" a="1"/>
  <c r="BY50" i="9" s="1"/>
  <c r="BQ70" i="9" a="1"/>
  <c r="BQ70" i="9" s="1"/>
  <c r="BK71" i="9" a="1"/>
  <c r="BK71" i="9" s="1"/>
  <c r="BV11" i="9" a="1"/>
  <c r="BV11" i="9" s="1"/>
  <c r="BZ49" i="9" a="1"/>
  <c r="BZ49" i="9" s="1"/>
  <c r="BZ9" i="9" a="1"/>
  <c r="BZ9" i="9" s="1"/>
  <c r="BT22" i="9" a="1"/>
  <c r="BT22" i="9" s="1"/>
  <c r="BM49" i="9" a="1"/>
  <c r="BM49" i="9" s="1"/>
  <c r="CB42" i="9" a="1"/>
  <c r="CB42" i="9" s="1"/>
  <c r="CE28" i="9" a="1"/>
  <c r="CE28" i="9" s="1"/>
  <c r="BP40" i="9" a="1"/>
  <c r="BP40" i="9" s="1"/>
  <c r="BN61" i="9" a="1"/>
  <c r="BN61" i="9" s="1"/>
  <c r="CB16" i="9" a="1"/>
  <c r="CB16" i="9" s="1"/>
  <c r="BF31" i="9" a="1"/>
  <c r="BF31" i="9" s="1"/>
  <c r="BJ26" i="9" a="1"/>
  <c r="BJ26" i="9" s="1"/>
  <c r="BP16" i="9" a="1"/>
  <c r="BP16" i="9" s="1"/>
  <c r="BZ15" i="9" a="1"/>
  <c r="BZ15" i="9" s="1"/>
  <c r="BP12" i="9" a="1"/>
  <c r="BP12" i="9" s="1"/>
  <c r="BN49" i="9" a="1"/>
  <c r="BN49" i="9" s="1"/>
  <c r="BY22" i="9" a="1"/>
  <c r="BY22" i="9" s="1"/>
  <c r="BF97" i="9" a="1"/>
  <c r="BF97" i="9" s="1"/>
  <c r="BY39" i="9" a="1"/>
  <c r="BY39" i="9" s="1"/>
  <c r="BQ52" i="9" a="1"/>
  <c r="BQ52" i="9" s="1"/>
  <c r="BK70" i="9" a="1"/>
  <c r="BK70" i="9" s="1"/>
  <c r="BP51" i="9" a="1"/>
  <c r="BP51" i="9" s="1"/>
  <c r="BZ34" i="9" a="1"/>
  <c r="BZ34" i="9" s="1"/>
  <c r="BJ42" i="9" a="1"/>
  <c r="BJ42" i="9" s="1"/>
  <c r="BP49" i="9" a="1"/>
  <c r="BP49" i="9" s="1"/>
  <c r="BZ32" i="9" a="1"/>
  <c r="BZ32" i="9" s="1"/>
  <c r="BS19" i="9" a="1"/>
  <c r="BS19" i="9" s="1"/>
  <c r="CC26" i="9" a="1"/>
  <c r="CC26" i="9" s="1"/>
  <c r="BV35" i="9" a="1"/>
  <c r="BV35" i="9" s="1"/>
  <c r="BS31" i="9" a="1"/>
  <c r="BS31" i="9" s="1"/>
  <c r="BS40" i="9" a="1"/>
  <c r="BS40" i="9" s="1"/>
  <c r="BW22" i="9" a="1"/>
  <c r="BW22" i="9" s="1"/>
  <c r="BV14" i="9" a="1"/>
  <c r="BV14" i="9" s="1"/>
  <c r="BS27" i="9" a="1"/>
  <c r="BS27" i="9" s="1"/>
  <c r="BS80" i="9" a="1"/>
  <c r="BS80" i="9" s="1"/>
  <c r="BG65" i="9" a="1"/>
  <c r="BG65" i="9" s="1"/>
  <c r="CE70" i="9" a="1"/>
  <c r="CE70" i="9" s="1"/>
  <c r="BY52" i="9" a="1"/>
  <c r="BY52" i="9" s="1"/>
  <c r="BK61" i="9" a="1"/>
  <c r="BK61" i="9" s="1"/>
  <c r="BP26" i="9" a="1"/>
  <c r="BP26" i="9" s="1"/>
  <c r="BQ62" i="9" a="1"/>
  <c r="BQ62" i="9" s="1"/>
  <c r="BN36" i="9" a="1"/>
  <c r="BN36" i="9" s="1"/>
  <c r="BH27" i="9" a="1"/>
  <c r="BH27" i="9" s="1"/>
  <c r="BJ59" i="9" a="1"/>
  <c r="BJ59" i="9" s="1"/>
  <c r="BZ38" i="9" a="1"/>
  <c r="BZ38" i="9" s="1"/>
  <c r="BW58" i="9" a="1"/>
  <c r="BW58" i="9" s="1"/>
  <c r="BM35" i="9" a="1"/>
  <c r="BM35" i="9" s="1"/>
  <c r="BN63" i="9" a="1"/>
  <c r="BN63" i="9" s="1"/>
  <c r="BS34" i="9" a="1"/>
  <c r="BS34" i="9" s="1"/>
  <c r="BQ37" i="9" a="1"/>
  <c r="BQ37" i="9" s="1"/>
  <c r="BJ65" i="9" a="1"/>
  <c r="BJ65" i="9" s="1"/>
  <c r="BT63" i="9" a="1"/>
  <c r="BT63" i="9" s="1"/>
  <c r="BF39" i="9" a="1"/>
  <c r="BF39" i="9" s="1"/>
  <c r="BZ52" i="9" a="1"/>
  <c r="BZ52" i="9" s="1"/>
  <c r="BK59" i="9" a="1"/>
  <c r="BK59" i="9" s="1"/>
  <c r="BW25" i="9" a="1"/>
  <c r="BW25" i="9" s="1"/>
  <c r="BG30" i="9" a="1"/>
  <c r="BG30" i="9" s="1"/>
  <c r="BY41" i="9" a="1"/>
  <c r="BY41" i="9" s="1"/>
  <c r="BY37" i="9" a="1"/>
  <c r="BY37" i="9" s="1"/>
  <c r="CB36" i="9" a="1"/>
  <c r="CB36" i="9" s="1"/>
  <c r="CF32" i="9" a="1"/>
  <c r="CF32" i="9" s="1"/>
  <c r="BS32" i="9" a="1"/>
  <c r="BS32" i="9" s="1"/>
  <c r="CE34" i="9" a="1"/>
  <c r="CE34" i="9" s="1"/>
  <c r="BH23" i="9" a="1"/>
  <c r="BH23" i="9" s="1"/>
  <c r="BK33" i="9" a="1"/>
  <c r="BK33" i="9" s="1"/>
  <c r="BS39" i="9" a="1"/>
  <c r="BS39" i="9" s="1"/>
  <c r="BY68" i="9" a="1"/>
  <c r="BY68" i="9" s="1"/>
  <c r="CF39" i="9" a="1"/>
  <c r="CF39" i="9" s="1"/>
  <c r="BJ18" i="9" a="1"/>
  <c r="BJ18" i="9" s="1"/>
  <c r="BH35" i="9" a="1"/>
  <c r="BH35" i="9" s="1"/>
  <c r="BJ32" i="9" a="1"/>
  <c r="BJ32" i="9" s="1"/>
  <c r="BQ24" i="9" a="1"/>
  <c r="BQ24" i="9" s="1"/>
  <c r="BO49" i="9" a="1"/>
  <c r="BO49" i="9" s="1"/>
  <c r="BP70" i="9" a="1"/>
  <c r="BP70" i="9" s="1"/>
  <c r="BQ97" i="9" a="1"/>
  <c r="BQ97" i="9" s="1"/>
  <c r="BM100" i="9" a="1"/>
  <c r="BM100" i="9" s="1"/>
  <c r="BQ16" i="9" a="1"/>
  <c r="BQ16" i="9" s="1"/>
  <c r="BP20" i="9" a="1"/>
  <c r="BP20" i="9" s="1"/>
  <c r="BT38" i="9" a="1"/>
  <c r="BT38" i="9" s="1"/>
  <c r="BS55" i="9" a="1"/>
  <c r="BS55" i="9" s="1"/>
  <c r="BQ18" i="9" a="1"/>
  <c r="BQ18" i="9" s="1"/>
  <c r="CC24" i="9" a="1"/>
  <c r="CC24" i="9" s="1"/>
  <c r="CF28" i="9" a="1"/>
  <c r="CF28" i="9" s="1"/>
  <c r="BS22" i="9" a="1"/>
  <c r="BS22" i="9" s="1"/>
  <c r="BY45" i="9" a="1"/>
  <c r="BY45" i="9" s="1"/>
  <c r="BN21" i="9" a="1"/>
  <c r="BN21" i="9" s="1"/>
  <c r="BW15" i="9" a="1"/>
  <c r="BW15" i="9" s="1"/>
  <c r="BF14" i="9" a="1"/>
  <c r="BF14" i="9" s="1"/>
  <c r="BW43" i="9" a="1"/>
  <c r="BW43" i="9" s="1"/>
  <c r="BW12" i="9" a="1"/>
  <c r="BW12" i="9" s="1"/>
  <c r="CF54" i="9" a="1"/>
  <c r="CF54" i="9" s="1"/>
  <c r="BM64" i="9" a="1"/>
  <c r="BM64" i="9" s="1"/>
  <c r="BG63" i="9" a="1"/>
  <c r="BG63" i="9" s="1"/>
  <c r="BP50" i="9" a="1"/>
  <c r="BP50" i="9" s="1"/>
  <c r="BT61" i="9" a="1"/>
  <c r="BT61" i="9" s="1"/>
  <c r="BJ22" i="9" a="1"/>
  <c r="BJ22" i="9" s="1"/>
  <c r="CB33" i="9" a="1"/>
  <c r="CB33" i="9" s="1"/>
  <c r="BM17" i="9" a="1"/>
  <c r="BM17" i="9" s="1"/>
  <c r="BQ35" i="9" a="1"/>
  <c r="BQ35" i="9" s="1"/>
  <c r="BS23" i="9" a="1"/>
  <c r="BS23" i="9" s="1"/>
  <c r="BN29" i="9" a="1"/>
  <c r="BN29" i="9" s="1"/>
  <c r="BO30" i="9" a="1"/>
  <c r="BO30" i="9" s="1"/>
  <c r="CF40" i="9" a="1"/>
  <c r="CF40" i="9" s="1"/>
  <c r="BM65" i="9" a="1"/>
  <c r="BM65" i="9" s="1"/>
  <c r="CE25" i="9" a="1"/>
  <c r="CE25" i="9" s="1"/>
  <c r="CF46" i="9" a="1"/>
  <c r="CF46" i="9" s="1"/>
  <c r="BZ29" i="9" a="1"/>
  <c r="BZ29" i="9" s="1"/>
  <c r="BY26" i="9" a="1"/>
  <c r="BY26" i="9" s="1"/>
  <c r="BS48" i="9" a="1"/>
  <c r="BS48" i="9" s="1"/>
  <c r="EG67" i="9" a="1"/>
  <c r="EG67" i="9" s="1"/>
  <c r="EF45" i="9" a="1"/>
  <c r="EF45" i="9" s="1"/>
  <c r="EG9" i="9" a="1"/>
  <c r="EG9" i="9" s="1"/>
  <c r="EF42" i="9" a="1"/>
  <c r="EF42" i="9" s="1"/>
  <c r="EG102" i="9" a="1"/>
  <c r="EG102" i="9" s="1"/>
  <c r="EF52" i="9" a="1"/>
  <c r="EF52" i="9" s="1"/>
  <c r="AA30" i="9" a="1"/>
  <c r="AA30" i="9" s="1"/>
  <c r="L15" i="9" a="1"/>
  <c r="L15" i="9" s="1"/>
  <c r="T71" i="9" a="1"/>
  <c r="T71" i="9" s="1"/>
  <c r="R94" i="9" a="1"/>
  <c r="R94" i="9" s="1"/>
  <c r="R108" i="9" a="1"/>
  <c r="R108" i="9" s="1"/>
  <c r="L55" i="9" a="1"/>
  <c r="L55" i="9" s="1"/>
  <c r="AG76" i="9" a="1"/>
  <c r="AG76" i="9" s="1"/>
  <c r="X61" i="9" a="1"/>
  <c r="X61" i="9" s="1"/>
  <c r="U40" i="9" a="1"/>
  <c r="U40" i="9" s="1"/>
  <c r="Z11" i="9" a="1"/>
  <c r="Z11" i="9" s="1"/>
  <c r="S90" i="9" a="1"/>
  <c r="S90" i="9" s="1"/>
  <c r="AG107" i="9" a="1"/>
  <c r="AG107" i="9" s="1"/>
  <c r="W54" i="9" a="1"/>
  <c r="W54" i="9" s="1"/>
  <c r="AG77" i="9" a="1"/>
  <c r="AG77" i="9" s="1"/>
  <c r="AC102" i="9" a="1"/>
  <c r="AC102" i="9" s="1"/>
  <c r="T34" i="9" a="1"/>
  <c r="T34" i="9" s="1"/>
  <c r="AI16" i="9" a="1"/>
  <c r="AI16" i="9" s="1"/>
  <c r="J52" i="9" a="1"/>
  <c r="J52" i="9" s="1"/>
  <c r="AG25" i="9" a="1"/>
  <c r="AG25" i="9" s="1"/>
  <c r="O77" i="9" a="1"/>
  <c r="O77" i="9" s="1"/>
  <c r="AA83" i="9" a="1"/>
  <c r="AA83" i="9" s="1"/>
  <c r="Q104" i="9" a="1"/>
  <c r="Q104" i="9" s="1"/>
  <c r="AA61" i="9" a="1"/>
  <c r="AA61" i="9" s="1"/>
  <c r="U65" i="9" a="1"/>
  <c r="U65" i="9" s="1"/>
  <c r="AD40" i="9" a="1"/>
  <c r="AD40" i="9" s="1"/>
  <c r="N51" i="9" a="1"/>
  <c r="N51" i="9" s="1"/>
  <c r="N23" i="9" a="1"/>
  <c r="N23" i="9" s="1"/>
  <c r="R110" i="9" a="1"/>
  <c r="R110" i="9" s="1"/>
  <c r="J59" i="9" a="1"/>
  <c r="J59" i="9" s="1"/>
  <c r="O79" i="9" a="1"/>
  <c r="O79" i="9" s="1"/>
  <c r="AA95" i="9" a="1"/>
  <c r="AA95" i="9" s="1"/>
  <c r="AA12" i="9" a="1"/>
  <c r="AA12" i="9" s="1"/>
  <c r="AJ47" i="9" a="1"/>
  <c r="AJ47" i="9" s="1"/>
  <c r="AJ35" i="9" a="1"/>
  <c r="AJ35" i="9" s="1"/>
  <c r="X16" i="9" a="1"/>
  <c r="X16" i="9" s="1"/>
  <c r="Q102" i="9" a="1"/>
  <c r="Q102" i="9" s="1"/>
  <c r="AJ17" i="9" a="1"/>
  <c r="AJ17" i="9" s="1"/>
  <c r="AJ63" i="9" a="1"/>
  <c r="AJ63" i="9" s="1"/>
  <c r="K91" i="9" a="1"/>
  <c r="K91" i="9" s="1"/>
  <c r="Z109" i="9" a="1"/>
  <c r="Z109" i="9" s="1"/>
  <c r="R35" i="9" a="1"/>
  <c r="R35" i="9" s="1"/>
  <c r="AI14" i="9" a="1"/>
  <c r="AI14" i="9" s="1"/>
  <c r="T53" i="9" a="1"/>
  <c r="T53" i="9" s="1"/>
  <c r="AI18" i="9" a="1"/>
  <c r="AI18" i="9" s="1"/>
  <c r="X67" i="9" a="1"/>
  <c r="X67" i="9" s="1"/>
  <c r="Q90" i="9" a="1"/>
  <c r="Q90" i="9" s="1"/>
  <c r="W110" i="9" a="1"/>
  <c r="W110" i="9" s="1"/>
  <c r="Z58" i="9" a="1"/>
  <c r="Z58" i="9" s="1"/>
  <c r="AC72" i="9" a="1"/>
  <c r="AC72" i="9" s="1"/>
  <c r="AF50" i="9" a="1"/>
  <c r="AF50" i="9" s="1"/>
  <c r="AD36" i="9" a="1"/>
  <c r="AD36" i="9" s="1"/>
  <c r="AI15" i="9" a="1"/>
  <c r="AI15" i="9" s="1"/>
  <c r="AA89" i="9" a="1"/>
  <c r="AA89" i="9" s="1"/>
  <c r="AJ106" i="9" a="1"/>
  <c r="AJ106" i="9" s="1"/>
  <c r="AD53" i="9" a="1"/>
  <c r="AD53" i="9" s="1"/>
  <c r="AJ76" i="9" a="1"/>
  <c r="AJ76" i="9" s="1"/>
  <c r="AF101" i="9" a="1"/>
  <c r="AF101" i="9" s="1"/>
  <c r="W33" i="9" a="1"/>
  <c r="W33" i="9" s="1"/>
  <c r="AF17" i="9" a="1"/>
  <c r="AF17" i="9" s="1"/>
  <c r="AC50" i="9" a="1"/>
  <c r="AC50" i="9" s="1"/>
  <c r="W75" i="9" a="1"/>
  <c r="W75" i="9" s="1"/>
  <c r="S97" i="9" a="1"/>
  <c r="S97" i="9" s="1"/>
  <c r="K23" i="9" a="1"/>
  <c r="K23" i="9" s="1"/>
  <c r="N80" i="9" a="1"/>
  <c r="N80" i="9" s="1"/>
  <c r="U89" i="9" a="1"/>
  <c r="U89" i="9" s="1"/>
  <c r="L12" i="9" a="1"/>
  <c r="L12" i="9" s="1"/>
  <c r="X35" i="9" a="1"/>
  <c r="X35" i="9" s="1"/>
  <c r="J46" i="9" a="1"/>
  <c r="J46" i="9" s="1"/>
  <c r="Z88" i="9" a="1"/>
  <c r="Z88" i="9" s="1"/>
  <c r="AA107" i="9" a="1"/>
  <c r="AA107" i="9" s="1"/>
  <c r="S52" i="9" a="1"/>
  <c r="S52" i="9" s="1"/>
  <c r="S77" i="9" a="1"/>
  <c r="S77" i="9" s="1"/>
  <c r="Z100" i="9" a="1"/>
  <c r="Z100" i="9" s="1"/>
  <c r="AF37" i="9" a="1"/>
  <c r="AF37" i="9" s="1"/>
  <c r="X73" i="9" a="1"/>
  <c r="X73" i="9" s="1"/>
  <c r="U33" i="9" a="1"/>
  <c r="U33" i="9" s="1"/>
  <c r="T110" i="9" a="1"/>
  <c r="T110" i="9" s="1"/>
  <c r="N57" i="9" a="1"/>
  <c r="N57" i="9" s="1"/>
  <c r="AD76" i="9" a="1"/>
  <c r="AD76" i="9" s="1"/>
  <c r="AJ101" i="9" a="1"/>
  <c r="AJ101" i="9" s="1"/>
  <c r="U20" i="9" a="1"/>
  <c r="U20" i="9" s="1"/>
  <c r="AG60" i="9" a="1"/>
  <c r="AG60" i="9" s="1"/>
  <c r="O50" i="9" a="1"/>
  <c r="O50" i="9" s="1"/>
  <c r="AC23" i="9" a="1"/>
  <c r="AC23" i="9" s="1"/>
  <c r="N86" i="9" a="1"/>
  <c r="N86" i="9" s="1"/>
  <c r="AD100" i="9" a="1"/>
  <c r="AD100" i="9" s="1"/>
  <c r="N49" i="9" a="1"/>
  <c r="N49" i="9" s="1"/>
  <c r="L66" i="9" a="1"/>
  <c r="L66" i="9" s="1"/>
  <c r="AC97" i="9" a="1"/>
  <c r="AC97" i="9" s="1"/>
  <c r="S13" i="9" a="1"/>
  <c r="S13" i="9" s="1"/>
  <c r="N59" i="9" a="1"/>
  <c r="N59" i="9" s="1"/>
  <c r="Q44" i="9" a="1"/>
  <c r="Q44" i="9" s="1"/>
  <c r="J82" i="9" a="1"/>
  <c r="J82" i="9" s="1"/>
  <c r="K88" i="9" a="1"/>
  <c r="K88" i="9" s="1"/>
  <c r="O30" i="9" a="1"/>
  <c r="O30" i="9" s="1"/>
  <c r="AA62" i="9" a="1"/>
  <c r="AA62" i="9" s="1"/>
  <c r="L84" i="9" a="1"/>
  <c r="L84" i="9" s="1"/>
  <c r="W60" i="9" a="1"/>
  <c r="W60" i="9" s="1"/>
  <c r="AJ50" i="9" a="1"/>
  <c r="AJ50" i="9" s="1"/>
  <c r="AJ22" i="9" a="1"/>
  <c r="AJ22" i="9" s="1"/>
  <c r="K96" i="9" a="1"/>
  <c r="K96" i="9" s="1"/>
  <c r="U24" i="9" a="1"/>
  <c r="U24" i="9" s="1"/>
  <c r="AG62" i="9" a="1"/>
  <c r="AG62" i="9" s="1"/>
  <c r="AF84" i="9" a="1"/>
  <c r="AF84" i="9" s="1"/>
  <c r="N104" i="9" a="1"/>
  <c r="N104" i="9" s="1"/>
  <c r="Q51" i="9" a="1"/>
  <c r="Q51" i="9" s="1"/>
  <c r="AA21" i="9" a="1"/>
  <c r="AA21" i="9" s="1"/>
  <c r="AD48" i="9" a="1"/>
  <c r="AD48" i="9" s="1"/>
  <c r="AJ24" i="9" a="1"/>
  <c r="AJ24" i="9" s="1"/>
  <c r="L78" i="9" a="1"/>
  <c r="L78" i="9" s="1"/>
  <c r="S84" i="9" a="1"/>
  <c r="S84" i="9" s="1"/>
  <c r="N105" i="9" a="1"/>
  <c r="N105" i="9" s="1"/>
  <c r="L52" i="9" a="1"/>
  <c r="L52" i="9" s="1"/>
  <c r="O66" i="9" a="1"/>
  <c r="O66" i="9" s="1"/>
  <c r="S41" i="9" a="1"/>
  <c r="S41" i="9" s="1"/>
  <c r="N52" i="9" a="1"/>
  <c r="N52" i="9" s="1"/>
  <c r="U22" i="9" a="1"/>
  <c r="U22" i="9" s="1"/>
  <c r="W94" i="9" a="1"/>
  <c r="W94" i="9" s="1"/>
  <c r="S108" i="9" a="1"/>
  <c r="S108" i="9" s="1"/>
  <c r="K61" i="9" a="1"/>
  <c r="K61" i="9" s="1"/>
  <c r="Q83" i="9" a="1"/>
  <c r="Q83" i="9" s="1"/>
  <c r="AC103" i="9" a="1"/>
  <c r="AC103" i="9" s="1"/>
  <c r="J40" i="9" a="1"/>
  <c r="J40" i="9" s="1"/>
  <c r="R11" i="9" a="1"/>
  <c r="R11" i="9" s="1"/>
  <c r="U35" i="9" a="1"/>
  <c r="U35" i="9" s="1"/>
  <c r="L82" i="9" a="1"/>
  <c r="L82" i="9" s="1"/>
  <c r="L104" i="9" a="1"/>
  <c r="L104" i="9" s="1"/>
  <c r="N17" i="9" a="1"/>
  <c r="N17" i="9" s="1"/>
  <c r="AI90" i="9" a="1"/>
  <c r="AI90" i="9" s="1"/>
  <c r="Z108" i="9" a="1"/>
  <c r="Z108" i="9" s="1"/>
  <c r="T55" i="9" a="1"/>
  <c r="T55" i="9" s="1"/>
  <c r="AA78" i="9" a="1"/>
  <c r="AA78" i="9" s="1"/>
  <c r="U103" i="9" a="1"/>
  <c r="U103" i="9" s="1"/>
  <c r="Q35" i="9" a="1"/>
  <c r="Q35" i="9" s="1"/>
  <c r="S16" i="9" a="1"/>
  <c r="S16" i="9" s="1"/>
  <c r="AD30" i="9" a="1"/>
  <c r="AD30" i="9" s="1"/>
  <c r="S19" i="9" a="1"/>
  <c r="S19" i="9" s="1"/>
  <c r="R62" i="9" a="1"/>
  <c r="R62" i="9" s="1"/>
  <c r="K78" i="9" a="1"/>
  <c r="K78" i="9" s="1"/>
  <c r="Q105" i="9" a="1"/>
  <c r="Q105" i="9" s="1"/>
  <c r="L54" i="9" a="1"/>
  <c r="L54" i="9" s="1"/>
  <c r="S68" i="9" a="1"/>
  <c r="S68" i="9" s="1"/>
  <c r="S47" i="9" a="1"/>
  <c r="S47" i="9" s="1"/>
  <c r="AI35" i="9" a="1"/>
  <c r="AI35" i="9" s="1"/>
  <c r="S88" i="9" a="1"/>
  <c r="S88" i="9" s="1"/>
  <c r="AD104" i="9" a="1"/>
  <c r="AD104" i="9" s="1"/>
  <c r="U62" i="9" a="1"/>
  <c r="U62" i="9" s="1"/>
  <c r="O67" i="9" a="1"/>
  <c r="O67" i="9" s="1"/>
  <c r="U100" i="9" a="1"/>
  <c r="U100" i="9" s="1"/>
  <c r="AF45" i="9" a="1"/>
  <c r="AF45" i="9" s="1"/>
  <c r="Z27" i="9" a="1"/>
  <c r="Z27" i="9" s="1"/>
  <c r="U41" i="9" a="1"/>
  <c r="U41" i="9" s="1"/>
  <c r="U30" i="9" a="1"/>
  <c r="U30" i="9" s="1"/>
  <c r="J66" i="9" a="1"/>
  <c r="J66" i="9" s="1"/>
  <c r="AF95" i="9" a="1"/>
  <c r="AF95" i="9" s="1"/>
  <c r="K11" i="9" a="1"/>
  <c r="K11" i="9" s="1"/>
  <c r="T70" i="9" a="1"/>
  <c r="T70" i="9" s="1"/>
  <c r="J88" i="9" a="1"/>
  <c r="J88" i="9" s="1"/>
  <c r="AF21" i="9" a="1"/>
  <c r="AF21" i="9" s="1"/>
  <c r="AI47" i="9" a="1"/>
  <c r="AI47" i="9" s="1"/>
  <c r="X36" i="9" a="1"/>
  <c r="X36" i="9" s="1"/>
  <c r="S18" i="9" a="1"/>
  <c r="S18" i="9" s="1"/>
  <c r="U68" i="9" a="1"/>
  <c r="U68" i="9" s="1"/>
  <c r="N91" i="9" a="1"/>
  <c r="N91" i="9" s="1"/>
  <c r="T111" i="9" a="1"/>
  <c r="T111" i="9" s="1"/>
  <c r="S59" i="9" a="1"/>
  <c r="S59" i="9" s="1"/>
  <c r="U73" i="9" a="1"/>
  <c r="U73" i="9" s="1"/>
  <c r="S53" i="9" a="1"/>
  <c r="S53" i="9" s="1"/>
  <c r="S37" i="9" a="1"/>
  <c r="S37" i="9" s="1"/>
  <c r="N15" i="9" a="1"/>
  <c r="N15" i="9" s="1"/>
  <c r="L87" i="9" a="1"/>
  <c r="L87" i="9" s="1"/>
  <c r="AA110" i="9" a="1"/>
  <c r="AA110" i="9" s="1"/>
  <c r="AD58" i="9" a="1"/>
  <c r="AD58" i="9" s="1"/>
  <c r="R74" i="9" a="1"/>
  <c r="R74" i="9" s="1"/>
  <c r="AD99" i="9" a="1"/>
  <c r="AD99" i="9" s="1"/>
  <c r="U31" i="9" a="1"/>
  <c r="U31" i="9" s="1"/>
  <c r="O20" i="9" a="1"/>
  <c r="O20" i="9" s="1"/>
  <c r="X48" i="9" a="1"/>
  <c r="X48" i="9" s="1"/>
  <c r="K20" i="9" a="1"/>
  <c r="K20" i="9" s="1"/>
  <c r="Z61" i="9" a="1"/>
  <c r="Z61" i="9" s="1"/>
  <c r="N77" i="9" a="1"/>
  <c r="N77" i="9" s="1"/>
  <c r="T104" i="9" a="1"/>
  <c r="T104" i="9" s="1"/>
  <c r="AC52" i="9" a="1"/>
  <c r="AC52" i="9" s="1"/>
  <c r="AD67" i="9" a="1"/>
  <c r="AD67" i="9" s="1"/>
  <c r="AD46" i="9" a="1"/>
  <c r="AD46" i="9" s="1"/>
  <c r="N35" i="9" a="1"/>
  <c r="N35" i="9" s="1"/>
  <c r="X102" i="9" a="1"/>
  <c r="X102" i="9" s="1"/>
  <c r="AD22" i="9" a="1"/>
  <c r="AD22" i="9" s="1"/>
  <c r="S80" i="9" a="1"/>
  <c r="S80" i="9" s="1"/>
  <c r="J91" i="9" a="1"/>
  <c r="J91" i="9" s="1"/>
  <c r="AG28" i="9" a="1"/>
  <c r="AG28" i="9" s="1"/>
  <c r="O53" i="9" a="1"/>
  <c r="O53" i="9" s="1"/>
  <c r="AG41" i="9" a="1"/>
  <c r="AG41" i="9" s="1"/>
  <c r="X68" i="9" a="1"/>
  <c r="X68" i="9" s="1"/>
  <c r="Q111" i="9" a="1"/>
  <c r="Q111" i="9" s="1"/>
  <c r="K58" i="9" a="1"/>
  <c r="K58" i="9" s="1"/>
  <c r="X77" i="9" a="1"/>
  <c r="X77" i="9" s="1"/>
  <c r="AG102" i="9" a="1"/>
  <c r="AG102" i="9" s="1"/>
  <c r="AC19" i="9" a="1"/>
  <c r="AC19" i="9" s="1"/>
  <c r="AF63" i="9" a="1"/>
  <c r="AF63" i="9" s="1"/>
  <c r="L51" i="9" a="1"/>
  <c r="L51" i="9" s="1"/>
  <c r="AF22" i="9" a="1"/>
  <c r="AF22" i="9" s="1"/>
  <c r="X80" i="9" a="1"/>
  <c r="X80" i="9" s="1"/>
  <c r="L102" i="9" a="1"/>
  <c r="L102" i="9" s="1"/>
  <c r="AA18" i="9" a="1"/>
  <c r="AA18" i="9" s="1"/>
  <c r="AF67" i="9" a="1"/>
  <c r="AF67" i="9" s="1"/>
  <c r="N94" i="9" a="1"/>
  <c r="N94" i="9" s="1"/>
  <c r="AD28" i="9" a="1"/>
  <c r="AD28" i="9" s="1"/>
  <c r="Q40" i="9" a="1"/>
  <c r="Q40" i="9" s="1"/>
  <c r="K51" i="9" a="1"/>
  <c r="K51" i="9" s="1"/>
  <c r="AI106" i="9" a="1"/>
  <c r="AI106" i="9" s="1"/>
  <c r="N54" i="9" a="1"/>
  <c r="N54" i="9" s="1"/>
  <c r="Q66" i="9" a="1"/>
  <c r="Q66" i="9" s="1"/>
  <c r="W99" i="9" a="1"/>
  <c r="W99" i="9" s="1"/>
  <c r="R30" i="9" a="1"/>
  <c r="R30" i="9" s="1"/>
  <c r="O57" i="9" a="1"/>
  <c r="O57" i="9" s="1"/>
  <c r="AF39" i="9" a="1"/>
  <c r="AF39" i="9" s="1"/>
  <c r="T12" i="9" a="1"/>
  <c r="T12" i="9" s="1"/>
  <c r="R98" i="9" a="1"/>
  <c r="R98" i="9" s="1"/>
  <c r="K30" i="9" a="1"/>
  <c r="K30" i="9" s="1"/>
  <c r="AD62" i="9" a="1"/>
  <c r="AD62" i="9" s="1"/>
  <c r="AA82" i="9" a="1"/>
  <c r="AA82" i="9" s="1"/>
  <c r="AD103" i="9" a="1"/>
  <c r="AD103" i="9" s="1"/>
  <c r="AD45" i="9" a="1"/>
  <c r="AD45" i="9" s="1"/>
  <c r="U27" i="9" a="1"/>
  <c r="U27" i="9" s="1"/>
  <c r="K41" i="9" a="1"/>
  <c r="K41" i="9" s="1"/>
  <c r="L24" i="9" a="1"/>
  <c r="L24" i="9" s="1"/>
  <c r="AJ78" i="9" a="1"/>
  <c r="AJ78" i="9" s="1"/>
  <c r="AI84" i="9" a="1"/>
  <c r="AI84" i="9" s="1"/>
  <c r="AI105" i="9" a="1"/>
  <c r="AI105" i="9" s="1"/>
  <c r="AJ52" i="9" a="1"/>
  <c r="AJ52" i="9" s="1"/>
  <c r="L67" i="9" a="1"/>
  <c r="L67" i="9" s="1"/>
  <c r="K42" i="9" a="1"/>
  <c r="K42" i="9" s="1"/>
  <c r="AG30" i="9" a="1"/>
  <c r="AG30" i="9" s="1"/>
  <c r="T21" i="9" a="1"/>
  <c r="T21" i="9" s="1"/>
  <c r="AI88" i="9" a="1"/>
  <c r="AI88" i="9" s="1"/>
  <c r="S105" i="9" a="1"/>
  <c r="S105" i="9" s="1"/>
  <c r="T52" i="9" a="1"/>
  <c r="T52" i="9" s="1"/>
  <c r="L68" i="9" a="1"/>
  <c r="L68" i="9" s="1"/>
  <c r="J101" i="9" a="1"/>
  <c r="J101" i="9" s="1"/>
  <c r="Z46" i="9" a="1"/>
  <c r="Z46" i="9" s="1"/>
  <c r="AG26" i="9" a="1"/>
  <c r="AG26" i="9" s="1"/>
  <c r="J42" i="9" a="1"/>
  <c r="J42" i="9" s="1"/>
  <c r="AC13" i="9" a="1"/>
  <c r="AC13" i="9" s="1"/>
  <c r="Z67" i="9" a="1"/>
  <c r="Z67" i="9" s="1"/>
  <c r="T83" i="9" a="1"/>
  <c r="T83" i="9" s="1"/>
  <c r="R105" i="9" a="1"/>
  <c r="R105" i="9" s="1"/>
  <c r="S60" i="9" a="1"/>
  <c r="S60" i="9" s="1"/>
  <c r="AJ73" i="9" a="1"/>
  <c r="AJ73" i="9" s="1"/>
  <c r="AJ30" i="9" a="1"/>
  <c r="AJ30" i="9" s="1"/>
  <c r="T41" i="9" a="1"/>
  <c r="T41" i="9" s="1"/>
  <c r="R104" i="9" a="1"/>
  <c r="R104" i="9" s="1"/>
  <c r="K17" i="9" a="1"/>
  <c r="K17" i="9" s="1"/>
  <c r="Z69" i="9" a="1"/>
  <c r="Z69" i="9" s="1"/>
  <c r="AG86" i="9" a="1"/>
  <c r="AG86" i="9" s="1"/>
  <c r="AC109" i="9" a="1"/>
  <c r="AC109" i="9" s="1"/>
  <c r="AG58" i="9" a="1"/>
  <c r="AG58" i="9" s="1"/>
  <c r="Z65" i="9" a="1"/>
  <c r="Z65" i="9" s="1"/>
  <c r="AD98" i="9" a="1"/>
  <c r="AD98" i="9" s="1"/>
  <c r="S44" i="9" a="1"/>
  <c r="S44" i="9" s="1"/>
  <c r="L29" i="9" a="1"/>
  <c r="L29" i="9" s="1"/>
  <c r="AD39" i="9" a="1"/>
  <c r="AD39" i="9" s="1"/>
  <c r="AD111" i="9" a="1"/>
  <c r="AD111" i="9" s="1"/>
  <c r="T60" i="9" a="1"/>
  <c r="T60" i="9" s="1"/>
  <c r="W82" i="9" a="1"/>
  <c r="W82" i="9" s="1"/>
  <c r="AA99" i="9" a="1"/>
  <c r="AA99" i="9" s="1"/>
  <c r="L14" i="9" a="1"/>
  <c r="L14" i="9" s="1"/>
  <c r="J75" i="9" a="1"/>
  <c r="J75" i="9" s="1"/>
  <c r="U34" i="9" a="1"/>
  <c r="U34" i="9" s="1"/>
  <c r="AC16" i="9" a="1"/>
  <c r="AC16" i="9" s="1"/>
  <c r="K92" i="9" a="1"/>
  <c r="K92" i="9" s="1"/>
  <c r="U109" i="9" a="1"/>
  <c r="U109" i="9" s="1"/>
  <c r="AD56" i="9" a="1"/>
  <c r="AD56" i="9" s="1"/>
  <c r="R72" i="9" a="1"/>
  <c r="R72" i="9" s="1"/>
  <c r="N96" i="9" a="1"/>
  <c r="N96" i="9" s="1"/>
  <c r="L33" i="9" a="1"/>
  <c r="L33" i="9" s="1"/>
  <c r="AF59" i="9" a="1"/>
  <c r="AF59" i="9" s="1"/>
  <c r="W50" i="9" a="1"/>
  <c r="W50" i="9" s="1"/>
  <c r="R71" i="9" a="1"/>
  <c r="R71" i="9" s="1"/>
  <c r="L86" i="9" a="1"/>
  <c r="L86" i="9" s="1"/>
  <c r="AF23" i="9" a="1"/>
  <c r="AF23" i="9" s="1"/>
  <c r="Q63" i="9" a="1"/>
  <c r="Q63" i="9" s="1"/>
  <c r="AI83" i="9" a="1"/>
  <c r="AI83" i="9" s="1"/>
  <c r="AI80" i="9" a="1"/>
  <c r="AI80" i="9" s="1"/>
  <c r="J35" i="9" a="1"/>
  <c r="J35" i="9" s="1"/>
  <c r="R16" i="9" a="1"/>
  <c r="R16" i="9" s="1"/>
  <c r="Z30" i="9" a="1"/>
  <c r="Z30" i="9" s="1"/>
  <c r="AA72" i="9" a="1"/>
  <c r="AA72" i="9" s="1"/>
  <c r="Q85" i="9" a="1"/>
  <c r="Q85" i="9" s="1"/>
  <c r="AA104" i="9" a="1"/>
  <c r="AA104" i="9" s="1"/>
  <c r="R55" i="9" a="1"/>
  <c r="R55" i="9" s="1"/>
  <c r="AC78" i="9" a="1"/>
  <c r="AC78" i="9" s="1"/>
  <c r="AC35" i="9" a="1"/>
  <c r="AC35" i="9" s="1"/>
  <c r="R46" i="9" a="1"/>
  <c r="R46" i="9" s="1"/>
  <c r="K28" i="9" a="1"/>
  <c r="K28" i="9" s="1"/>
  <c r="L91" i="9" a="1"/>
  <c r="L91" i="9" s="1"/>
  <c r="K104" i="9" a="1"/>
  <c r="K104" i="9" s="1"/>
  <c r="AG54" i="9" a="1"/>
  <c r="AG54" i="9" s="1"/>
  <c r="Z79" i="9" a="1"/>
  <c r="Z79" i="9" s="1"/>
  <c r="Q103" i="9" a="1"/>
  <c r="Q103" i="9" s="1"/>
  <c r="O40" i="9" a="1"/>
  <c r="O40" i="9" s="1"/>
  <c r="N66" i="9" a="1"/>
  <c r="N66" i="9" s="1"/>
  <c r="W35" i="9" a="1"/>
  <c r="W35" i="9" s="1"/>
  <c r="J111" i="9" a="1"/>
  <c r="J111" i="9" s="1"/>
  <c r="O65" i="9" a="1"/>
  <c r="O65" i="9" s="1"/>
  <c r="AD81" i="9" a="1"/>
  <c r="AD81" i="9" s="1"/>
  <c r="AI98" i="9" a="1"/>
  <c r="AI98" i="9" s="1"/>
  <c r="AJ14" i="9" a="1"/>
  <c r="AJ14" i="9" s="1"/>
  <c r="K72" i="9" a="1"/>
  <c r="K72" i="9" s="1"/>
  <c r="AC33" i="9" a="1"/>
  <c r="AC33" i="9" s="1"/>
  <c r="W17" i="9" a="1"/>
  <c r="W17" i="9" s="1"/>
  <c r="AG97" i="9" a="1"/>
  <c r="AG97" i="9" s="1"/>
  <c r="AF13" i="9" a="1"/>
  <c r="AF13" i="9" s="1"/>
  <c r="U67" i="9" a="1"/>
  <c r="U67" i="9" s="1"/>
  <c r="AA86" i="9" a="1"/>
  <c r="AA86" i="9" s="1"/>
  <c r="U107" i="9" a="1"/>
  <c r="U107" i="9" s="1"/>
  <c r="AA39" i="9" a="1"/>
  <c r="AA39" i="9" s="1"/>
  <c r="L11" i="9" a="1"/>
  <c r="L11" i="9" s="1"/>
  <c r="AI55" i="9" a="1"/>
  <c r="AI55" i="9" s="1"/>
  <c r="AA105" i="9" a="1"/>
  <c r="AA105" i="9" s="1"/>
  <c r="X52" i="9" a="1"/>
  <c r="X52" i="9" s="1"/>
  <c r="AG81" i="9" a="1"/>
  <c r="AG81" i="9" s="1"/>
  <c r="J98" i="9" a="1"/>
  <c r="J98" i="9" s="1"/>
  <c r="Q10" i="9" a="1"/>
  <c r="Q10" i="9" s="1"/>
  <c r="AI53" i="9" a="1"/>
  <c r="AI53" i="9" s="1"/>
  <c r="S38" i="9" a="1"/>
  <c r="S38" i="9" s="1"/>
  <c r="N14" i="9" a="1"/>
  <c r="N14" i="9" s="1"/>
  <c r="W67" i="9" a="1"/>
  <c r="W67" i="9" s="1"/>
  <c r="U97" i="9" a="1"/>
  <c r="U97" i="9" s="1"/>
  <c r="Q9" i="9" a="1"/>
  <c r="Q9" i="9" s="1"/>
  <c r="N72" i="9" a="1"/>
  <c r="N72" i="9" s="1"/>
  <c r="W89" i="9" a="1"/>
  <c r="W89" i="9" s="1"/>
  <c r="L20" i="9" a="1"/>
  <c r="L20" i="9" s="1"/>
  <c r="X49" i="9" a="1"/>
  <c r="X49" i="9" s="1"/>
  <c r="J38" i="9" a="1"/>
  <c r="J38" i="9" s="1"/>
  <c r="J105" i="9" a="1"/>
  <c r="J105" i="9" s="1"/>
  <c r="N16" i="9" a="1"/>
  <c r="N16" i="9" s="1"/>
  <c r="R70" i="9" a="1"/>
  <c r="R70" i="9" s="1"/>
  <c r="AI89" i="9" a="1"/>
  <c r="AI89" i="9" s="1"/>
  <c r="X21" i="9" a="1"/>
  <c r="X21" i="9" s="1"/>
  <c r="R37" i="9" a="1"/>
  <c r="R37" i="9" s="1"/>
  <c r="AJ48" i="9" a="1"/>
  <c r="AJ48" i="9" s="1"/>
  <c r="T25" i="9" a="1"/>
  <c r="T25" i="9" s="1"/>
  <c r="AG88" i="9" a="1"/>
  <c r="AG88" i="9" s="1"/>
  <c r="U112" i="9" a="1"/>
  <c r="U112" i="9" s="1"/>
  <c r="S61" i="9" a="1"/>
  <c r="S61" i="9" s="1"/>
  <c r="L76" i="9" a="1"/>
  <c r="L76" i="9" s="1"/>
  <c r="K101" i="9" a="1"/>
  <c r="K101" i="9" s="1"/>
  <c r="AC32" i="9" a="1"/>
  <c r="AC32" i="9" s="1"/>
  <c r="Z18" i="9" a="1"/>
  <c r="Z18" i="9" s="1"/>
  <c r="J50" i="9" a="1"/>
  <c r="J50" i="9" s="1"/>
  <c r="O15" i="9" a="1"/>
  <c r="O15" i="9" s="1"/>
  <c r="AI65" i="9" a="1"/>
  <c r="AI65" i="9" s="1"/>
  <c r="AI81" i="9" a="1"/>
  <c r="AI81" i="9" s="1"/>
  <c r="AF103" i="9" a="1"/>
  <c r="AF103" i="9" s="1"/>
  <c r="L58" i="9" a="1"/>
  <c r="L58" i="9" s="1"/>
  <c r="O72" i="9" a="1"/>
  <c r="O72" i="9" s="1"/>
  <c r="O51" i="9" a="1"/>
  <c r="O51" i="9" s="1"/>
  <c r="Z39" i="9" a="1"/>
  <c r="Z39" i="9" s="1"/>
  <c r="AF92" i="9" a="1"/>
  <c r="AF92" i="9" s="1"/>
  <c r="T112" i="9" a="1"/>
  <c r="T112" i="9" s="1"/>
  <c r="W57" i="9" a="1"/>
  <c r="W57" i="9" s="1"/>
  <c r="O73" i="9" a="1"/>
  <c r="O73" i="9" s="1"/>
  <c r="AI96" i="9" a="1"/>
  <c r="AI96" i="9" s="1"/>
  <c r="AJ33" i="9" a="1"/>
  <c r="AJ33" i="9" s="1"/>
  <c r="N63" i="9" a="1"/>
  <c r="N63" i="9" s="1"/>
  <c r="T51" i="9" a="1"/>
  <c r="T51" i="9" s="1"/>
  <c r="W26" i="9" a="1"/>
  <c r="W26" i="9" s="1"/>
  <c r="R60" i="9" a="1"/>
  <c r="R60" i="9" s="1"/>
  <c r="AD70" i="9" a="1"/>
  <c r="AD70" i="9" s="1"/>
  <c r="O97" i="9" a="1"/>
  <c r="O97" i="9" s="1"/>
  <c r="W45" i="9" a="1"/>
  <c r="W45" i="9" s="1"/>
  <c r="J78" i="9" a="1"/>
  <c r="J78" i="9" s="1"/>
  <c r="K40" i="9" a="1"/>
  <c r="K40" i="9" s="1"/>
  <c r="Q11" i="9" a="1"/>
  <c r="Q11" i="9" s="1"/>
  <c r="AJ96" i="9" a="1"/>
  <c r="AJ96" i="9" s="1"/>
  <c r="Z14" i="9" a="1"/>
  <c r="Z14" i="9" s="1"/>
  <c r="AC66" i="9" a="1"/>
  <c r="AC66" i="9" s="1"/>
  <c r="J94" i="9" a="1"/>
  <c r="J94" i="9" s="1"/>
  <c r="AG112" i="9" a="1"/>
  <c r="AG112" i="9" s="1"/>
  <c r="AG38" i="9" a="1"/>
  <c r="AG38" i="9" s="1"/>
  <c r="AJ11" i="9" a="1"/>
  <c r="AJ11" i="9" s="1"/>
  <c r="AF52" i="9" a="1"/>
  <c r="AF52" i="9" s="1"/>
  <c r="AJ15" i="9" a="1"/>
  <c r="AJ15" i="9" s="1"/>
  <c r="W70" i="9" a="1"/>
  <c r="W70" i="9" s="1"/>
  <c r="X93" i="9" a="1"/>
  <c r="X93" i="9" s="1"/>
  <c r="AC107" i="9" a="1"/>
  <c r="AC107" i="9" s="1"/>
  <c r="S54" i="9" a="1"/>
  <c r="S54" i="9" s="1"/>
  <c r="AJ75" i="9" a="1"/>
  <c r="AJ75" i="9" s="1"/>
  <c r="X58" i="9" a="1"/>
  <c r="X58" i="9" s="1"/>
  <c r="AC39" i="9" a="1"/>
  <c r="AC39" i="9" s="1"/>
  <c r="W12" i="9" a="1"/>
  <c r="W12" i="9" s="1"/>
  <c r="AA102" i="9" a="1"/>
  <c r="AA102" i="9" s="1"/>
  <c r="K26" i="9" a="1"/>
  <c r="K26" i="9" s="1"/>
  <c r="L61" i="9" a="1"/>
  <c r="L61" i="9" s="1"/>
  <c r="S83" i="9" a="1"/>
  <c r="S83" i="9" s="1"/>
  <c r="AI107" i="9" a="1"/>
  <c r="AI107" i="9" s="1"/>
  <c r="W49" i="9" a="1"/>
  <c r="W49" i="9" s="1"/>
  <c r="U23" i="9" a="1"/>
  <c r="U23" i="9" s="1"/>
  <c r="O45" i="9" a="1"/>
  <c r="O45" i="9" s="1"/>
  <c r="R85" i="9" a="1"/>
  <c r="R85" i="9" s="1"/>
  <c r="W96" i="9" a="1"/>
  <c r="W96" i="9" s="1"/>
  <c r="J45" i="9" a="1"/>
  <c r="J45" i="9" s="1"/>
  <c r="L79" i="9" a="1"/>
  <c r="L79" i="9" s="1"/>
  <c r="U95" i="9" a="1"/>
  <c r="U95" i="9" s="1"/>
  <c r="O17" i="9" a="1"/>
  <c r="O17" i="9" s="1"/>
  <c r="AC59" i="9" a="1"/>
  <c r="AC59" i="9" s="1"/>
  <c r="R40" i="9" a="1"/>
  <c r="R40" i="9" s="1"/>
  <c r="AI76" i="9" a="1"/>
  <c r="AI76" i="9" s="1"/>
  <c r="AC91" i="9" a="1"/>
  <c r="AC91" i="9" s="1"/>
  <c r="N18" i="9" a="1"/>
  <c r="N18" i="9" s="1"/>
  <c r="W63" i="9" a="1"/>
  <c r="W63" i="9" s="1"/>
  <c r="L89" i="9" a="1"/>
  <c r="L89" i="9" s="1"/>
  <c r="AI28" i="9" a="1"/>
  <c r="AI28" i="9" s="1"/>
  <c r="AA40" i="9" a="1"/>
  <c r="AA40" i="9" s="1"/>
  <c r="W10" i="9" a="1"/>
  <c r="W10" i="9" s="1"/>
  <c r="T101" i="9" a="1"/>
  <c r="T101" i="9" s="1"/>
  <c r="AG18" i="9" a="1"/>
  <c r="AG18" i="9" s="1"/>
  <c r="L63" i="9" a="1"/>
  <c r="L63" i="9" s="1"/>
  <c r="N90" i="9" a="1"/>
  <c r="N90" i="9" s="1"/>
  <c r="AG108" i="9" a="1"/>
  <c r="AG108" i="9" s="1"/>
  <c r="Z34" i="9" a="1"/>
  <c r="Z34" i="9" s="1"/>
  <c r="AF15" i="9" a="1"/>
  <c r="AF15" i="9" s="1"/>
  <c r="AD51" i="9" a="1"/>
  <c r="AD51" i="9" s="1"/>
  <c r="AG16" i="9" a="1"/>
  <c r="AG16" i="9" s="1"/>
  <c r="AC69" i="9" a="1"/>
  <c r="AC69" i="9" s="1"/>
  <c r="AA92" i="9" a="1"/>
  <c r="AA92" i="9" s="1"/>
  <c r="AF106" i="9" a="1"/>
  <c r="AF106" i="9" s="1"/>
  <c r="Z53" i="9" a="1"/>
  <c r="Z53" i="9" s="1"/>
  <c r="L75" i="9" a="1"/>
  <c r="L75" i="9" s="1"/>
  <c r="K57" i="9" a="1"/>
  <c r="K57" i="9" s="1"/>
  <c r="AF38" i="9" a="1"/>
  <c r="AF38" i="9" s="1"/>
  <c r="T13" i="9" a="1"/>
  <c r="T13" i="9" s="1"/>
  <c r="AF111" i="9" a="1"/>
  <c r="AF111" i="9" s="1"/>
  <c r="AA59" i="9" a="1"/>
  <c r="AA59" i="9" s="1"/>
  <c r="AC71" i="9" a="1"/>
  <c r="AC71" i="9" s="1"/>
  <c r="K97" i="9" a="1"/>
  <c r="K97" i="9" s="1"/>
  <c r="AF24" i="9" a="1"/>
  <c r="AF24" i="9" s="1"/>
  <c r="AI51" i="9" a="1"/>
  <c r="AI51" i="9" s="1"/>
  <c r="AA45" i="9" a="1"/>
  <c r="AA45" i="9" s="1"/>
  <c r="R28" i="9" a="1"/>
  <c r="R28" i="9" s="1"/>
  <c r="K12" i="9" a="1"/>
  <c r="K12" i="9" s="1"/>
  <c r="O69" i="9" a="1"/>
  <c r="O69" i="9" s="1"/>
  <c r="N85" i="9" a="1"/>
  <c r="N85" i="9" s="1"/>
  <c r="K107" i="9" a="1"/>
  <c r="K107" i="9" s="1"/>
  <c r="O52" i="9" a="1"/>
  <c r="O52" i="9" s="1"/>
  <c r="AD75" i="9" a="1"/>
  <c r="AD75" i="9" s="1"/>
  <c r="AD32" i="9" a="1"/>
  <c r="AD32" i="9" s="1"/>
  <c r="N43" i="9" a="1"/>
  <c r="N43" i="9" s="1"/>
  <c r="AF87" i="9" a="1"/>
  <c r="AF87" i="9" s="1"/>
  <c r="T106" i="9" a="1"/>
  <c r="T106" i="9" s="1"/>
  <c r="Z51" i="9" a="1"/>
  <c r="Z51" i="9" s="1"/>
  <c r="AA76" i="9" a="1"/>
  <c r="AA76" i="9" s="1"/>
  <c r="J100" i="9" a="1"/>
  <c r="J100" i="9" s="1"/>
  <c r="AI36" i="9" a="1"/>
  <c r="AI36" i="9" s="1"/>
  <c r="Q70" i="9" a="1"/>
  <c r="Q70" i="9" s="1"/>
  <c r="X32" i="9" a="1"/>
  <c r="X32" i="9" s="1"/>
  <c r="T23" i="9" a="1"/>
  <c r="T23" i="9" s="1"/>
  <c r="AG63" i="9" a="1"/>
  <c r="AG63" i="9" s="1"/>
  <c r="AC73" i="9" a="1"/>
  <c r="AC73" i="9" s="1"/>
  <c r="AA100" i="9" a="1"/>
  <c r="AA100" i="9" s="1"/>
  <c r="K49" i="9" a="1"/>
  <c r="K49" i="9" s="1"/>
  <c r="U81" i="9" a="1"/>
  <c r="U81" i="9" s="1"/>
  <c r="O43" i="9" a="1"/>
  <c r="O43" i="9" s="1"/>
  <c r="Z31" i="9" a="1"/>
  <c r="Z31" i="9" s="1"/>
  <c r="Q99" i="9" a="1"/>
  <c r="Q99" i="9" s="1"/>
  <c r="J26" i="9" a="1"/>
  <c r="J26" i="9" s="1"/>
  <c r="L77" i="9" a="1"/>
  <c r="L77" i="9" s="1"/>
  <c r="AI87" i="9" a="1"/>
  <c r="AI87" i="9" s="1"/>
  <c r="K112" i="9" a="1"/>
  <c r="K112" i="9" s="1"/>
  <c r="AI48" i="9" a="1"/>
  <c r="AI48" i="9" s="1"/>
  <c r="U38" i="9" a="1"/>
  <c r="U38" i="9" s="1"/>
  <c r="AD72" i="9" a="1"/>
  <c r="AD72" i="9" s="1"/>
  <c r="X70" i="9" a="1"/>
  <c r="X70" i="9" s="1"/>
  <c r="AG93" i="9" a="1"/>
  <c r="AG93" i="9" s="1"/>
  <c r="AC24" i="9" a="1"/>
  <c r="AC24" i="9" s="1"/>
  <c r="T62" i="9" a="1"/>
  <c r="T62" i="9" s="1"/>
  <c r="N83" i="9" a="1"/>
  <c r="N83" i="9" s="1"/>
  <c r="T77" i="9" a="1"/>
  <c r="T77" i="9" s="1"/>
  <c r="R34" i="9" a="1"/>
  <c r="R34" i="9" s="1"/>
  <c r="J17" i="9" a="1"/>
  <c r="J17" i="9" s="1"/>
  <c r="S103" i="9" a="1"/>
  <c r="S103" i="9" s="1"/>
  <c r="N25" i="9" a="1"/>
  <c r="N25" i="9" s="1"/>
  <c r="AJ61" i="9" a="1"/>
  <c r="AJ61" i="9" s="1"/>
  <c r="K84" i="9" a="1"/>
  <c r="K84" i="9" s="1"/>
  <c r="W111" i="9" a="1"/>
  <c r="W111" i="9" s="1"/>
  <c r="T50" i="9" a="1"/>
  <c r="T50" i="9" s="1"/>
  <c r="X22" i="9" a="1"/>
  <c r="X22" i="9" s="1"/>
  <c r="AJ46" i="9" a="1"/>
  <c r="AJ46" i="9" s="1"/>
  <c r="S10" i="9" a="1"/>
  <c r="S10" i="9" s="1"/>
  <c r="U76" i="9" a="1"/>
  <c r="U76" i="9" s="1"/>
  <c r="AJ90" i="9" a="1"/>
  <c r="AJ90" i="9" s="1"/>
  <c r="N13" i="9" a="1"/>
  <c r="N13" i="9" s="1"/>
  <c r="Q38" i="9" a="1"/>
  <c r="Q38" i="9" s="1"/>
  <c r="X76" i="9" a="1"/>
  <c r="X76" i="9" s="1"/>
  <c r="Z86" i="9" a="1"/>
  <c r="Z86" i="9" s="1"/>
  <c r="R61" i="9" a="1"/>
  <c r="R61" i="9" s="1"/>
  <c r="U29" i="9" a="1"/>
  <c r="U29" i="9" s="1"/>
  <c r="AI110" i="9" a="1"/>
  <c r="AI110" i="9" s="1"/>
  <c r="K59" i="9" a="1"/>
  <c r="K59" i="9" s="1"/>
  <c r="J71" i="9" a="1"/>
  <c r="J71" i="9" s="1"/>
  <c r="S96" i="9" a="1"/>
  <c r="S96" i="9" s="1"/>
  <c r="AC25" i="9" a="1"/>
  <c r="AC25" i="9" s="1"/>
  <c r="X57" i="9" a="1"/>
  <c r="X57" i="9" s="1"/>
  <c r="AG44" i="9" a="1"/>
  <c r="AG44" i="9" s="1"/>
  <c r="O29" i="9" a="1"/>
  <c r="O29" i="9" s="1"/>
  <c r="J74" i="9" a="1"/>
  <c r="J74" i="9" s="1"/>
  <c r="AG95" i="9" a="1"/>
  <c r="AG95" i="9" s="1"/>
  <c r="X24" i="9" a="1"/>
  <c r="X24" i="9" s="1"/>
  <c r="T78" i="9" a="1"/>
  <c r="T78" i="9" s="1"/>
  <c r="AD87" i="9" a="1"/>
  <c r="AD87" i="9" s="1"/>
  <c r="AG13" i="9" a="1"/>
  <c r="AG13" i="9" s="1"/>
  <c r="AI33" i="9" a="1"/>
  <c r="AI33" i="9" s="1"/>
  <c r="X44" i="9" a="1"/>
  <c r="X44" i="9" s="1"/>
  <c r="AF105" i="9" a="1"/>
  <c r="AF105" i="9" s="1"/>
  <c r="AD9" i="9" a="1"/>
  <c r="AD9" i="9" s="1"/>
  <c r="AF76" i="9" a="1"/>
  <c r="AF76" i="9" s="1"/>
  <c r="L95" i="9" a="1"/>
  <c r="L95" i="9" s="1"/>
  <c r="J15" i="9" a="1"/>
  <c r="J15" i="9" s="1"/>
  <c r="AF43" i="9" a="1"/>
  <c r="AF43" i="9" s="1"/>
  <c r="R33" i="9" a="1"/>
  <c r="R33" i="9" s="1"/>
  <c r="AC18" i="9" a="1"/>
  <c r="AC18" i="9" s="1"/>
  <c r="AJ94" i="9" a="1"/>
  <c r="AJ94" i="9" s="1"/>
  <c r="Z112" i="9" a="1"/>
  <c r="Z112" i="9" s="1"/>
  <c r="T59" i="9" a="1"/>
  <c r="T59" i="9" s="1"/>
  <c r="X82" i="9" a="1"/>
  <c r="X82" i="9" s="1"/>
  <c r="Z110" i="9" a="1"/>
  <c r="Z110" i="9" s="1"/>
  <c r="U39" i="9" a="1"/>
  <c r="U39" i="9" s="1"/>
  <c r="O12" i="9" a="1"/>
  <c r="O12" i="9" s="1"/>
  <c r="X34" i="9" a="1"/>
  <c r="X34" i="9" s="1"/>
  <c r="O87" i="9" a="1"/>
  <c r="O87" i="9" s="1"/>
  <c r="U102" i="9" a="1"/>
  <c r="U102" i="9" s="1"/>
  <c r="AA50" i="9" a="1"/>
  <c r="AA50" i="9" s="1"/>
  <c r="AG67" i="9" a="1"/>
  <c r="AG67" i="9" s="1"/>
  <c r="T99" i="9" a="1"/>
  <c r="T99" i="9" s="1"/>
  <c r="AG11" i="9" a="1"/>
  <c r="AG11" i="9" s="1"/>
  <c r="AF56" i="9" a="1"/>
  <c r="AF56" i="9" s="1"/>
  <c r="AI45" i="9" a="1"/>
  <c r="AI45" i="9" s="1"/>
  <c r="AD107" i="9" a="1"/>
  <c r="AD107" i="9" s="1"/>
  <c r="K55" i="9" a="1"/>
  <c r="K55" i="9" s="1"/>
  <c r="N67" i="9" a="1"/>
  <c r="N67" i="9" s="1"/>
  <c r="T100" i="9" a="1"/>
  <c r="T100" i="9" s="1"/>
  <c r="AC29" i="9" a="1"/>
  <c r="AC29" i="9" s="1"/>
  <c r="AF58" i="9" a="1"/>
  <c r="AF58" i="9" s="1"/>
  <c r="Z40" i="9" a="1"/>
  <c r="Z40" i="9" s="1"/>
  <c r="W11" i="9" a="1"/>
  <c r="W11" i="9" s="1"/>
  <c r="R73" i="9" a="1"/>
  <c r="R73" i="9" s="1"/>
  <c r="K103" i="9" a="1"/>
  <c r="K103" i="9" s="1"/>
  <c r="U25" i="9" a="1"/>
  <c r="U25" i="9" s="1"/>
  <c r="W77" i="9" a="1"/>
  <c r="W77" i="9" s="1"/>
  <c r="K87" i="9" a="1"/>
  <c r="K87" i="9" s="1"/>
  <c r="AD14" i="9" a="1"/>
  <c r="AD14" i="9" s="1"/>
  <c r="N33" i="9" a="1"/>
  <c r="N33" i="9" s="1"/>
  <c r="AD43" i="9" a="1"/>
  <c r="AD43" i="9" s="1"/>
  <c r="Z26" i="9" a="1"/>
  <c r="Z26" i="9" s="1"/>
  <c r="R76" i="9" a="1"/>
  <c r="R76" i="9" s="1"/>
  <c r="AI85" i="9" a="1"/>
  <c r="AI85" i="9" s="1"/>
  <c r="L112" i="9" a="1"/>
  <c r="L112" i="9" s="1"/>
  <c r="R59" i="9" a="1"/>
  <c r="R59" i="9" s="1"/>
  <c r="O82" i="9" a="1"/>
  <c r="O82" i="9" s="1"/>
  <c r="AG39" i="9" a="1"/>
  <c r="AG39" i="9" s="1"/>
  <c r="Q50" i="9" a="1"/>
  <c r="Q50" i="9" s="1"/>
  <c r="K24" i="9" a="1"/>
  <c r="K24" i="9" s="1"/>
  <c r="W73" i="9" a="1"/>
  <c r="W73" i="9" s="1"/>
  <c r="AD88" i="9" a="1"/>
  <c r="AD88" i="9" s="1"/>
  <c r="U21" i="9" a="1"/>
  <c r="U21" i="9" s="1"/>
  <c r="X60" i="9" a="1"/>
  <c r="X60" i="9" s="1"/>
  <c r="AF85" i="9" a="1"/>
  <c r="AF85" i="9" s="1"/>
  <c r="Q73" i="9" a="1"/>
  <c r="Q73" i="9" s="1"/>
  <c r="T37" i="9" a="1"/>
  <c r="T37" i="9" s="1"/>
  <c r="AI13" i="9" a="1"/>
  <c r="AI13" i="9" s="1"/>
  <c r="U98" i="9" a="1"/>
  <c r="U98" i="9" s="1"/>
  <c r="K22" i="9" a="1"/>
  <c r="K22" i="9" s="1"/>
  <c r="K65" i="9" a="1"/>
  <c r="K65" i="9" s="1"/>
  <c r="AC86" i="9" a="1"/>
  <c r="AC86" i="9" s="1"/>
  <c r="X106" i="9" a="1"/>
  <c r="X106" i="9" s="1"/>
  <c r="AA31" i="9" a="1"/>
  <c r="AA31" i="9" s="1"/>
  <c r="L19" i="9" a="1"/>
  <c r="L19" i="9" s="1"/>
  <c r="X54" i="9" a="1"/>
  <c r="X54" i="9" s="1"/>
  <c r="T79" i="9" a="1"/>
  <c r="T79" i="9" s="1"/>
  <c r="K94" i="9" a="1"/>
  <c r="K94" i="9" s="1"/>
  <c r="R111" i="9" a="1"/>
  <c r="R111" i="9" s="1"/>
  <c r="L60" i="9" a="1"/>
  <c r="L60" i="9" s="1"/>
  <c r="AG84" i="9" a="1"/>
  <c r="AG84" i="9" s="1"/>
  <c r="AG59" i="9" a="1"/>
  <c r="AG59" i="9" s="1"/>
  <c r="U48" i="9" a="1"/>
  <c r="U48" i="9" s="1"/>
  <c r="S25" i="9" a="1"/>
  <c r="S25" i="9" s="1"/>
  <c r="Q110" i="9" a="1"/>
  <c r="Q110" i="9" s="1"/>
  <c r="R64" i="9" a="1"/>
  <c r="R64" i="9" s="1"/>
  <c r="J81" i="9" a="1"/>
  <c r="J81" i="9" s="1"/>
  <c r="N98" i="9" a="1"/>
  <c r="N98" i="9" s="1"/>
  <c r="AG15" i="9" a="1"/>
  <c r="AG15" i="9" s="1"/>
  <c r="W68" i="9" a="1"/>
  <c r="W68" i="9" s="1"/>
  <c r="AF32" i="9" a="1"/>
  <c r="AF32" i="9" s="1"/>
  <c r="T18" i="9" a="1"/>
  <c r="T18" i="9" s="1"/>
  <c r="Z84" i="9" a="1"/>
  <c r="Z84" i="9" s="1"/>
  <c r="AC95" i="9" a="1"/>
  <c r="AC95" i="9" s="1"/>
  <c r="R44" i="9" a="1"/>
  <c r="R44" i="9" s="1"/>
  <c r="O78" i="9" a="1"/>
  <c r="O78" i="9" s="1"/>
  <c r="Z94" i="9" a="1"/>
  <c r="Z94" i="9" s="1"/>
  <c r="L18" i="9" a="1"/>
  <c r="L18" i="9" s="1"/>
  <c r="AI57" i="9" a="1"/>
  <c r="AI57" i="9" s="1"/>
  <c r="X39" i="9" a="1"/>
  <c r="X39" i="9" s="1"/>
  <c r="Z106" i="9" a="1"/>
  <c r="Z106" i="9" s="1"/>
  <c r="K9" i="9" a="1"/>
  <c r="K9" i="9" s="1"/>
  <c r="Z77" i="9" a="1"/>
  <c r="Z77" i="9" s="1"/>
  <c r="Z95" i="9" a="1"/>
  <c r="Z95" i="9" s="1"/>
  <c r="R14" i="9" a="1"/>
  <c r="R14" i="9" s="1"/>
  <c r="AC44" i="9" a="1"/>
  <c r="AC44" i="9" s="1"/>
  <c r="O34" i="9" a="1"/>
  <c r="O34" i="9" s="1"/>
  <c r="J18" i="9" a="1"/>
  <c r="J18" i="9" s="1"/>
  <c r="AA79" i="9" a="1"/>
  <c r="AA79" i="9" s="1"/>
  <c r="O101" i="9" a="1"/>
  <c r="O101" i="9" s="1"/>
  <c r="X19" i="9" a="1"/>
  <c r="X19" i="9" s="1"/>
  <c r="K67" i="9" a="1"/>
  <c r="K67" i="9" s="1"/>
  <c r="Q93" i="9" a="1"/>
  <c r="Q93" i="9" s="1"/>
  <c r="W29" i="9" a="1"/>
  <c r="W29" i="9" s="1"/>
  <c r="T39" i="9" a="1"/>
  <c r="T39" i="9" s="1"/>
  <c r="N50" i="9" a="1"/>
  <c r="N50" i="9" s="1"/>
  <c r="Z20" i="9" a="1"/>
  <c r="Z20" i="9" s="1"/>
  <c r="K66" i="9" a="1"/>
  <c r="K66" i="9" s="1"/>
  <c r="W88" i="9" a="1"/>
  <c r="W88" i="9" s="1"/>
  <c r="J109" i="9" a="1"/>
  <c r="J109" i="9" s="1"/>
  <c r="Z74" i="9" a="1"/>
  <c r="Z74" i="9" s="1"/>
  <c r="AA96" i="9" a="1"/>
  <c r="AA96" i="9" s="1"/>
  <c r="AA23" i="9" a="1"/>
  <c r="AA23" i="9" s="1"/>
  <c r="Q79" i="9" a="1"/>
  <c r="Q79" i="9" s="1"/>
  <c r="X88" i="9" a="1"/>
  <c r="X88" i="9" s="1"/>
  <c r="AJ12" i="9" a="1"/>
  <c r="AJ12" i="9" s="1"/>
  <c r="AA34" i="9" a="1"/>
  <c r="AA34" i="9" s="1"/>
  <c r="U45" i="9" a="1"/>
  <c r="U45" i="9" s="1"/>
  <c r="AI100" i="9" a="1"/>
  <c r="AI100" i="9" s="1"/>
  <c r="T24" i="9" a="1"/>
  <c r="T24" i="9" s="1"/>
  <c r="AG78" i="9" a="1"/>
  <c r="AG78" i="9" s="1"/>
  <c r="X89" i="9" a="1"/>
  <c r="X89" i="9" s="1"/>
  <c r="S30" i="9" a="1"/>
  <c r="S30" i="9" s="1"/>
  <c r="Z50" i="9" a="1"/>
  <c r="Z50" i="9" s="1"/>
  <c r="L40" i="9" a="1"/>
  <c r="L40" i="9" s="1"/>
  <c r="N79" i="9" a="1"/>
  <c r="N79" i="9" s="1"/>
  <c r="N81" i="9" a="1"/>
  <c r="N81" i="9" s="1"/>
  <c r="AF94" i="9" a="1"/>
  <c r="AF94" i="9" s="1"/>
  <c r="U13" i="9" a="1"/>
  <c r="U13" i="9" s="1"/>
  <c r="J68" i="9" a="1"/>
  <c r="J68" i="9" s="1"/>
  <c r="AF93" i="9" a="1"/>
  <c r="AF93" i="9" s="1"/>
  <c r="O24" i="9" a="1"/>
  <c r="O24" i="9" s="1"/>
  <c r="T45" i="9" a="1"/>
  <c r="T45" i="9" s="1"/>
  <c r="N34" i="9" a="1"/>
  <c r="N34" i="9" s="1"/>
  <c r="U14" i="9" a="1"/>
  <c r="U14" i="9" s="1"/>
  <c r="AF66" i="9" a="1"/>
  <c r="AF66" i="9" s="1"/>
  <c r="AC82" i="9" a="1"/>
  <c r="AC82" i="9" s="1"/>
  <c r="Z104" i="9" a="1"/>
  <c r="Z104" i="9" s="1"/>
  <c r="AJ58" i="9" a="1"/>
  <c r="AJ58" i="9" s="1"/>
  <c r="L73" i="9" a="1"/>
  <c r="L73" i="9" s="1"/>
  <c r="Z52" i="9" a="1"/>
  <c r="Z52" i="9" s="1"/>
  <c r="W40" i="9" a="1"/>
  <c r="W40" i="9" s="1"/>
  <c r="AG109" i="9" a="1"/>
  <c r="AG109" i="9" s="1"/>
  <c r="AA55" i="9" a="1"/>
  <c r="AA55" i="9" s="1"/>
  <c r="K68" i="9" a="1"/>
  <c r="K68" i="9" s="1"/>
  <c r="Q101" i="9" a="1"/>
  <c r="Q101" i="9" s="1"/>
  <c r="AF28" i="9" a="1"/>
  <c r="AF28" i="9" s="1"/>
  <c r="AI61" i="9" a="1"/>
  <c r="AI61" i="9" s="1"/>
  <c r="R41" i="9" a="1"/>
  <c r="R41" i="9" s="1"/>
  <c r="AC10" i="9" a="1"/>
  <c r="AC10" i="9" s="1"/>
  <c r="AI70" i="9" a="1"/>
  <c r="AI70" i="9" s="1"/>
  <c r="AG100" i="9" a="1"/>
  <c r="AG100" i="9" s="1"/>
  <c r="AA27" i="9" a="1"/>
  <c r="AA27" i="9" s="1"/>
  <c r="R75" i="9" a="1"/>
  <c r="R75" i="9" s="1"/>
  <c r="K93" i="9" a="1"/>
  <c r="K93" i="9" s="1"/>
  <c r="AF16" i="9" a="1"/>
  <c r="AF16" i="9" s="1"/>
  <c r="AF30" i="9" a="1"/>
  <c r="AF30" i="9" s="1"/>
  <c r="Q41" i="9" a="1"/>
  <c r="Q41" i="9" s="1"/>
  <c r="N100" i="9" a="1"/>
  <c r="N100" i="9" s="1"/>
  <c r="Q25" i="9" a="1"/>
  <c r="Q25" i="9" s="1"/>
  <c r="AJ77" i="9" a="1"/>
  <c r="AJ77" i="9" s="1"/>
  <c r="AA88" i="9" a="1"/>
  <c r="AA88" i="9" s="1"/>
  <c r="AA112" i="9" a="1"/>
  <c r="AA112" i="9" s="1"/>
  <c r="AF49" i="9" a="1"/>
  <c r="AF49" i="9" s="1"/>
  <c r="O39" i="9" a="1"/>
  <c r="O39" i="9" s="1"/>
  <c r="AC75" i="9" a="1"/>
  <c r="AC75" i="9" s="1"/>
  <c r="AA87" i="9" a="1"/>
  <c r="AA87" i="9" s="1"/>
  <c r="AG103" i="9" a="1"/>
  <c r="AG103" i="9" s="1"/>
  <c r="Z59" i="9" a="1"/>
  <c r="Z59" i="9" s="1"/>
  <c r="R66" i="9" a="1"/>
  <c r="R66" i="9" s="1"/>
  <c r="X99" i="9" a="1"/>
  <c r="X99" i="9" s="1"/>
  <c r="AI44" i="9" a="1"/>
  <c r="AI44" i="9" s="1"/>
  <c r="S28" i="9" a="1"/>
  <c r="S28" i="9" s="1"/>
  <c r="X40" i="9" a="1"/>
  <c r="X40" i="9" s="1"/>
  <c r="J99" i="9" a="1"/>
  <c r="J99" i="9" s="1"/>
  <c r="AI20" i="9" a="1"/>
  <c r="AI20" i="9" s="1"/>
  <c r="AC60" i="9" a="1"/>
  <c r="AC60" i="9" s="1"/>
  <c r="W87" i="9" a="1"/>
  <c r="W87" i="9" s="1"/>
  <c r="N107" i="9" a="1"/>
  <c r="N107" i="9" s="1"/>
  <c r="S32" i="9" a="1"/>
  <c r="S32" i="9" s="1"/>
  <c r="O18" i="9" a="1"/>
  <c r="O18" i="9" s="1"/>
  <c r="N56" i="9" a="1"/>
  <c r="N56" i="9" s="1"/>
  <c r="AG21" i="9" a="1"/>
  <c r="AG21" i="9" s="1"/>
  <c r="X81" i="9" a="1"/>
  <c r="X81" i="9" s="1"/>
  <c r="J87" i="9" a="1"/>
  <c r="J87" i="9" s="1"/>
  <c r="Q108" i="9" a="1"/>
  <c r="Q108" i="9" s="1"/>
  <c r="S55" i="9" a="1"/>
  <c r="S55" i="9" s="1"/>
  <c r="AD69" i="9" a="1"/>
  <c r="AD69" i="9" s="1"/>
  <c r="Z44" i="9" a="1"/>
  <c r="Z44" i="9" s="1"/>
  <c r="O33" i="9" a="1"/>
  <c r="O33" i="9" s="1"/>
  <c r="J19" i="9" a="1"/>
  <c r="J19" i="9" s="1"/>
  <c r="AI95" i="9" a="1"/>
  <c r="AI95" i="9" s="1"/>
  <c r="Z111" i="9" a="1"/>
  <c r="Z111" i="9" s="1"/>
  <c r="Q60" i="9" a="1"/>
  <c r="Q60" i="9" s="1"/>
  <c r="R83" i="9" a="1"/>
  <c r="R83" i="9" s="1"/>
  <c r="AG106" i="9" a="1"/>
  <c r="AG106" i="9" s="1"/>
  <c r="Q43" i="9" a="1"/>
  <c r="Q43" i="9" s="1"/>
  <c r="AA29" i="9" a="1"/>
  <c r="AA29" i="9" s="1"/>
  <c r="T38" i="9" a="1"/>
  <c r="T38" i="9" s="1"/>
  <c r="S85" i="9" a="1"/>
  <c r="S85" i="9" s="1"/>
  <c r="S98" i="9" a="1"/>
  <c r="S98" i="9" s="1"/>
  <c r="Z13" i="9" a="1"/>
  <c r="Z13" i="9" s="1"/>
  <c r="AG72" i="9" a="1"/>
  <c r="AG72" i="9" s="1"/>
  <c r="X90" i="9" a="1"/>
  <c r="X90" i="9" s="1"/>
  <c r="J24" i="9" a="1"/>
  <c r="J24" i="9" s="1"/>
  <c r="R45" i="9" a="1"/>
  <c r="R45" i="9" s="1"/>
  <c r="Z33" i="9" a="1"/>
  <c r="Z33" i="9" s="1"/>
  <c r="W107" i="9" a="1"/>
  <c r="W107" i="9" s="1"/>
  <c r="Q58" i="9" a="1"/>
  <c r="Q58" i="9" s="1"/>
  <c r="R78" i="9" a="1"/>
  <c r="R78" i="9" s="1"/>
  <c r="K95" i="9" a="1"/>
  <c r="K95" i="9" s="1"/>
  <c r="X13" i="9" a="1"/>
  <c r="X13" i="9" s="1"/>
  <c r="O46" i="9" a="1"/>
  <c r="O46" i="9" s="1"/>
  <c r="L35" i="9" a="1"/>
  <c r="L35" i="9" s="1"/>
  <c r="U17" i="9" a="1"/>
  <c r="U17" i="9" s="1"/>
  <c r="K82" i="9" a="1"/>
  <c r="K82" i="9" s="1"/>
  <c r="AA94" i="9" a="1"/>
  <c r="AA94" i="9" s="1"/>
  <c r="X12" i="9" a="1"/>
  <c r="X12" i="9" s="1"/>
  <c r="Z68" i="9" a="1"/>
  <c r="Z68" i="9" s="1"/>
  <c r="X86" i="9" a="1"/>
  <c r="X86" i="9" s="1"/>
  <c r="R23" i="9" a="1"/>
  <c r="R23" i="9" s="1"/>
  <c r="Q46" i="9" a="1"/>
  <c r="Q46" i="9" s="1"/>
  <c r="K35" i="9" a="1"/>
  <c r="K35" i="9" s="1"/>
  <c r="L108" i="9" a="1"/>
  <c r="L108" i="9" s="1"/>
  <c r="U19" i="9" a="1"/>
  <c r="U19" i="9" s="1"/>
  <c r="S67" i="9" a="1"/>
  <c r="S67" i="9" s="1"/>
  <c r="W86" i="9" a="1"/>
  <c r="W86" i="9" s="1"/>
  <c r="AG24" i="9" a="1"/>
  <c r="AG24" i="9" s="1"/>
  <c r="S34" i="9" a="1"/>
  <c r="S34" i="9" s="1"/>
  <c r="AC45" i="9" a="1"/>
  <c r="AC45" i="9" s="1"/>
  <c r="W28" i="9" a="1"/>
  <c r="W28" i="9" s="1"/>
  <c r="AJ93" i="9" a="1"/>
  <c r="AJ93" i="9" s="1"/>
  <c r="N109" i="9" a="1"/>
  <c r="N109" i="9" s="1"/>
  <c r="Q57" i="9" a="1"/>
  <c r="Q57" i="9" s="1"/>
  <c r="J80" i="9" a="1"/>
  <c r="J80" i="9" s="1"/>
  <c r="AG94" i="9" a="1"/>
  <c r="AG94" i="9" s="1"/>
  <c r="AC14" i="9" a="1"/>
  <c r="AC14" i="9" s="1"/>
  <c r="X66" i="9" a="1"/>
  <c r="X66" i="9" s="1"/>
  <c r="S92" i="9" a="1"/>
  <c r="S92" i="9" s="1"/>
  <c r="AF25" i="9" a="1"/>
  <c r="AF25" i="9" s="1"/>
  <c r="Z43" i="9" a="1"/>
  <c r="Z43" i="9" s="1"/>
  <c r="T32" i="9" a="1"/>
  <c r="T32" i="9" s="1"/>
  <c r="L96" i="9" a="1"/>
  <c r="L96" i="9" s="1"/>
  <c r="R15" i="9" a="1"/>
  <c r="R15" i="9" s="1"/>
  <c r="AF65" i="9" a="1"/>
  <c r="AF65" i="9" s="1"/>
  <c r="U93" i="9" a="1"/>
  <c r="U93" i="9" s="1"/>
  <c r="AJ111" i="9" a="1"/>
  <c r="AJ111" i="9" s="1"/>
  <c r="AJ37" i="9" a="1"/>
  <c r="AJ37" i="9" s="1"/>
  <c r="AG12" i="9" a="1"/>
  <c r="AG12" i="9" s="1"/>
  <c r="U58" i="9" a="1"/>
  <c r="U58" i="9" s="1"/>
  <c r="AI68" i="9" a="1"/>
  <c r="AI68" i="9" s="1"/>
  <c r="L92" i="9" a="1"/>
  <c r="L92" i="9" s="1"/>
  <c r="O26" i="9" a="1"/>
  <c r="O26" i="9" s="1"/>
  <c r="Z60" i="9" a="1"/>
  <c r="Z60" i="9" s="1"/>
  <c r="AC84" i="9" a="1"/>
  <c r="AC84" i="9" s="1"/>
  <c r="N71" i="9" a="1"/>
  <c r="N71" i="9" s="1"/>
  <c r="AA32" i="9" a="1"/>
  <c r="AA32" i="9" s="1"/>
  <c r="W18" i="9" a="1"/>
  <c r="W18" i="9" s="1"/>
  <c r="T27" i="9" a="1"/>
  <c r="T27" i="9" s="1"/>
  <c r="R65" i="9" a="1"/>
  <c r="R65" i="9" s="1"/>
  <c r="K70" i="9" a="1"/>
  <c r="K70" i="9" s="1"/>
  <c r="R96" i="9" a="1"/>
  <c r="R96" i="9" s="1"/>
  <c r="S9" i="9" a="1"/>
  <c r="S9" i="9" s="1"/>
  <c r="R77" i="9" a="1"/>
  <c r="R77" i="9" s="1"/>
  <c r="S39" i="9" a="1"/>
  <c r="S39" i="9" s="1"/>
  <c r="N12" i="9" a="1"/>
  <c r="N12" i="9" s="1"/>
  <c r="W106" i="9" a="1"/>
  <c r="W106" i="9" s="1"/>
  <c r="T14" i="9" a="1"/>
  <c r="T14" i="9" s="1"/>
  <c r="L72" i="9" a="1"/>
  <c r="L72" i="9" s="1"/>
  <c r="X91" i="9" a="1"/>
  <c r="X91" i="9" s="1"/>
  <c r="AI19" i="9" a="1"/>
  <c r="AI19" i="9" s="1"/>
  <c r="L39" i="9" a="1"/>
  <c r="L39" i="9" s="1"/>
  <c r="AD50" i="9" a="1"/>
  <c r="AD50" i="9" s="1"/>
  <c r="AD23" i="9" a="1"/>
  <c r="AD23" i="9" s="1"/>
  <c r="N76" i="9" a="1"/>
  <c r="N76" i="9" s="1"/>
  <c r="AF90" i="9" a="1"/>
  <c r="AF90" i="9" s="1"/>
  <c r="K19" i="9" a="1"/>
  <c r="K19" i="9" s="1"/>
  <c r="Z62" i="9" a="1"/>
  <c r="Z62" i="9" s="1"/>
  <c r="O88" i="9" a="1"/>
  <c r="O88" i="9" s="1"/>
  <c r="AF29" i="9" a="1"/>
  <c r="AF29" i="9" s="1"/>
  <c r="AI39" i="9" a="1"/>
  <c r="AI39" i="9" s="1"/>
  <c r="T11" i="9" a="1"/>
  <c r="T11" i="9" s="1"/>
  <c r="O95" i="9" a="1"/>
  <c r="O95" i="9" s="1"/>
  <c r="O16" i="9" a="1"/>
  <c r="O16" i="9" s="1"/>
  <c r="T65" i="9" a="1"/>
  <c r="T65" i="9" s="1"/>
  <c r="X92" i="9" a="1"/>
  <c r="X92" i="9" s="1"/>
  <c r="L111" i="9" a="1"/>
  <c r="L111" i="9" s="1"/>
  <c r="L37" i="9" a="1"/>
  <c r="L37" i="9" s="1"/>
  <c r="AA13" i="9" a="1"/>
  <c r="AA13" i="9" s="1"/>
  <c r="W56" i="9" a="1"/>
  <c r="W56" i="9" s="1"/>
  <c r="S91" i="9" a="1"/>
  <c r="S91" i="9" s="1"/>
  <c r="Z107" i="9" a="1"/>
  <c r="Z107" i="9" s="1"/>
  <c r="J56" i="9" a="1"/>
  <c r="J56" i="9" s="1"/>
  <c r="Z71" i="9" a="1"/>
  <c r="Z71" i="9" s="1"/>
  <c r="Z103" i="9" a="1"/>
  <c r="Z103" i="9" s="1"/>
  <c r="O32" i="9" a="1"/>
  <c r="O32" i="9" s="1"/>
  <c r="S62" i="9" a="1"/>
  <c r="S62" i="9" s="1"/>
  <c r="Z49" i="9" a="1"/>
  <c r="Z49" i="9" s="1"/>
  <c r="AD94" i="9" a="1"/>
  <c r="AD94" i="9" s="1"/>
  <c r="AJ109" i="9" a="1"/>
  <c r="AJ109" i="9" s="1"/>
  <c r="O64" i="9" a="1"/>
  <c r="O64" i="9" s="1"/>
  <c r="K85" i="9" a="1"/>
  <c r="K85" i="9" s="1"/>
  <c r="O105" i="9" a="1"/>
  <c r="O105" i="9" s="1"/>
  <c r="W41" i="9" a="1"/>
  <c r="W41" i="9" s="1"/>
  <c r="AF9" i="9" a="1"/>
  <c r="AF9" i="9" s="1"/>
  <c r="AC36" i="9" a="1"/>
  <c r="AC36" i="9" s="1"/>
  <c r="AF12" i="9" a="1"/>
  <c r="AF12" i="9" s="1"/>
  <c r="R68" i="9" a="1"/>
  <c r="R68" i="9" s="1"/>
  <c r="Q84" i="9" a="1"/>
  <c r="Q84" i="9" s="1"/>
  <c r="O106" i="9" a="1"/>
  <c r="O106" i="9" s="1"/>
  <c r="AC62" i="9" a="1"/>
  <c r="AC62" i="9" s="1"/>
  <c r="AG74" i="9" a="1"/>
  <c r="AG74" i="9" s="1"/>
  <c r="AG31" i="9" a="1"/>
  <c r="AG31" i="9" s="1"/>
  <c r="Q42" i="9" a="1"/>
  <c r="Q42" i="9" s="1"/>
  <c r="O86" i="9" a="1"/>
  <c r="O86" i="9" s="1"/>
  <c r="K110" i="9" a="1"/>
  <c r="K110" i="9" s="1"/>
  <c r="J58" i="9" a="1"/>
  <c r="J58" i="9" s="1"/>
  <c r="Z73" i="9" a="1"/>
  <c r="Z73" i="9" s="1"/>
  <c r="AG98" i="9" a="1"/>
  <c r="AG98" i="9" s="1"/>
  <c r="K53" i="9" a="1"/>
  <c r="K53" i="9" s="1"/>
  <c r="L21" i="9" a="1"/>
  <c r="L21" i="9" s="1"/>
  <c r="AD47" i="9" a="1"/>
  <c r="AD47" i="9" s="1"/>
  <c r="X72" i="9" a="1"/>
  <c r="X72" i="9" s="1"/>
  <c r="S102" i="9" a="1"/>
  <c r="S102" i="9" s="1"/>
  <c r="N26" i="9" a="1"/>
  <c r="N26" i="9" s="1"/>
  <c r="Z76" i="9" a="1"/>
  <c r="Z76" i="9" s="1"/>
  <c r="X94" i="9" a="1"/>
  <c r="X94" i="9" s="1"/>
  <c r="S15" i="9" a="1"/>
  <c r="S15" i="9" s="1"/>
  <c r="Q32" i="9" a="1"/>
  <c r="Q32" i="9" s="1"/>
  <c r="K43" i="9" a="1"/>
  <c r="K43" i="9" s="1"/>
  <c r="AG105" i="9" a="1"/>
  <c r="AG105" i="9" s="1"/>
  <c r="AC20" i="9" a="1"/>
  <c r="AC20" i="9" s="1"/>
  <c r="AG65" i="9" a="1"/>
  <c r="AG65" i="9" s="1"/>
  <c r="T93" i="9" a="1"/>
  <c r="T93" i="9" s="1"/>
  <c r="S26" i="9" a="1"/>
  <c r="S26" i="9" s="1"/>
  <c r="AG32" i="9" a="1"/>
  <c r="AG32" i="9" s="1"/>
  <c r="K44" i="9" a="1"/>
  <c r="K44" i="9" s="1"/>
  <c r="Q30" i="9" a="1"/>
  <c r="Q30" i="9" s="1"/>
  <c r="AA69" i="9" a="1"/>
  <c r="AA69" i="9" s="1"/>
  <c r="AJ92" i="9" a="1"/>
  <c r="AJ92" i="9" s="1"/>
  <c r="R25" i="9" a="1"/>
  <c r="R25" i="9" s="1"/>
  <c r="W61" i="9" a="1"/>
  <c r="W61" i="9" s="1"/>
  <c r="W85" i="9" a="1"/>
  <c r="W85" i="9" s="1"/>
  <c r="U74" i="9" a="1"/>
  <c r="U74" i="9" s="1"/>
  <c r="X33" i="9" a="1"/>
  <c r="X33" i="9" s="1"/>
  <c r="Z17" i="9" a="1"/>
  <c r="Z17" i="9" s="1"/>
  <c r="Z101" i="9" a="1"/>
  <c r="Z101" i="9" s="1"/>
  <c r="AJ9" i="9" a="1"/>
  <c r="AJ9" i="9" s="1"/>
  <c r="AD71" i="9" a="1"/>
  <c r="AD71" i="9" s="1"/>
  <c r="W90" i="9" a="1"/>
  <c r="W90" i="9" s="1"/>
  <c r="U111" i="9" a="1"/>
  <c r="U111" i="9" s="1"/>
  <c r="R43" i="9" a="1"/>
  <c r="R43" i="9" s="1"/>
  <c r="AJ32" i="9" a="1"/>
  <c r="AJ32" i="9" s="1"/>
  <c r="AD61" i="9" a="1"/>
  <c r="AD61" i="9" s="1"/>
  <c r="AD90" i="9" a="1"/>
  <c r="AD90" i="9" s="1"/>
  <c r="Q106" i="9" a="1"/>
  <c r="Q106" i="9" s="1"/>
  <c r="Q55" i="9" a="1"/>
  <c r="Q55" i="9" s="1"/>
  <c r="AF70" i="9" a="1"/>
  <c r="AF70" i="9" s="1"/>
  <c r="AD102" i="9" a="1"/>
  <c r="AD102" i="9" s="1"/>
  <c r="R31" i="9" a="1"/>
  <c r="R31" i="9" s="1"/>
  <c r="W64" i="9" a="1"/>
  <c r="W64" i="9" s="1"/>
  <c r="J49" i="9" a="1"/>
  <c r="J49" i="9" s="1"/>
  <c r="O110" i="9" a="1"/>
  <c r="O110" i="9" s="1"/>
  <c r="N58" i="9" a="1"/>
  <c r="N58" i="9" s="1"/>
  <c r="U70" i="9" a="1"/>
  <c r="U70" i="9" s="1"/>
  <c r="AD95" i="9" a="1"/>
  <c r="AD95" i="9" s="1"/>
  <c r="R26" i="9" a="1"/>
  <c r="R26" i="9" s="1"/>
  <c r="K56" i="9" a="1"/>
  <c r="K56" i="9" s="1"/>
  <c r="AJ43" i="9" a="1"/>
  <c r="AJ43" i="9" s="1"/>
  <c r="AI29" i="9" a="1"/>
  <c r="AI29" i="9" s="1"/>
  <c r="AI82" i="9" a="1"/>
  <c r="AI82" i="9" s="1"/>
  <c r="O102" i="9" a="1"/>
  <c r="O102" i="9" s="1"/>
  <c r="AI9" i="9" a="1"/>
  <c r="AI9" i="9" s="1"/>
  <c r="AC76" i="9" a="1"/>
  <c r="AC76" i="9" s="1"/>
  <c r="T94" i="9" a="1"/>
  <c r="T94" i="9" s="1"/>
  <c r="AG19" i="9" a="1"/>
  <c r="AG19" i="9" s="1"/>
  <c r="AF54" i="9" a="1"/>
  <c r="AF54" i="9" s="1"/>
  <c r="AI37" i="9" a="1"/>
  <c r="AI37" i="9" s="1"/>
  <c r="AI10" i="9" a="1"/>
  <c r="AI10" i="9" s="1"/>
  <c r="X75" i="9" a="1"/>
  <c r="X75" i="9" s="1"/>
  <c r="L90" i="9" a="1"/>
  <c r="L90" i="9" s="1"/>
  <c r="R112" i="9" a="1"/>
  <c r="R112" i="9" s="1"/>
  <c r="L59" i="9" a="1"/>
  <c r="L59" i="9" s="1"/>
  <c r="AD80" i="9" a="1"/>
  <c r="AD80" i="9" s="1"/>
  <c r="K60" i="9" a="1"/>
  <c r="K60" i="9" s="1"/>
  <c r="AD44" i="9" a="1"/>
  <c r="AD44" i="9" s="1"/>
  <c r="S29" i="9" a="1"/>
  <c r="S29" i="9" s="1"/>
  <c r="AD21" i="9" a="1"/>
  <c r="AD21" i="9" s="1"/>
  <c r="AI59" i="9" a="1"/>
  <c r="AI59" i="9" s="1"/>
  <c r="T75" i="9" a="1"/>
  <c r="T75" i="9" s="1"/>
  <c r="AI101" i="9" a="1"/>
  <c r="AI101" i="9" s="1"/>
  <c r="X50" i="9" a="1"/>
  <c r="X50" i="9" s="1"/>
  <c r="AJ65" i="9" a="1"/>
  <c r="AJ65" i="9" s="1"/>
  <c r="AJ44" i="9" a="1"/>
  <c r="AJ44" i="9" s="1"/>
  <c r="T33" i="9" a="1"/>
  <c r="T33" i="9" s="1"/>
  <c r="U86" i="9" a="1"/>
  <c r="U86" i="9" s="1"/>
  <c r="X101" i="9" a="1"/>
  <c r="X101" i="9" s="1"/>
  <c r="AI49" i="9" a="1"/>
  <c r="AI49" i="9" s="1"/>
  <c r="AJ66" i="9" a="1"/>
  <c r="AJ66" i="9" s="1"/>
  <c r="W98" i="9" a="1"/>
  <c r="W98" i="9" s="1"/>
  <c r="AD12" i="9" a="1"/>
  <c r="AD12" i="9" s="1"/>
  <c r="AC53" i="9" a="1"/>
  <c r="AC53" i="9" s="1"/>
  <c r="N45" i="9" a="1"/>
  <c r="N45" i="9" s="1"/>
  <c r="R109" i="9" a="1"/>
  <c r="R109" i="9" s="1"/>
  <c r="U57" i="9" a="1"/>
  <c r="U57" i="9" s="1"/>
  <c r="X69" i="9" a="1"/>
  <c r="X69" i="9" s="1"/>
  <c r="AI102" i="9" a="1"/>
  <c r="AI102" i="9" s="1"/>
  <c r="O27" i="9" a="1"/>
  <c r="O27" i="9" s="1"/>
  <c r="U54" i="9" a="1"/>
  <c r="U54" i="9" s="1"/>
  <c r="L43" i="9" a="1"/>
  <c r="L43" i="9" s="1"/>
  <c r="U9" i="9" a="1"/>
  <c r="U9" i="9" s="1"/>
  <c r="AG101" i="9" a="1"/>
  <c r="AG101" i="9" s="1"/>
  <c r="AA26" i="9" a="1"/>
  <c r="AA26" i="9" s="1"/>
  <c r="O60" i="9" a="1"/>
  <c r="O60" i="9" s="1"/>
  <c r="Z85" i="9" a="1"/>
  <c r="Z85" i="9" s="1"/>
  <c r="AC106" i="9" a="1"/>
  <c r="AC106" i="9" s="1"/>
  <c r="AC48" i="9" a="1"/>
  <c r="AC48" i="9" s="1"/>
  <c r="N24" i="9" a="1"/>
  <c r="N24" i="9" s="1"/>
  <c r="J44" i="9" a="1"/>
  <c r="J44" i="9" s="1"/>
  <c r="X103" i="9" a="1"/>
  <c r="X103" i="9" s="1"/>
  <c r="AD17" i="9" a="1"/>
  <c r="AD17" i="9" s="1"/>
  <c r="AF68" i="9" a="1"/>
  <c r="AF68" i="9" s="1"/>
  <c r="Q88" i="9" a="1"/>
  <c r="Q88" i="9" s="1"/>
  <c r="L23" i="9" a="1"/>
  <c r="L23" i="9" s="1"/>
  <c r="AF35" i="9" a="1"/>
  <c r="AF35" i="9" s="1"/>
  <c r="O47" i="9" a="1"/>
  <c r="O47" i="9" s="1"/>
  <c r="J27" i="9" a="1"/>
  <c r="J27" i="9" s="1"/>
  <c r="Z72" i="9" a="1"/>
  <c r="Z72" i="9" s="1"/>
  <c r="AG87" i="9" a="1"/>
  <c r="AG87" i="9" s="1"/>
  <c r="O22" i="9" a="1"/>
  <c r="O22" i="9" s="1"/>
  <c r="AI64" i="9" a="1"/>
  <c r="AI64" i="9" s="1"/>
  <c r="X85" i="9" a="1"/>
  <c r="X85" i="9" s="1"/>
  <c r="J70" i="9" a="1"/>
  <c r="J70" i="9" s="1"/>
  <c r="W36" i="9" a="1"/>
  <c r="W36" i="9" s="1"/>
  <c r="AA14" i="9" a="1"/>
  <c r="AA14" i="9" s="1"/>
  <c r="Z96" i="9" a="1"/>
  <c r="Z96" i="9" s="1"/>
  <c r="T28" i="9" a="1"/>
  <c r="T28" i="9" s="1"/>
  <c r="AC74" i="9" a="1"/>
  <c r="AC74" i="9" s="1"/>
  <c r="AI93" i="9" a="1"/>
  <c r="AI93" i="9" s="1"/>
  <c r="X109" i="9" a="1"/>
  <c r="X109" i="9" s="1"/>
  <c r="AG46" i="9" a="1"/>
  <c r="AG46" i="9" s="1"/>
  <c r="K36" i="9" a="1"/>
  <c r="K36" i="9" s="1"/>
  <c r="T63" i="9" a="1"/>
  <c r="T63" i="9" s="1"/>
  <c r="AG92" i="9" a="1"/>
  <c r="AG92" i="9" s="1"/>
  <c r="AC105" i="9" a="1"/>
  <c r="AC105" i="9" s="1"/>
  <c r="S56" i="9" a="1"/>
  <c r="S56" i="9" s="1"/>
  <c r="AG80" i="9" a="1"/>
  <c r="AG80" i="9" s="1"/>
  <c r="Q96" i="9" a="1"/>
  <c r="Q96" i="9" s="1"/>
  <c r="AJ41" i="9" a="1"/>
  <c r="AJ41" i="9" s="1"/>
  <c r="T72" i="9" a="1"/>
  <c r="T72" i="9" s="1"/>
  <c r="Q37" i="9" a="1"/>
  <c r="Q37" i="9" s="1"/>
  <c r="Q28" i="9" a="1"/>
  <c r="Q28" i="9" s="1"/>
  <c r="X64" i="9" a="1"/>
  <c r="X64" i="9" s="1"/>
  <c r="N69" i="9" a="1"/>
  <c r="N69" i="9" s="1"/>
  <c r="O104" i="9" a="1"/>
  <c r="O104" i="9" s="1"/>
  <c r="K10" i="9" a="1"/>
  <c r="K10" i="9" s="1"/>
  <c r="N74" i="9" a="1"/>
  <c r="N74" i="9" s="1"/>
  <c r="AD38" i="9" a="1"/>
  <c r="AD38" i="9" s="1"/>
  <c r="K13" i="9" a="1"/>
  <c r="K13" i="9" s="1"/>
  <c r="AF83" i="9" a="1"/>
  <c r="AF83" i="9" s="1"/>
  <c r="L103" i="9" a="1"/>
  <c r="L103" i="9" s="1"/>
  <c r="N9" i="9" a="1"/>
  <c r="N9" i="9" s="1"/>
  <c r="U77" i="9" a="1"/>
  <c r="U77" i="9" s="1"/>
  <c r="N95" i="9" a="1"/>
  <c r="N95" i="9" s="1"/>
  <c r="AJ18" i="9" a="1"/>
  <c r="AJ18" i="9" s="1"/>
  <c r="R56" i="9" a="1"/>
  <c r="R56" i="9" s="1"/>
  <c r="AA38" i="9" a="1"/>
  <c r="AA38" i="9" s="1"/>
  <c r="W109" i="9" a="1"/>
  <c r="W109" i="9" s="1"/>
  <c r="U56" i="9" a="1"/>
  <c r="U56" i="9" s="1"/>
  <c r="K76" i="9" a="1"/>
  <c r="K76" i="9" s="1"/>
  <c r="J34" i="9" a="1"/>
  <c r="J34" i="9" s="1"/>
  <c r="W76" i="9" a="1"/>
  <c r="W76" i="9" s="1"/>
  <c r="Z38" i="9" a="1"/>
  <c r="Z38" i="9" s="1"/>
  <c r="W101" i="9" a="1"/>
  <c r="W101" i="9" s="1"/>
  <c r="AI77" i="9" a="1"/>
  <c r="AI77" i="9" s="1"/>
  <c r="AF73" i="9" a="1"/>
  <c r="AF73" i="9" s="1"/>
  <c r="J96" i="9" a="1"/>
  <c r="J96" i="9" s="1"/>
  <c r="AA53" i="9" a="1"/>
  <c r="AA53" i="9" s="1"/>
  <c r="W39" i="9" a="1"/>
  <c r="W39" i="9" s="1"/>
  <c r="J51" i="9" a="1"/>
  <c r="J51" i="9" s="1"/>
  <c r="U18" i="9" a="1"/>
  <c r="U18" i="9" s="1"/>
  <c r="AJ100" i="9" a="1"/>
  <c r="AJ100" i="9" s="1"/>
  <c r="X27" i="9" a="1"/>
  <c r="X27" i="9" s="1"/>
  <c r="J65" i="9" a="1"/>
  <c r="J65" i="9" s="1"/>
  <c r="J85" i="9" a="1"/>
  <c r="J85" i="9" s="1"/>
  <c r="J106" i="9" a="1"/>
  <c r="J106" i="9" s="1"/>
  <c r="J48" i="9" a="1"/>
  <c r="J48" i="9" s="1"/>
  <c r="K25" i="9" a="1"/>
  <c r="K25" i="9" s="1"/>
  <c r="U43" i="9" a="1"/>
  <c r="U43" i="9" s="1"/>
  <c r="L28" i="9" a="1"/>
  <c r="L28" i="9" s="1"/>
  <c r="AF74" i="9" a="1"/>
  <c r="AF74" i="9" s="1"/>
  <c r="U84" i="9" a="1"/>
  <c r="U84" i="9" s="1"/>
  <c r="L107" i="9" a="1"/>
  <c r="L107" i="9" s="1"/>
  <c r="AF57" i="9" a="1"/>
  <c r="AF57" i="9" s="1"/>
  <c r="AC80" i="9" a="1"/>
  <c r="AC80" i="9" s="1"/>
  <c r="L38" i="9" a="1"/>
  <c r="L38" i="9" s="1"/>
  <c r="W48" i="9" a="1"/>
  <c r="W48" i="9" s="1"/>
  <c r="X25" i="9" a="1"/>
  <c r="X25" i="9" s="1"/>
  <c r="Z92" i="9" a="1"/>
  <c r="Z92" i="9" s="1"/>
  <c r="L110" i="9" a="1"/>
  <c r="L110" i="9" s="1"/>
  <c r="J57" i="9" a="1"/>
  <c r="J57" i="9" s="1"/>
  <c r="AI79" i="9" a="1"/>
  <c r="AI79" i="9" s="1"/>
  <c r="AJ105" i="9" a="1"/>
  <c r="AJ105" i="9" s="1"/>
  <c r="K37" i="9" a="1"/>
  <c r="K37" i="9" s="1"/>
  <c r="AG14" i="9" a="1"/>
  <c r="AG14" i="9" s="1"/>
  <c r="N32" i="9" a="1"/>
  <c r="N32" i="9" s="1"/>
  <c r="AI78" i="9" a="1"/>
  <c r="AI78" i="9" s="1"/>
  <c r="R100" i="9" a="1"/>
  <c r="R100" i="9" s="1"/>
  <c r="R20" i="9" a="1"/>
  <c r="R20" i="9" s="1"/>
  <c r="S66" i="9" a="1"/>
  <c r="S66" i="9" s="1"/>
  <c r="T92" i="9" a="1"/>
  <c r="T92" i="9" s="1"/>
  <c r="T30" i="9" a="1"/>
  <c r="T30" i="9" s="1"/>
  <c r="W38" i="9" a="1"/>
  <c r="W38" i="9" s="1"/>
  <c r="Q49" i="9" a="1"/>
  <c r="Q49" i="9" s="1"/>
  <c r="Q81" i="9" a="1"/>
  <c r="Q81" i="9" s="1"/>
  <c r="S87" i="9" a="1"/>
  <c r="S87" i="9" s="1"/>
  <c r="AI112" i="9" a="1"/>
  <c r="AI112" i="9" s="1"/>
  <c r="AG61" i="9" a="1"/>
  <c r="AG61" i="9" s="1"/>
  <c r="O83" i="9" a="1"/>
  <c r="O83" i="9" s="1"/>
  <c r="K63" i="9" a="1"/>
  <c r="K63" i="9" s="1"/>
  <c r="L50" i="9" a="1"/>
  <c r="L50" i="9" s="1"/>
  <c r="AG23" i="9" a="1"/>
  <c r="AG23" i="9" s="1"/>
  <c r="AF96" i="9" a="1"/>
  <c r="AF96" i="9" s="1"/>
  <c r="S112" i="9" a="1"/>
  <c r="S112" i="9" s="1"/>
  <c r="N61" i="9" a="1"/>
  <c r="N61" i="9" s="1"/>
  <c r="O84" i="9" a="1"/>
  <c r="O84" i="9" s="1"/>
  <c r="U108" i="9" a="1"/>
  <c r="U108" i="9" s="1"/>
  <c r="N44" i="9" a="1"/>
  <c r="N44" i="9" s="1"/>
  <c r="K29" i="9" a="1"/>
  <c r="K29" i="9" s="1"/>
  <c r="Q39" i="9" a="1"/>
  <c r="Q39" i="9" s="1"/>
  <c r="AJ28" i="9" a="1"/>
  <c r="AJ28" i="9" s="1"/>
  <c r="AI73" i="9" a="1"/>
  <c r="AI73" i="9" s="1"/>
  <c r="AC83" i="9" a="1"/>
  <c r="AC83" i="9" s="1"/>
  <c r="R106" i="9" a="1"/>
  <c r="R106" i="9" s="1"/>
  <c r="AI56" i="9" a="1"/>
  <c r="AI56" i="9" s="1"/>
  <c r="O80" i="9" a="1"/>
  <c r="O80" i="9" s="1"/>
  <c r="O37" i="9" a="1"/>
  <c r="O37" i="9" s="1"/>
  <c r="Z47" i="9" a="1"/>
  <c r="Z47" i="9" s="1"/>
  <c r="U26" i="9" a="1"/>
  <c r="U26" i="9" s="1"/>
  <c r="AI104" i="9" a="1"/>
  <c r="AI104" i="9" s="1"/>
  <c r="X10" i="9" a="1"/>
  <c r="X10" i="9" s="1"/>
  <c r="AI75" i="9" a="1"/>
  <c r="AI75" i="9" s="1"/>
  <c r="R95" i="9" a="1"/>
  <c r="R95" i="9" s="1"/>
  <c r="Z15" i="9" a="1"/>
  <c r="Z15" i="9" s="1"/>
  <c r="AI42" i="9" a="1"/>
  <c r="AI42" i="9" s="1"/>
  <c r="Z32" i="9" a="1"/>
  <c r="Z32" i="9" s="1"/>
  <c r="W19" i="9" a="1"/>
  <c r="W19" i="9" s="1"/>
  <c r="J25" i="9" a="1"/>
  <c r="J25" i="9" s="1"/>
  <c r="L62" i="9" a="1"/>
  <c r="L62" i="9" s="1"/>
  <c r="U72" i="9" a="1"/>
  <c r="U72" i="9" s="1"/>
  <c r="AJ98" i="9" a="1"/>
  <c r="AJ98" i="9" s="1"/>
  <c r="Q47" i="9" a="1"/>
  <c r="Q47" i="9" s="1"/>
  <c r="W79" i="9" a="1"/>
  <c r="W79" i="9" s="1"/>
  <c r="AC41" i="9" a="1"/>
  <c r="AC41" i="9" s="1"/>
  <c r="W9" i="9" a="1"/>
  <c r="W9" i="9" s="1"/>
  <c r="AD83" i="9" a="1"/>
  <c r="AD83" i="9" s="1"/>
  <c r="Q98" i="9" a="1"/>
  <c r="Q98" i="9" s="1"/>
  <c r="W46" i="9" a="1"/>
  <c r="W46" i="9" s="1"/>
  <c r="AF80" i="9" a="1"/>
  <c r="AF80" i="9" s="1"/>
  <c r="X95" i="9" a="1"/>
  <c r="X95" i="9" s="1"/>
  <c r="AC15" i="9" a="1"/>
  <c r="AC15" i="9" s="1"/>
  <c r="X53" i="9" a="1"/>
  <c r="X53" i="9" s="1"/>
  <c r="Z41" i="9" a="1"/>
  <c r="Z41" i="9" s="1"/>
  <c r="AD112" i="9" a="1"/>
  <c r="AD112" i="9" s="1"/>
  <c r="X59" i="9" a="1"/>
  <c r="X59" i="9" s="1"/>
  <c r="J79" i="9" a="1"/>
  <c r="J79" i="9" s="1"/>
  <c r="W95" i="9" a="1"/>
  <c r="W95" i="9" s="1"/>
  <c r="K18" i="9" a="1"/>
  <c r="K18" i="9" s="1"/>
  <c r="AD64" i="9" a="1"/>
  <c r="AD64" i="9" s="1"/>
  <c r="N53" i="9" a="1"/>
  <c r="N53" i="9" s="1"/>
  <c r="K21" i="9" a="1"/>
  <c r="K21" i="9" s="1"/>
  <c r="N103" i="9" a="1"/>
  <c r="N103" i="9" s="1"/>
  <c r="L17" i="9" a="1"/>
  <c r="L17" i="9" s="1"/>
  <c r="AG64" i="9" a="1"/>
  <c r="AG64" i="9" s="1"/>
  <c r="AD91" i="9" a="1"/>
  <c r="AD91" i="9" s="1"/>
  <c r="S110" i="9" a="1"/>
  <c r="S110" i="9" s="1"/>
  <c r="O36" i="9" a="1"/>
  <c r="O36" i="9" s="1"/>
  <c r="S14" i="9" a="1"/>
  <c r="S14" i="9" s="1"/>
  <c r="J55" i="9" a="1"/>
  <c r="J55" i="9" s="1"/>
  <c r="AF11" i="9" a="1"/>
  <c r="AF11" i="9" s="1"/>
  <c r="AD74" i="9" a="1"/>
  <c r="AD74" i="9" s="1"/>
  <c r="O89" i="9" a="1"/>
  <c r="O89" i="9" s="1"/>
  <c r="AC111" i="9" a="1"/>
  <c r="AC111" i="9" s="1"/>
  <c r="S58" i="9" a="1"/>
  <c r="S58" i="9" s="1"/>
  <c r="AF79" i="9" a="1"/>
  <c r="AF79" i="9" s="1"/>
  <c r="T57" i="9" a="1"/>
  <c r="T57" i="9" s="1"/>
  <c r="AG43" i="9" a="1"/>
  <c r="AG43" i="9" s="1"/>
  <c r="L30" i="9" a="1"/>
  <c r="L30" i="9" s="1"/>
  <c r="R93" i="9" a="1"/>
  <c r="R93" i="9" s="1"/>
  <c r="AJ110" i="9" a="1"/>
  <c r="AJ110" i="9" s="1"/>
  <c r="AD57" i="9" a="1"/>
  <c r="AD57" i="9" s="1"/>
  <c r="K81" i="9" a="1"/>
  <c r="K81" i="9" s="1"/>
  <c r="O107" i="9" a="1"/>
  <c r="O107" i="9" s="1"/>
  <c r="AD37" i="9" a="1"/>
  <c r="AD37" i="9" s="1"/>
  <c r="AJ13" i="9" a="1"/>
  <c r="AJ13" i="9" s="1"/>
  <c r="K33" i="9" a="1"/>
  <c r="K33" i="9" s="1"/>
  <c r="Z22" i="9" a="1"/>
  <c r="Z22" i="9" s="1"/>
  <c r="AA80" i="9" a="1"/>
  <c r="AA80" i="9" s="1"/>
  <c r="R86" i="9" a="1"/>
  <c r="R86" i="9" s="1"/>
  <c r="S107" i="9" a="1"/>
  <c r="S107" i="9" s="1"/>
  <c r="Z54" i="9" a="1"/>
  <c r="Z54" i="9" s="1"/>
  <c r="AG68" i="9" a="1"/>
  <c r="AG68" i="9" s="1"/>
  <c r="AC43" i="9" a="1"/>
  <c r="AC43" i="9" s="1"/>
  <c r="U32" i="9" a="1"/>
  <c r="U32" i="9" s="1"/>
  <c r="Z19" i="9" a="1"/>
  <c r="Z19" i="9" s="1"/>
  <c r="S106" i="9" a="1"/>
  <c r="S106" i="9" s="1"/>
  <c r="U53" i="9" a="1"/>
  <c r="U53" i="9" s="1"/>
  <c r="Z82" i="9" a="1"/>
  <c r="Z82" i="9" s="1"/>
  <c r="S27" i="9" a="1"/>
  <c r="S27" i="9" s="1"/>
  <c r="Z75" i="9" a="1"/>
  <c r="Z75" i="9" s="1"/>
  <c r="O85" i="9" a="1"/>
  <c r="O85" i="9" s="1"/>
  <c r="X108" i="9" a="1"/>
  <c r="X108" i="9" s="1"/>
  <c r="AC58" i="9" a="1"/>
  <c r="AC58" i="9" s="1"/>
  <c r="R81" i="9" a="1"/>
  <c r="R81" i="9" s="1"/>
  <c r="AJ38" i="9" a="1"/>
  <c r="AJ38" i="9" s="1"/>
  <c r="T49" i="9" a="1"/>
  <c r="T49" i="9" s="1"/>
  <c r="AA24" i="9" a="1"/>
  <c r="AA24" i="9" s="1"/>
  <c r="S94" i="9" a="1"/>
  <c r="S94" i="9" s="1"/>
  <c r="R107" i="9" a="1"/>
  <c r="R107" i="9" s="1"/>
  <c r="AJ57" i="9" a="1"/>
  <c r="AJ57" i="9" s="1"/>
  <c r="S82" i="9" a="1"/>
  <c r="S82" i="9" s="1"/>
  <c r="K98" i="9" a="1"/>
  <c r="K98" i="9" s="1"/>
  <c r="AA43" i="9" a="1"/>
  <c r="AA43" i="9" s="1"/>
  <c r="AJ29" i="9" a="1"/>
  <c r="AJ29" i="9" s="1"/>
  <c r="K39" i="9" a="1"/>
  <c r="K39" i="9" s="1"/>
  <c r="AJ16" i="9" a="1"/>
  <c r="AJ16" i="9" s="1"/>
  <c r="AJ64" i="9" a="1"/>
  <c r="AJ64" i="9" s="1"/>
  <c r="U80" i="9" a="1"/>
  <c r="U80" i="9" s="1"/>
  <c r="AF108" i="9" a="1"/>
  <c r="AF108" i="9" s="1"/>
  <c r="Z56" i="9" a="1"/>
  <c r="Z56" i="9" s="1"/>
  <c r="AC70" i="9" a="1"/>
  <c r="AC70" i="9" s="1"/>
  <c r="AC49" i="9" a="1"/>
  <c r="AC49" i="9" s="1"/>
  <c r="R38" i="9" a="1"/>
  <c r="R38" i="9" s="1"/>
  <c r="J107" i="9" a="1"/>
  <c r="J107" i="9" s="1"/>
  <c r="J20" i="9" a="1"/>
  <c r="J20" i="9" s="1"/>
  <c r="AA66" i="9" a="1"/>
  <c r="AA66" i="9" s="1"/>
  <c r="Q94" i="9" a="1"/>
  <c r="Q94" i="9" s="1"/>
  <c r="Z25" i="9" a="1"/>
  <c r="Z25" i="9" s="1"/>
  <c r="AA33" i="9" a="1"/>
  <c r="AA33" i="9" s="1"/>
  <c r="AF44" i="9" a="1"/>
  <c r="AF44" i="9" s="1"/>
  <c r="T29" i="9" a="1"/>
  <c r="T29" i="9" s="1"/>
  <c r="Z97" i="9" a="1"/>
  <c r="Z97" i="9" s="1"/>
  <c r="AJ112" i="9" a="1"/>
  <c r="AJ112" i="9" s="1"/>
  <c r="K62" i="9" a="1"/>
  <c r="K62" i="9" s="1"/>
  <c r="L85" i="9" a="1"/>
  <c r="L85" i="9" s="1"/>
  <c r="S111" i="9" a="1"/>
  <c r="S111" i="9" s="1"/>
  <c r="K45" i="9" a="1"/>
  <c r="K45" i="9" s="1"/>
  <c r="N28" i="9" a="1"/>
  <c r="N28" i="9" s="1"/>
  <c r="N40" i="9" a="1"/>
  <c r="N40" i="9" s="1"/>
  <c r="AG9" i="9" a="1"/>
  <c r="AG9" i="9" s="1"/>
  <c r="AG71" i="9" a="1"/>
  <c r="AG71" i="9" s="1"/>
  <c r="T84" i="9" a="1"/>
  <c r="T84" i="9" s="1"/>
  <c r="AI103" i="9" a="1"/>
  <c r="AI103" i="9" s="1"/>
  <c r="AC54" i="9" a="1"/>
  <c r="AC54" i="9" s="1"/>
  <c r="AF77" i="9" a="1"/>
  <c r="AF77" i="9" s="1"/>
  <c r="AF34" i="9" a="1"/>
  <c r="AF34" i="9" s="1"/>
  <c r="X45" i="9" a="1"/>
  <c r="X45" i="9" s="1"/>
  <c r="AA28" i="9" a="1"/>
  <c r="AA28" i="9" s="1"/>
  <c r="AA93" i="9" a="1"/>
  <c r="AA93" i="9" s="1"/>
  <c r="U106" i="9" a="1"/>
  <c r="U106" i="9" s="1"/>
  <c r="L57" i="9" a="1"/>
  <c r="L57" i="9" s="1"/>
  <c r="Z81" i="9" a="1"/>
  <c r="Z81" i="9" s="1"/>
  <c r="N97" i="9" a="1"/>
  <c r="N97" i="9" s="1"/>
  <c r="AG42" i="9" a="1"/>
  <c r="AG42" i="9" s="1"/>
  <c r="AA75" i="9" a="1"/>
  <c r="AA75" i="9" s="1"/>
  <c r="N38" i="9" a="1"/>
  <c r="N38" i="9" s="1"/>
  <c r="Z80" i="9" a="1"/>
  <c r="Z80" i="9" s="1"/>
  <c r="U94" i="9" a="1"/>
  <c r="U94" i="9" s="1"/>
  <c r="J14" i="9" a="1"/>
  <c r="J14" i="9" s="1"/>
  <c r="R67" i="9" a="1"/>
  <c r="R67" i="9" s="1"/>
  <c r="AI92" i="9" a="1"/>
  <c r="AI92" i="9" s="1"/>
  <c r="AI24" i="9" a="1"/>
  <c r="AI24" i="9" s="1"/>
  <c r="W44" i="9" a="1"/>
  <c r="W44" i="9" s="1"/>
  <c r="Q33" i="9" a="1"/>
  <c r="Q33" i="9" s="1"/>
  <c r="X84" i="9" a="1"/>
  <c r="X84" i="9" s="1"/>
  <c r="N99" i="9" a="1"/>
  <c r="N99" i="9" s="1"/>
  <c r="T47" i="9" a="1"/>
  <c r="T47" i="9" s="1"/>
  <c r="AC81" i="9" a="1"/>
  <c r="AC81" i="9" s="1"/>
  <c r="U96" i="9" a="1"/>
  <c r="U96" i="9" s="1"/>
  <c r="AF14" i="9" a="1"/>
  <c r="AF14" i="9" s="1"/>
  <c r="N55" i="9" a="1"/>
  <c r="N55" i="9" s="1"/>
  <c r="W42" i="9" a="1"/>
  <c r="W42" i="9" s="1"/>
  <c r="AG104" i="9" a="1"/>
  <c r="AG104" i="9" s="1"/>
  <c r="AF62" i="9" a="1"/>
  <c r="AF62" i="9" s="1"/>
  <c r="AJ80" i="9" a="1"/>
  <c r="AJ80" i="9" s="1"/>
  <c r="R97" i="9" a="1"/>
  <c r="R97" i="9" s="1"/>
  <c r="N11" i="9" a="1"/>
  <c r="N11" i="9" s="1"/>
  <c r="AI50" i="9" a="1"/>
  <c r="AI50" i="9" s="1"/>
  <c r="AA37" i="9" a="1"/>
  <c r="AA37" i="9" s="1"/>
  <c r="K15" i="9" a="1"/>
  <c r="K15" i="9" s="1"/>
  <c r="AJ82" i="9" a="1"/>
  <c r="AJ82" i="9" s="1"/>
  <c r="AJ95" i="9" a="1"/>
  <c r="AJ95" i="9" s="1"/>
  <c r="Q16" i="9" a="1"/>
  <c r="Q16" i="9" s="1"/>
  <c r="O70" i="9" a="1"/>
  <c r="O70" i="9" s="1"/>
  <c r="N88" i="9" a="1"/>
  <c r="N88" i="9" s="1"/>
  <c r="T26" i="9" a="1"/>
  <c r="T26" i="9" s="1"/>
  <c r="AA42" i="9" a="1"/>
  <c r="AA42" i="9" s="1"/>
  <c r="X31" i="9" a="1"/>
  <c r="X31" i="9" s="1"/>
  <c r="AA17" i="9" a="1"/>
  <c r="AA17" i="9" s="1"/>
  <c r="J69" i="9" a="1"/>
  <c r="J69" i="9" s="1"/>
  <c r="AI91" i="9" a="1"/>
  <c r="AI91" i="9" s="1"/>
  <c r="Q112" i="9" a="1"/>
  <c r="Q112" i="9" s="1"/>
  <c r="AI60" i="9" a="1"/>
  <c r="AI60" i="9" s="1"/>
  <c r="O74" i="9" a="1"/>
  <c r="O74" i="9" s="1"/>
  <c r="U55" i="9" a="1"/>
  <c r="U55" i="9" s="1"/>
  <c r="K38" i="9" a="1"/>
  <c r="K38" i="9" s="1"/>
  <c r="Q14" i="9" a="1"/>
  <c r="Q14" i="9" s="1"/>
  <c r="O94" i="9" a="1"/>
  <c r="O94" i="9" s="1"/>
  <c r="AG111" i="9" a="1"/>
  <c r="AG111" i="9" s="1"/>
  <c r="W58" i="9" a="1"/>
  <c r="W58" i="9" s="1"/>
  <c r="AA81" i="9" a="1"/>
  <c r="AA81" i="9" s="1"/>
  <c r="T108" i="9" a="1"/>
  <c r="T108" i="9" s="1"/>
  <c r="X38" i="9" a="1"/>
  <c r="X38" i="9" s="1"/>
  <c r="L13" i="9" a="1"/>
  <c r="L13" i="9" s="1"/>
  <c r="AD33" i="9" a="1"/>
  <c r="AD33" i="9" s="1"/>
  <c r="L16" i="9" a="1"/>
  <c r="L16" i="9" s="1"/>
  <c r="S65" i="9" a="1"/>
  <c r="S65" i="9" s="1"/>
  <c r="O81" i="9" a="1"/>
  <c r="O81" i="9" s="1"/>
  <c r="O111" i="9" a="1"/>
  <c r="O111" i="9" s="1"/>
  <c r="S57" i="9" a="1"/>
  <c r="S57" i="9" s="1"/>
  <c r="U71" i="9" a="1"/>
  <c r="U71" i="9" s="1"/>
  <c r="U50" i="9" a="1"/>
  <c r="U50" i="9" s="1"/>
  <c r="J39" i="9" a="1"/>
  <c r="J39" i="9" s="1"/>
  <c r="R91" i="9" a="1"/>
  <c r="R91" i="9" s="1"/>
  <c r="X107" i="9" a="1"/>
  <c r="X107" i="9" s="1"/>
  <c r="AD54" i="9" a="1"/>
  <c r="AD54" i="9" s="1"/>
  <c r="AA70" i="9" a="1"/>
  <c r="AA70" i="9" s="1"/>
  <c r="T103" i="9" a="1"/>
  <c r="T103" i="9" s="1"/>
  <c r="L49" i="9" a="1"/>
  <c r="L49" i="9" s="1"/>
  <c r="S24" i="9" a="1"/>
  <c r="S24" i="9" s="1"/>
  <c r="T44" i="9" a="1"/>
  <c r="T44" i="9" s="1"/>
  <c r="Q69" i="9" a="1"/>
  <c r="Q69" i="9" s="1"/>
  <c r="L99" i="9" a="1"/>
  <c r="L99" i="9" s="1"/>
  <c r="AD18" i="9" a="1"/>
  <c r="AD18" i="9" s="1"/>
  <c r="O63" i="9" a="1"/>
  <c r="O63" i="9" s="1"/>
  <c r="AD78" i="9" a="1"/>
  <c r="AD78" i="9" s="1"/>
  <c r="N106" i="9" a="1"/>
  <c r="N106" i="9" s="1"/>
  <c r="AJ54" i="9" a="1"/>
  <c r="AJ54" i="9" s="1"/>
  <c r="K69" i="9" a="1"/>
  <c r="K69" i="9" s="1"/>
  <c r="K48" i="9" a="1"/>
  <c r="K48" i="9" s="1"/>
  <c r="AA36" i="9" a="1"/>
  <c r="AA36" i="9" s="1"/>
  <c r="AG89" i="9" a="1"/>
  <c r="AG89" i="9" s="1"/>
  <c r="T105" i="9" a="1"/>
  <c r="T105" i="9" s="1"/>
  <c r="T54" i="9" a="1"/>
  <c r="T54" i="9" s="1"/>
  <c r="AI69" i="9" a="1"/>
  <c r="AI69" i="9" s="1"/>
  <c r="K102" i="9" a="1"/>
  <c r="K102" i="9" s="1"/>
  <c r="O9" i="9" a="1"/>
  <c r="O9" i="9" s="1"/>
  <c r="AI58" i="9" a="1"/>
  <c r="AI58" i="9" s="1"/>
  <c r="R48" i="9" a="1"/>
  <c r="R48" i="9" s="1"/>
  <c r="AD29" i="9" a="1"/>
  <c r="AD29" i="9" s="1"/>
  <c r="AI62" i="9" a="1"/>
  <c r="AI62" i="9" s="1"/>
  <c r="T67" i="9" a="1"/>
  <c r="T67" i="9" s="1"/>
  <c r="J102" i="9" a="1"/>
  <c r="J102" i="9" s="1"/>
  <c r="AC11" i="9" a="1"/>
  <c r="AC11" i="9" s="1"/>
  <c r="AA67" i="9" a="1"/>
  <c r="AA67" i="9" s="1"/>
  <c r="AJ36" i="9" a="1"/>
  <c r="AJ36" i="9" s="1"/>
  <c r="X14" i="9" a="1"/>
  <c r="X14" i="9" s="1"/>
  <c r="AF100" i="9" a="1"/>
  <c r="AF100" i="9" s="1"/>
  <c r="AG10" i="9" a="1"/>
  <c r="AG10" i="9" s="1"/>
  <c r="AG70" i="9" a="1"/>
  <c r="AG70" i="9" s="1"/>
  <c r="Z89" i="9" a="1"/>
  <c r="Z89" i="9" s="1"/>
  <c r="X110" i="9" a="1"/>
  <c r="X110" i="9" s="1"/>
  <c r="Z42" i="9" a="1"/>
  <c r="Z42" i="9" s="1"/>
  <c r="L32" i="9" a="1"/>
  <c r="L32" i="9" s="1"/>
  <c r="AC63" i="9" a="1"/>
  <c r="AC63" i="9" s="1"/>
  <c r="AJ87" i="9" a="1"/>
  <c r="AJ87" i="9" s="1"/>
  <c r="X111" i="9" a="1"/>
  <c r="X111" i="9" s="1"/>
  <c r="W59" i="9" a="1"/>
  <c r="W59" i="9" s="1"/>
  <c r="O75" i="9" a="1"/>
  <c r="O75" i="9" s="1"/>
  <c r="S100" i="9" a="1"/>
  <c r="S100" i="9" s="1"/>
  <c r="J32" i="9" a="1"/>
  <c r="J32" i="9" s="1"/>
  <c r="R19" i="9" a="1"/>
  <c r="R19" i="9" s="1"/>
  <c r="U49" i="9" a="1"/>
  <c r="U49" i="9" s="1"/>
  <c r="W22" i="9" a="1"/>
  <c r="W22" i="9" s="1"/>
  <c r="AA64" i="9" a="1"/>
  <c r="AA64" i="9" s="1"/>
  <c r="W74" i="9" a="1"/>
  <c r="W74" i="9" s="1"/>
  <c r="S101" i="9" a="1"/>
  <c r="S101" i="9" s="1"/>
  <c r="AD49" i="9" a="1"/>
  <c r="AD49" i="9" s="1"/>
  <c r="N82" i="9" a="1"/>
  <c r="N82" i="9" s="1"/>
  <c r="L44" i="9" a="1"/>
  <c r="L44" i="9" s="1"/>
  <c r="W32" i="9" a="1"/>
  <c r="W32" i="9" s="1"/>
  <c r="AJ88" i="9" a="1"/>
  <c r="AJ88" i="9" s="1"/>
  <c r="W104" i="9" a="1"/>
  <c r="W104" i="9" s="1"/>
  <c r="J53" i="9" a="1"/>
  <c r="J53" i="9" s="1"/>
  <c r="S69" i="9" a="1"/>
  <c r="S69" i="9" s="1"/>
  <c r="N101" i="9" a="1"/>
  <c r="N101" i="9" s="1"/>
  <c r="L10" i="9" a="1"/>
  <c r="L10" i="9" s="1"/>
  <c r="AF55" i="9" a="1"/>
  <c r="AF55" i="9" s="1"/>
  <c r="X47" i="9" a="1"/>
  <c r="X47" i="9" s="1"/>
  <c r="N68" i="9" a="1"/>
  <c r="N68" i="9" s="1"/>
  <c r="O91" i="9" a="1"/>
  <c r="O91" i="9" s="1"/>
  <c r="AI26" i="9" a="1"/>
  <c r="AI26" i="9" s="1"/>
  <c r="J60" i="9" a="1"/>
  <c r="J60" i="9" s="1"/>
  <c r="J84" i="9" a="1"/>
  <c r="J84" i="9" s="1"/>
  <c r="AC67" i="9" a="1"/>
  <c r="AC67" i="9" s="1"/>
  <c r="AI31" i="9" a="1"/>
  <c r="AI31" i="9" s="1"/>
  <c r="T19" i="9" a="1"/>
  <c r="T19" i="9" s="1"/>
  <c r="S81" i="9" a="1"/>
  <c r="S81" i="9" s="1"/>
  <c r="AJ102" i="9" a="1"/>
  <c r="AJ102" i="9" s="1"/>
  <c r="AI17" i="9" a="1"/>
  <c r="AI17" i="9" s="1"/>
  <c r="AC68" i="9" a="1"/>
  <c r="AC68" i="9" s="1"/>
  <c r="T86" i="9" a="1"/>
  <c r="T86" i="9" s="1"/>
  <c r="J28" i="9" a="1"/>
  <c r="J28" i="9" s="1"/>
  <c r="N41" i="9" a="1"/>
  <c r="N41" i="9" s="1"/>
  <c r="AG51" i="9" a="1"/>
  <c r="AG51" i="9" s="1"/>
  <c r="J110" i="9" a="1"/>
  <c r="J110" i="9" s="1"/>
  <c r="X18" i="9" a="1"/>
  <c r="X18" i="9" s="1"/>
  <c r="AI67" i="9" a="1"/>
  <c r="AI67" i="9" s="1"/>
  <c r="T87" i="9" a="1"/>
  <c r="T87" i="9" s="1"/>
  <c r="AJ23" i="9" a="1"/>
  <c r="AJ23" i="9" s="1"/>
  <c r="AI34" i="9" a="1"/>
  <c r="AI34" i="9" s="1"/>
  <c r="U46" i="9" a="1"/>
  <c r="U46" i="9" s="1"/>
  <c r="AD27" i="9" a="1"/>
  <c r="AD27" i="9" s="1"/>
  <c r="N70" i="9" a="1"/>
  <c r="N70" i="9" s="1"/>
  <c r="AJ99" i="9" a="1"/>
  <c r="AJ99" i="9" s="1"/>
  <c r="X28" i="9" a="1"/>
  <c r="X28" i="9" s="1"/>
  <c r="X74" i="9" a="1"/>
  <c r="X74" i="9" s="1"/>
  <c r="N92" i="9" a="1"/>
  <c r="N92" i="9" s="1"/>
  <c r="AC17" i="9" a="1"/>
  <c r="AC17" i="9" s="1"/>
  <c r="R52" i="9" a="1"/>
  <c r="R52" i="9" s="1"/>
  <c r="T40" i="9" a="1"/>
  <c r="T40" i="9" s="1"/>
  <c r="AG29" i="9" a="1"/>
  <c r="AG29" i="9" s="1"/>
  <c r="S73" i="9" a="1"/>
  <c r="S73" i="9" s="1"/>
  <c r="AF82" i="9" a="1"/>
  <c r="AF82" i="9" s="1"/>
  <c r="X105" i="9" a="1"/>
  <c r="X105" i="9" s="1"/>
  <c r="O56" i="9" a="1"/>
  <c r="O56" i="9" s="1"/>
  <c r="U79" i="9" a="1"/>
  <c r="U79" i="9" s="1"/>
  <c r="U36" i="9" a="1"/>
  <c r="U36" i="9" s="1"/>
  <c r="J47" i="9" a="1"/>
  <c r="J47" i="9" s="1"/>
  <c r="N27" i="9" a="1"/>
  <c r="N27" i="9" s="1"/>
  <c r="AF89" i="9" a="1"/>
  <c r="AF89" i="9" s="1"/>
  <c r="K106" i="9" a="1"/>
  <c r="K106" i="9" s="1"/>
  <c r="Q53" i="9" a="1"/>
  <c r="Q53" i="9" s="1"/>
  <c r="AJ68" i="9" a="1"/>
  <c r="AJ68" i="9" s="1"/>
  <c r="AC101" i="9" a="1"/>
  <c r="AC101" i="9" s="1"/>
  <c r="R47" i="9" a="1"/>
  <c r="R47" i="9" s="1"/>
  <c r="AJ25" i="9" a="1"/>
  <c r="AJ25" i="9" s="1"/>
  <c r="AC42" i="9" a="1"/>
  <c r="AC42" i="9" s="1"/>
  <c r="J29" i="9" a="1"/>
  <c r="J29" i="9" s="1"/>
  <c r="AA63" i="9" a="1"/>
  <c r="AA63" i="9" s="1"/>
  <c r="Q68" i="9" a="1"/>
  <c r="Q68" i="9" s="1"/>
  <c r="Z102" i="9" a="1"/>
  <c r="Z102" i="9" s="1"/>
  <c r="AF10" i="9" a="1"/>
  <c r="AF10" i="9" s="1"/>
  <c r="Z70" i="9" a="1"/>
  <c r="Z70" i="9" s="1"/>
  <c r="AG37" i="9" a="1"/>
  <c r="AG37" i="9" s="1"/>
  <c r="AD13" i="9" a="1"/>
  <c r="AD13" i="9" s="1"/>
  <c r="AI86" i="9" a="1"/>
  <c r="AI86" i="9" s="1"/>
  <c r="W105" i="9" a="1"/>
  <c r="W105" i="9" s="1"/>
  <c r="AD60" i="9" a="1"/>
  <c r="AD60" i="9" s="1"/>
  <c r="AG75" i="9" a="1"/>
  <c r="AG75" i="9" s="1"/>
  <c r="R99" i="9" a="1"/>
  <c r="R99" i="9" s="1"/>
  <c r="S36" i="9" a="1"/>
  <c r="S36" i="9" s="1"/>
  <c r="J67" i="9" a="1"/>
  <c r="J67" i="9" s="1"/>
  <c r="AD31" i="9" a="1"/>
  <c r="AD31" i="9" s="1"/>
  <c r="Q67" i="9" a="1"/>
  <c r="Q67" i="9" s="1"/>
  <c r="U90" i="9" a="1"/>
  <c r="U90" i="9" s="1"/>
  <c r="AF27" i="9" a="1"/>
  <c r="AF27" i="9" s="1"/>
  <c r="AF64" i="9" a="1"/>
  <c r="AF64" i="9" s="1"/>
  <c r="U83" i="9" a="1"/>
  <c r="U83" i="9" s="1"/>
  <c r="N65" i="9" a="1"/>
  <c r="N65" i="9" s="1"/>
  <c r="N31" i="9" a="1"/>
  <c r="N31" i="9" s="1"/>
  <c r="Q20" i="9" a="1"/>
  <c r="Q20" i="9" s="1"/>
  <c r="L100" i="9" a="1"/>
  <c r="L100" i="9" s="1"/>
  <c r="U28" i="9" a="1"/>
  <c r="U28" i="9" s="1"/>
  <c r="U64" i="9" a="1"/>
  <c r="U64" i="9" s="1"/>
  <c r="R84" i="9" a="1"/>
  <c r="R84" i="9" s="1"/>
  <c r="U105" i="9" a="1"/>
  <c r="U105" i="9" s="1"/>
  <c r="U47" i="9" a="1"/>
  <c r="U47" i="9" s="1"/>
  <c r="AA25" i="9" a="1"/>
  <c r="AA25" i="9" s="1"/>
  <c r="X42" i="9" a="1"/>
  <c r="X42" i="9" s="1"/>
  <c r="R13" i="9" a="1"/>
  <c r="R13" i="9" s="1"/>
  <c r="N73" i="9" a="1"/>
  <c r="N73" i="9" s="1"/>
  <c r="AC87" i="9" a="1"/>
  <c r="AC87" i="9" s="1"/>
  <c r="AI109" i="9" a="1"/>
  <c r="AI109" i="9" s="1"/>
  <c r="AG56" i="9" a="1"/>
  <c r="AG56" i="9" s="1"/>
  <c r="S78" i="9" a="1"/>
  <c r="S78" i="9" s="1"/>
  <c r="Q54" i="9" a="1"/>
  <c r="Q54" i="9" s="1"/>
  <c r="L42" i="9" a="1"/>
  <c r="L42" i="9" s="1"/>
  <c r="R10" i="9" a="1"/>
  <c r="R10" i="9" s="1"/>
  <c r="AD108" i="9" a="1"/>
  <c r="AD108" i="9" s="1"/>
  <c r="X55" i="9" a="1"/>
  <c r="X55" i="9" s="1"/>
  <c r="N75" i="9" a="1"/>
  <c r="N75" i="9" s="1"/>
  <c r="O100" i="9" a="1"/>
  <c r="O100" i="9" s="1"/>
  <c r="AC21" i="9" a="1"/>
  <c r="AC21" i="9" s="1"/>
  <c r="R57" i="9" a="1"/>
  <c r="R57" i="9" s="1"/>
  <c r="Z48" i="9" a="1"/>
  <c r="Z48" i="9" s="1"/>
  <c r="O25" i="9" a="1"/>
  <c r="O25" i="9" s="1"/>
  <c r="T98" i="9" a="1"/>
  <c r="T98" i="9" s="1"/>
  <c r="AD26" i="9" a="1"/>
  <c r="AD26" i="9" s="1"/>
  <c r="O76" i="9" a="1"/>
  <c r="O76" i="9" s="1"/>
  <c r="N87" i="9" a="1"/>
  <c r="N87" i="9" s="1"/>
  <c r="N111" i="9" a="1"/>
  <c r="N111" i="9" s="1"/>
  <c r="S48" i="9" a="1"/>
  <c r="S48" i="9" s="1"/>
  <c r="AC37" i="9" a="1"/>
  <c r="AC37" i="9" s="1"/>
  <c r="T69" i="9" a="1"/>
  <c r="T69" i="9" s="1"/>
  <c r="Q80" i="9" a="1"/>
  <c r="Q80" i="9" s="1"/>
  <c r="AD86" i="9" a="1"/>
  <c r="AD86" i="9" s="1"/>
  <c r="O112" i="9" a="1"/>
  <c r="O112" i="9" s="1"/>
  <c r="AJ60" i="9" a="1"/>
  <c r="AJ60" i="9" s="1"/>
  <c r="AA85" i="9" a="1"/>
  <c r="AA85" i="9" s="1"/>
  <c r="AJ59" i="9" a="1"/>
  <c r="AJ59" i="9" s="1"/>
  <c r="O49" i="9" a="1"/>
  <c r="O49" i="9" s="1"/>
  <c r="Z24" i="9" a="1"/>
  <c r="Z24" i="9" s="1"/>
  <c r="O99" i="9" a="1"/>
  <c r="O99" i="9" s="1"/>
  <c r="N29" i="9" a="1"/>
  <c r="N29" i="9" s="1"/>
  <c r="X63" i="9" a="1"/>
  <c r="X63" i="9" s="1"/>
  <c r="X83" i="9" a="1"/>
  <c r="X83" i="9" s="1"/>
  <c r="X104" i="9" a="1"/>
  <c r="X104" i="9" s="1"/>
  <c r="X46" i="9" a="1"/>
  <c r="X46" i="9" s="1"/>
  <c r="X26" i="9" a="1"/>
  <c r="X26" i="9" s="1"/>
  <c r="AD41" i="9" a="1"/>
  <c r="AD41" i="9" s="1"/>
  <c r="T85" i="9" a="1"/>
  <c r="T85" i="9" s="1"/>
  <c r="U101" i="9" a="1"/>
  <c r="U101" i="9" s="1"/>
  <c r="AA10" i="9" a="1"/>
  <c r="AA10" i="9" s="1"/>
  <c r="AF75" i="9" a="1"/>
  <c r="AF75" i="9" s="1"/>
  <c r="W93" i="9" a="1"/>
  <c r="W93" i="9" s="1"/>
  <c r="AD20" i="9" a="1"/>
  <c r="AD20" i="9" s="1"/>
  <c r="U52" i="9" a="1"/>
  <c r="U52" i="9" s="1"/>
  <c r="N37" i="9" a="1"/>
  <c r="N37" i="9" s="1"/>
  <c r="L93" i="9" a="1"/>
  <c r="L93" i="9" s="1"/>
  <c r="AF112" i="9" a="1"/>
  <c r="AF112" i="9" s="1"/>
  <c r="T56" i="9" a="1"/>
  <c r="T56" i="9" s="1"/>
  <c r="AI71" i="9" a="1"/>
  <c r="AI71" i="9" s="1"/>
  <c r="L97" i="9" a="1"/>
  <c r="L97" i="9" s="1"/>
  <c r="AG50" i="9" a="1"/>
  <c r="AG50" i="9" s="1"/>
  <c r="AG22" i="9" a="1"/>
  <c r="AG22" i="9" s="1"/>
  <c r="N46" i="9" a="1"/>
  <c r="N46" i="9" s="1"/>
  <c r="AD25" i="9" a="1"/>
  <c r="AD25" i="9" s="1"/>
  <c r="O61" i="9" a="1"/>
  <c r="O61" i="9" s="1"/>
  <c r="X71" i="9" a="1"/>
  <c r="X71" i="9" s="1"/>
  <c r="L98" i="9" a="1"/>
  <c r="L98" i="9" s="1"/>
  <c r="T46" i="9" a="1"/>
  <c r="T46" i="9" s="1"/>
  <c r="Z78" i="9" a="1"/>
  <c r="Z78" i="9" s="1"/>
  <c r="AF40" i="9" a="1"/>
  <c r="AF40" i="9" s="1"/>
  <c r="T10" i="9" a="1"/>
  <c r="T10" i="9" s="1"/>
  <c r="O90" i="9" a="1"/>
  <c r="O90" i="9" s="1"/>
  <c r="X112" i="9" a="1"/>
  <c r="X112" i="9" s="1"/>
  <c r="AJ53" i="9" a="1"/>
  <c r="AJ53" i="9" s="1"/>
  <c r="AF78" i="9" a="1"/>
  <c r="AF78" i="9" s="1"/>
  <c r="T102" i="9" a="1"/>
  <c r="T102" i="9" s="1"/>
  <c r="R39" i="9" a="1"/>
  <c r="R39" i="9" s="1"/>
  <c r="K80" i="9" a="1"/>
  <c r="K80" i="9" s="1"/>
  <c r="AC34" i="9" a="1"/>
  <c r="AC34" i="9" s="1"/>
  <c r="AA77" i="9" a="1"/>
  <c r="AA77" i="9" s="1"/>
  <c r="U92" i="9" a="1"/>
  <c r="U92" i="9" s="1"/>
  <c r="Q17" i="9" a="1"/>
  <c r="Q17" i="9" s="1"/>
  <c r="T64" i="9" a="1"/>
  <c r="T64" i="9" s="1"/>
  <c r="AJ89" i="9" a="1"/>
  <c r="AJ89" i="9" s="1"/>
  <c r="O28" i="9" a="1"/>
  <c r="O28" i="9" s="1"/>
  <c r="X41" i="9" a="1"/>
  <c r="X41" i="9" s="1"/>
  <c r="Z9" i="9" a="1"/>
  <c r="Z9" i="9" s="1"/>
  <c r="AI99" i="9" a="1"/>
  <c r="AI99" i="9" s="1"/>
  <c r="AA11" i="9" a="1"/>
  <c r="AA11" i="9" s="1"/>
  <c r="AJ69" i="9" a="1"/>
  <c r="AJ69" i="9" s="1"/>
  <c r="J89" i="9" a="1"/>
  <c r="J89" i="9" s="1"/>
  <c r="AA109" i="9" a="1"/>
  <c r="AA109" i="9" s="1"/>
  <c r="AF41" i="9" a="1"/>
  <c r="AF41" i="9" s="1"/>
  <c r="O31" i="9" a="1"/>
  <c r="O31" i="9" s="1"/>
  <c r="O58" i="9" a="1"/>
  <c r="O58" i="9" s="1"/>
  <c r="Z12" i="9" a="1"/>
  <c r="Z12" i="9" s="1"/>
  <c r="K74" i="9" a="1"/>
  <c r="K74" i="9" s="1"/>
  <c r="U88" i="9" a="1"/>
  <c r="U88" i="9" s="1"/>
  <c r="AF110" i="9" a="1"/>
  <c r="AF110" i="9" s="1"/>
  <c r="Z57" i="9" a="1"/>
  <c r="Z57" i="9" s="1"/>
  <c r="K79" i="9" a="1"/>
  <c r="K79" i="9" s="1"/>
  <c r="AD55" i="9" a="1"/>
  <c r="AD55" i="9" s="1"/>
  <c r="AJ42" i="9" a="1"/>
  <c r="AJ42" i="9" s="1"/>
  <c r="X9" i="9" a="1"/>
  <c r="X9" i="9" s="1"/>
  <c r="X97" i="9" a="1"/>
  <c r="X97" i="9" s="1"/>
  <c r="AA22" i="9" a="1"/>
  <c r="AA22" i="9" s="1"/>
  <c r="S64" i="9" a="1"/>
  <c r="S64" i="9" s="1"/>
  <c r="U60" i="9" a="1"/>
  <c r="U60" i="9" s="1"/>
  <c r="S35" i="9" a="1"/>
  <c r="S35" i="9" s="1"/>
  <c r="AJ45" i="9" a="1"/>
  <c r="AJ45" i="9" s="1"/>
  <c r="AA108" i="9" a="1"/>
  <c r="AA108" i="9" s="1"/>
  <c r="N93" i="9" a="1"/>
  <c r="N93" i="9" s="1"/>
  <c r="S89" i="9" a="1"/>
  <c r="S89" i="9" s="1"/>
  <c r="AD105" i="9" a="1"/>
  <c r="AD105" i="9" s="1"/>
  <c r="K47" i="9" a="1"/>
  <c r="K47" i="9" s="1"/>
  <c r="AJ21" i="9" a="1"/>
  <c r="AJ21" i="9" s="1"/>
  <c r="W51" i="9" a="1"/>
  <c r="W51" i="9" s="1"/>
  <c r="AJ97" i="9" a="1"/>
  <c r="AJ97" i="9" s="1"/>
  <c r="AF72" i="9" a="1"/>
  <c r="AF72" i="9" s="1"/>
  <c r="W84" i="9" a="1"/>
  <c r="W84" i="9" s="1"/>
  <c r="AC100" i="9" a="1"/>
  <c r="AC100" i="9" s="1"/>
  <c r="X11" i="9" a="1"/>
  <c r="X11" i="9" s="1"/>
  <c r="K75" i="9" a="1"/>
  <c r="K75" i="9" s="1"/>
  <c r="AC92" i="9" a="1"/>
  <c r="AC92" i="9" s="1"/>
  <c r="S21" i="9" a="1"/>
  <c r="S21" i="9" s="1"/>
  <c r="S50" i="9" a="1"/>
  <c r="S50" i="9" s="1"/>
  <c r="Q36" i="9" a="1"/>
  <c r="Q36" i="9" s="1"/>
  <c r="AA103" i="9" a="1"/>
  <c r="AA103" i="9" s="1"/>
  <c r="J12" i="9" a="1"/>
  <c r="J12" i="9" s="1"/>
  <c r="AA74" i="9" a="1"/>
  <c r="AA74" i="9" s="1"/>
  <c r="Z93" i="9" a="1"/>
  <c r="Z93" i="9" s="1"/>
  <c r="T17" i="9" a="1"/>
  <c r="T17" i="9" s="1"/>
  <c r="AA41" i="9" a="1"/>
  <c r="AA41" i="9" s="1"/>
  <c r="AI30" i="9" a="1"/>
  <c r="AI30" i="9" s="1"/>
  <c r="Q21" i="9" a="1"/>
  <c r="Q21" i="9" s="1"/>
  <c r="T76" i="9" a="1"/>
  <c r="T76" i="9" s="1"/>
  <c r="AI97" i="9" a="1"/>
  <c r="AI97" i="9" s="1"/>
  <c r="N22" i="9" a="1"/>
  <c r="N22" i="9" s="1"/>
  <c r="L81" i="9" a="1"/>
  <c r="L81" i="9" s="1"/>
  <c r="J90" i="9" a="1"/>
  <c r="J90" i="9" s="1"/>
  <c r="O11" i="9" a="1"/>
  <c r="O11" i="9" s="1"/>
  <c r="R36" i="9" a="1"/>
  <c r="R36" i="9" s="1"/>
  <c r="AC46" i="9" a="1"/>
  <c r="AC46" i="9" s="1"/>
  <c r="S23" i="9" a="1"/>
  <c r="S23" i="9" s="1"/>
  <c r="AG79" i="9" a="1"/>
  <c r="AG79" i="9" s="1"/>
  <c r="AJ85" i="9" a="1"/>
  <c r="AJ85" i="9" s="1"/>
  <c r="AA106" i="9" a="1"/>
  <c r="AA106" i="9" s="1"/>
  <c r="AG53" i="9" a="1"/>
  <c r="AG53" i="9" s="1"/>
  <c r="AJ67" i="9" a="1"/>
  <c r="AJ67" i="9" s="1"/>
  <c r="AF42" i="9" a="1"/>
  <c r="AF42" i="9" s="1"/>
  <c r="AC31" i="9" a="1"/>
  <c r="AC31" i="9" s="1"/>
  <c r="W20" i="9" a="1"/>
  <c r="W20" i="9" s="1"/>
  <c r="T109" i="9" a="1"/>
  <c r="T109" i="9" s="1"/>
  <c r="Z63" i="9" a="1"/>
  <c r="Z63" i="9" s="1"/>
  <c r="W80" i="9" a="1"/>
  <c r="W80" i="9" s="1"/>
  <c r="Q97" i="9" a="1"/>
  <c r="Q97" i="9" s="1"/>
  <c r="AD16" i="9" a="1"/>
  <c r="AD16" i="9" s="1"/>
  <c r="X65" i="9" a="1"/>
  <c r="X65" i="9" s="1"/>
  <c r="K32" i="9" a="1"/>
  <c r="K32" i="9" s="1"/>
  <c r="Q19" i="9" a="1"/>
  <c r="Q19" i="9" s="1"/>
  <c r="AG83" i="9" a="1"/>
  <c r="AG83" i="9" s="1"/>
  <c r="AG96" i="9" a="1"/>
  <c r="AG96" i="9" s="1"/>
  <c r="T15" i="9" a="1"/>
  <c r="T15" i="9" s="1"/>
  <c r="L71" i="9" a="1"/>
  <c r="L71" i="9" s="1"/>
  <c r="K89" i="9" a="1"/>
  <c r="K89" i="9" s="1"/>
  <c r="W25" i="9" a="1"/>
  <c r="W25" i="9" s="1"/>
  <c r="X43" i="9" a="1"/>
  <c r="X43" i="9" s="1"/>
  <c r="R32" i="9" a="1"/>
  <c r="R32" i="9" s="1"/>
  <c r="AD110" i="9" a="1"/>
  <c r="AD110" i="9" s="1"/>
  <c r="AC12" i="9" a="1"/>
  <c r="AC12" i="9" s="1"/>
  <c r="AG73" i="9" a="1"/>
  <c r="AG73" i="9" s="1"/>
  <c r="J93" i="9" a="1"/>
  <c r="J93" i="9" s="1"/>
  <c r="Q18" i="9" a="1"/>
  <c r="Q18" i="9" s="1"/>
  <c r="AG40" i="9" a="1"/>
  <c r="AG40" i="9" s="1"/>
  <c r="AD52" i="9" a="1"/>
  <c r="AD52" i="9" s="1"/>
  <c r="Q22" i="9" a="1"/>
  <c r="Q22" i="9" s="1"/>
  <c r="AF91" i="9" a="1"/>
  <c r="AF91" i="9" s="1"/>
  <c r="S109" i="9" a="1"/>
  <c r="S109" i="9" s="1"/>
  <c r="Q56" i="9" a="1"/>
  <c r="Q56" i="9" s="1"/>
  <c r="S79" i="9" a="1"/>
  <c r="S79" i="9" s="1"/>
  <c r="L105" i="9" a="1"/>
  <c r="L105" i="9" s="1"/>
  <c r="N36" i="9" a="1"/>
  <c r="N36" i="9" s="1"/>
  <c r="AA15" i="9" a="1"/>
  <c r="AA15" i="9" s="1"/>
  <c r="Q31" i="9" a="1"/>
  <c r="Q31" i="9" s="1"/>
  <c r="O103" i="9" a="1"/>
  <c r="O103" i="9" s="1"/>
  <c r="J30" i="9" a="1"/>
  <c r="J30" i="9" s="1"/>
  <c r="K73" i="9" a="1"/>
  <c r="K73" i="9" s="1"/>
  <c r="Q92" i="9" a="1"/>
  <c r="Q92" i="9" s="1"/>
  <c r="K108" i="9" a="1"/>
  <c r="K108" i="9" s="1"/>
  <c r="L45" i="9" a="1"/>
  <c r="L45" i="9" s="1"/>
  <c r="AD34" i="9" a="1"/>
  <c r="AD34" i="9" s="1"/>
  <c r="Q62" i="9" a="1"/>
  <c r="Q62" i="9" s="1"/>
  <c r="AA9" i="9" a="1"/>
  <c r="AA9" i="9" s="1"/>
  <c r="J77" i="9" a="1"/>
  <c r="J77" i="9" s="1"/>
  <c r="AG91" i="9" a="1"/>
  <c r="AG91" i="9" s="1"/>
  <c r="AI108" i="9" a="1"/>
  <c r="AI108" i="9" s="1"/>
  <c r="R63" i="9" a="1"/>
  <c r="R63" i="9" s="1"/>
  <c r="T82" i="9" a="1"/>
  <c r="T82" i="9" s="1"/>
  <c r="AC57" i="9" a="1"/>
  <c r="AC57" i="9" s="1"/>
  <c r="K46" i="9" a="1"/>
  <c r="K46" i="9" s="1"/>
  <c r="AG27" i="9" a="1"/>
  <c r="AG27" i="9" s="1"/>
  <c r="W100" i="9" a="1"/>
  <c r="W100" i="9" s="1"/>
  <c r="AA19" i="9" a="1"/>
  <c r="AA19" i="9" s="1"/>
  <c r="O62" i="9" a="1"/>
  <c r="O62" i="9" s="1"/>
  <c r="Q89" i="9" a="1"/>
  <c r="Q89" i="9" s="1"/>
  <c r="K111" i="9" a="1"/>
  <c r="K111" i="9" s="1"/>
  <c r="AF33" i="9" a="1"/>
  <c r="AF33" i="9" s="1"/>
  <c r="Z16" i="9" a="1"/>
  <c r="Z16" i="9" s="1"/>
  <c r="U59" i="9" a="1"/>
  <c r="U59" i="9" s="1"/>
  <c r="L88" i="9" a="1"/>
  <c r="L88" i="9" s="1"/>
  <c r="J103" i="9" a="1"/>
  <c r="J103" i="9" s="1"/>
  <c r="AA51" i="9" a="1"/>
  <c r="AA51" i="9" s="1"/>
  <c r="AA68" i="9" a="1"/>
  <c r="AA68" i="9" s="1"/>
  <c r="Q100" i="9" a="1"/>
  <c r="Q100" i="9" s="1"/>
  <c r="AJ10" i="9" a="1"/>
  <c r="AJ10" i="9" s="1"/>
  <c r="N60" i="9" a="1"/>
  <c r="N60" i="9" s="1"/>
  <c r="AA46" i="9" a="1"/>
  <c r="AA46" i="9" s="1"/>
  <c r="J108" i="9" a="1"/>
  <c r="J108" i="9" s="1"/>
  <c r="AA54" i="9" a="1"/>
  <c r="AA54" i="9" s="1"/>
  <c r="Q74" i="9" a="1"/>
  <c r="Q74" i="9" s="1"/>
  <c r="U99" i="9" a="1"/>
  <c r="U99" i="9" s="1"/>
  <c r="R22" i="9" a="1"/>
  <c r="R22" i="9" s="1"/>
  <c r="O54" i="9" a="1"/>
  <c r="O54" i="9" s="1"/>
  <c r="AF47" i="9" a="1"/>
  <c r="AF47" i="9" s="1"/>
  <c r="AI25" i="9" a="1"/>
  <c r="AI25" i="9" s="1"/>
  <c r="Q77" i="9" a="1"/>
  <c r="Q77" i="9" s="1"/>
  <c r="AF98" i="9" a="1"/>
  <c r="AF98" i="9" s="1"/>
  <c r="Z21" i="9" a="1"/>
  <c r="Z21" i="9" s="1"/>
  <c r="AJ81" i="9" a="1"/>
  <c r="AJ81" i="9" s="1"/>
  <c r="AC90" i="9" a="1"/>
  <c r="AC90" i="9" s="1"/>
  <c r="U10" i="9" a="1"/>
  <c r="U10" i="9" s="1"/>
  <c r="J37" i="9" a="1"/>
  <c r="J37" i="9" s="1"/>
  <c r="W47" i="9" a="1"/>
  <c r="W47" i="9" s="1"/>
  <c r="AJ103" i="9" a="1"/>
  <c r="AJ103" i="9" s="1"/>
  <c r="AD59" i="9" a="1"/>
  <c r="AD59" i="9" s="1"/>
  <c r="L80" i="9" a="1"/>
  <c r="L80" i="9" s="1"/>
  <c r="X96" i="9" a="1"/>
  <c r="X96" i="9" s="1"/>
  <c r="AI11" i="9" a="1"/>
  <c r="AI11" i="9" s="1"/>
  <c r="AA49" i="9" a="1"/>
  <c r="AA49" i="9" s="1"/>
  <c r="AG36" i="9" a="1"/>
  <c r="AG36" i="9" s="1"/>
  <c r="AD15" i="9" a="1"/>
  <c r="AD15" i="9" s="1"/>
  <c r="S95" i="9" a="1"/>
  <c r="S95" i="9" s="1"/>
  <c r="AG110" i="9" a="1"/>
  <c r="AG110" i="9" s="1"/>
  <c r="L65" i="9" a="1"/>
  <c r="L65" i="9" s="1"/>
  <c r="S104" i="9" a="1"/>
  <c r="S104" i="9" s="1"/>
  <c r="U11" i="9" a="1"/>
  <c r="U11" i="9" s="1"/>
  <c r="S75" i="9" a="1"/>
  <c r="S75" i="9" s="1"/>
  <c r="AC94" i="9" a="1"/>
  <c r="AC94" i="9" s="1"/>
  <c r="W16" i="9" a="1"/>
  <c r="W16" i="9" s="1"/>
  <c r="S42" i="9" a="1"/>
  <c r="S42" i="9" s="1"/>
  <c r="AF31" i="9" a="1"/>
  <c r="AF31" i="9" s="1"/>
  <c r="T20" i="9" a="1"/>
  <c r="T20" i="9" s="1"/>
  <c r="R79" i="9" a="1"/>
  <c r="R79" i="9" s="1"/>
  <c r="L94" i="9" a="1"/>
  <c r="L94" i="9" s="1"/>
  <c r="W15" i="9" a="1"/>
  <c r="W15" i="9" s="1"/>
  <c r="AA65" i="9" a="1"/>
  <c r="AA65" i="9" s="1"/>
  <c r="AA91" i="9" a="1"/>
  <c r="AA91" i="9" s="1"/>
  <c r="AC26" i="9" a="1"/>
  <c r="AC26" i="9" s="1"/>
  <c r="J43" i="9" a="1"/>
  <c r="J43" i="9" s="1"/>
  <c r="W31" i="9" a="1"/>
  <c r="W31" i="9" s="1"/>
  <c r="R103" i="9" a="1"/>
  <c r="R103" i="9" s="1"/>
  <c r="J22" i="9" a="1"/>
  <c r="J22" i="9" s="1"/>
  <c r="T81" i="9" a="1"/>
  <c r="T81" i="9" s="1"/>
  <c r="Z91" i="9" a="1"/>
  <c r="Z91" i="9" s="1"/>
  <c r="AJ27" i="9" a="1"/>
  <c r="AJ27" i="9" s="1"/>
  <c r="L31" i="9" a="1"/>
  <c r="L31" i="9" s="1"/>
  <c r="AD42" i="9" a="1"/>
  <c r="AD42" i="9" s="1"/>
  <c r="W71" i="9" a="1"/>
  <c r="W71" i="9" s="1"/>
  <c r="Z90" i="9" a="1"/>
  <c r="Z90" i="9" s="1"/>
  <c r="AD106" i="9" a="1"/>
  <c r="AD106" i="9" s="1"/>
  <c r="J54" i="9" a="1"/>
  <c r="J54" i="9" s="1"/>
  <c r="AG69" i="9" a="1"/>
  <c r="AG69" i="9" s="1"/>
  <c r="W102" i="9" a="1"/>
  <c r="W102" i="9" s="1"/>
  <c r="O48" i="9" a="1"/>
  <c r="O48" i="9" s="1"/>
  <c r="L25" i="9" a="1"/>
  <c r="L25" i="9" s="1"/>
  <c r="W43" i="9" a="1"/>
  <c r="W43" i="9" s="1"/>
  <c r="AD84" i="9" a="1"/>
  <c r="AD84" i="9" s="1"/>
  <c r="AD97" i="9" a="1"/>
  <c r="AD97" i="9" s="1"/>
  <c r="W14" i="9" a="1"/>
  <c r="W14" i="9" s="1"/>
  <c r="AJ71" i="9" a="1"/>
  <c r="AJ71" i="9" s="1"/>
  <c r="AD89" i="9" a="1"/>
  <c r="AD89" i="9" s="1"/>
  <c r="AD24" i="9" a="1"/>
  <c r="AD24" i="9" s="1"/>
  <c r="U44" i="9" a="1"/>
  <c r="U44" i="9" s="1"/>
  <c r="J33" i="9" a="1"/>
  <c r="J33" i="9" s="1"/>
  <c r="Z105" i="9" a="1"/>
  <c r="Z105" i="9" s="1"/>
  <c r="Q15" i="9" a="1"/>
  <c r="Q15" i="9" s="1"/>
  <c r="O71" i="9" a="1"/>
  <c r="O71" i="9" s="1"/>
  <c r="AA90" i="9" a="1"/>
  <c r="AA90" i="9" s="1"/>
  <c r="AA20" i="9" a="1"/>
  <c r="AA20" i="9" s="1"/>
  <c r="O38" i="9" a="1"/>
  <c r="O38" i="9" s="1"/>
  <c r="AG49" i="9" a="1"/>
  <c r="AG49" i="9" s="1"/>
  <c r="W24" i="9" a="1"/>
  <c r="W24" i="9" s="1"/>
  <c r="X78" i="9" a="1"/>
  <c r="X78" i="9" s="1"/>
  <c r="O93" i="9" a="1"/>
  <c r="O93" i="9" s="1"/>
  <c r="T16" i="9" a="1"/>
  <c r="T16" i="9" s="1"/>
  <c r="Q65" i="9" a="1"/>
  <c r="Q65" i="9" s="1"/>
  <c r="AG90" i="9" a="1"/>
  <c r="AG90" i="9" s="1"/>
  <c r="R27" i="9" a="1"/>
  <c r="R27" i="9" s="1"/>
  <c r="R42" i="9" a="1"/>
  <c r="R42" i="9" s="1"/>
  <c r="AG17" i="9" a="1"/>
  <c r="AG17" i="9" s="1"/>
  <c r="L64" i="9" a="1"/>
  <c r="L64" i="9" s="1"/>
  <c r="X79" i="9" a="1"/>
  <c r="X79" i="9" s="1"/>
  <c r="T107" i="9" a="1"/>
  <c r="T107" i="9" s="1"/>
  <c r="AG55" i="9" a="1"/>
  <c r="AG55" i="9" s="1"/>
  <c r="AF69" i="9" a="1"/>
  <c r="AF69" i="9" s="1"/>
  <c r="AF48" i="9" a="1"/>
  <c r="AF48" i="9" s="1"/>
  <c r="X37" i="9" a="1"/>
  <c r="X37" i="9" s="1"/>
  <c r="AC77" i="9" a="1"/>
  <c r="AC77" i="9" s="1"/>
  <c r="AD92" i="9" a="1"/>
  <c r="AD92" i="9" s="1"/>
  <c r="AF109" i="9" a="1"/>
  <c r="AF109" i="9" s="1"/>
  <c r="J64" i="9" a="1"/>
  <c r="J64" i="9" s="1"/>
  <c r="L83" i="9" a="1"/>
  <c r="L83" i="9" s="1"/>
  <c r="R53" i="9" a="1"/>
  <c r="R53" i="9" s="1"/>
  <c r="AF46" i="9" a="1"/>
  <c r="AF46" i="9" s="1"/>
  <c r="AJ26" i="9" a="1"/>
  <c r="AJ26" i="9" s="1"/>
  <c r="J95" i="9" a="1"/>
  <c r="J95" i="9" s="1"/>
  <c r="L109" i="9" a="1"/>
  <c r="L109" i="9" s="1"/>
  <c r="U63" i="9" a="1"/>
  <c r="U63" i="9" s="1"/>
  <c r="N84" i="9" a="1"/>
  <c r="N84" i="9" s="1"/>
  <c r="U104" i="9" a="1"/>
  <c r="U104" i="9" s="1"/>
  <c r="AC40" i="9" a="1"/>
  <c r="AC40" i="9" s="1"/>
  <c r="Z10" i="9" a="1"/>
  <c r="Z10" i="9" s="1"/>
  <c r="J36" i="9" a="1"/>
  <c r="J36" i="9" s="1"/>
  <c r="AF19" i="9" a="1"/>
  <c r="AF19" i="9" s="1"/>
  <c r="AD66" i="9" a="1"/>
  <c r="AD66" i="9" s="1"/>
  <c r="T89" i="9" a="1"/>
  <c r="T89" i="9" s="1"/>
  <c r="AD109" i="9" a="1"/>
  <c r="AD109" i="9" s="1"/>
  <c r="AG57" i="9" a="1"/>
  <c r="AG57" i="9" s="1"/>
  <c r="AF71" i="9" a="1"/>
  <c r="AF71" i="9" s="1"/>
  <c r="S49" i="9" a="1"/>
  <c r="S49" i="9" s="1"/>
  <c r="AG35" i="9" a="1"/>
  <c r="AG35" i="9" s="1"/>
  <c r="AA16" i="9" a="1"/>
  <c r="AA16" i="9" s="1"/>
  <c r="AC108" i="9" a="1"/>
  <c r="AC108" i="9" s="1"/>
  <c r="X56" i="9" a="1"/>
  <c r="X56" i="9" s="1"/>
  <c r="AD68" i="9" a="1"/>
  <c r="AD68" i="9" s="1"/>
  <c r="N102" i="9" a="1"/>
  <c r="N102" i="9" s="1"/>
  <c r="AI27" i="9" a="1"/>
  <c r="AI27" i="9" s="1"/>
  <c r="AA52" i="9" a="1"/>
  <c r="AA52" i="9" s="1"/>
  <c r="O42" i="9" a="1"/>
  <c r="O42" i="9" s="1"/>
  <c r="J10" i="9" a="1"/>
  <c r="J10" i="9" s="1"/>
  <c r="N78" i="9" a="1"/>
  <c r="N78" i="9" s="1"/>
  <c r="Z99" i="9" a="1"/>
  <c r="Z99" i="9" s="1"/>
  <c r="J21" i="9" a="1"/>
  <c r="J21" i="9" s="1"/>
  <c r="AD65" i="9" a="1"/>
  <c r="AD65" i="9" s="1"/>
  <c r="W91" i="9" a="1"/>
  <c r="W91" i="9" s="1"/>
  <c r="AC9" i="9" a="1"/>
  <c r="AC9" i="9" s="1"/>
  <c r="Z37" i="9" a="1"/>
  <c r="Z37" i="9" s="1"/>
  <c r="T48" i="9" a="1"/>
  <c r="T48" i="9" s="1"/>
  <c r="AJ104" i="9" a="1"/>
  <c r="AJ104" i="9" s="1"/>
  <c r="W21" i="9" a="1"/>
  <c r="W21" i="9" s="1"/>
  <c r="Q82" i="9" a="1"/>
  <c r="Q82" i="9" s="1"/>
  <c r="W92" i="9" a="1"/>
  <c r="W92" i="9" s="1"/>
  <c r="L27" i="9" a="1"/>
  <c r="L27" i="9" s="1"/>
  <c r="AJ31" i="9" a="1"/>
  <c r="AJ31" i="9" s="1"/>
  <c r="S43" i="9" a="1"/>
  <c r="S43" i="9" s="1"/>
  <c r="AI74" i="9" a="1"/>
  <c r="AI74" i="9" s="1"/>
  <c r="Z66" i="9" a="1"/>
  <c r="Z66" i="9" s="1"/>
  <c r="AC96" i="9" a="1"/>
  <c r="AC96" i="9" s="1"/>
  <c r="N10" i="9" a="1"/>
  <c r="N10" i="9" s="1"/>
  <c r="Q71" i="9" a="1"/>
  <c r="Q71" i="9" s="1"/>
  <c r="AC88" i="9" a="1"/>
  <c r="AC88" i="9" s="1"/>
  <c r="AJ20" i="9" a="1"/>
  <c r="AJ20" i="9" s="1"/>
  <c r="AA48" i="9" a="1"/>
  <c r="AA48" i="9" s="1"/>
  <c r="U37" i="9" a="1"/>
  <c r="U37" i="9" s="1"/>
  <c r="S11" i="9" a="1"/>
  <c r="S11" i="9" s="1"/>
  <c r="L70" i="9" a="1"/>
  <c r="L70" i="9" s="1"/>
  <c r="AG85" i="9" a="1"/>
  <c r="AG85" i="9" s="1"/>
  <c r="AA101" i="9" a="1"/>
  <c r="AA101" i="9" s="1"/>
  <c r="W23" i="9" a="1"/>
  <c r="W23" i="9" s="1"/>
  <c r="AD79" i="9" a="1"/>
  <c r="AD79" i="9" s="1"/>
  <c r="R90" i="9" a="1"/>
  <c r="R90" i="9" s="1"/>
  <c r="Z29" i="9" a="1"/>
  <c r="Z29" i="9" s="1"/>
  <c r="R51" i="9" a="1"/>
  <c r="R51" i="9" s="1"/>
  <c r="AJ40" i="9" a="1"/>
  <c r="AJ40" i="9" s="1"/>
  <c r="AD82" i="9" a="1"/>
  <c r="AD82" i="9" s="1"/>
  <c r="T66" i="9" a="1"/>
  <c r="T66" i="9" s="1"/>
  <c r="AC89" i="9" a="1"/>
  <c r="AC89" i="9" s="1"/>
  <c r="AC28" i="9" a="1"/>
  <c r="AC28" i="9" s="1"/>
  <c r="AI63" i="9" a="1"/>
  <c r="AI63" i="9" s="1"/>
  <c r="K86" i="9" a="1"/>
  <c r="K86" i="9" s="1"/>
  <c r="AC61" i="9" a="1"/>
  <c r="AC61" i="9" s="1"/>
  <c r="AG52" i="9" a="1"/>
  <c r="AG52" i="9" s="1"/>
  <c r="N21" i="9" a="1"/>
  <c r="N21" i="9" s="1"/>
  <c r="AA98" i="9" a="1"/>
  <c r="AA98" i="9" s="1"/>
  <c r="AI12" i="9" a="1"/>
  <c r="AI12" i="9" s="1"/>
  <c r="O68" i="9" a="1"/>
  <c r="O68" i="9" s="1"/>
  <c r="X87" i="9" a="1"/>
  <c r="X87" i="9" s="1"/>
  <c r="N108" i="9" a="1"/>
  <c r="N108" i="9" s="1"/>
  <c r="S40" i="9" a="1"/>
  <c r="S40" i="9" s="1"/>
  <c r="O10" i="9" a="1"/>
  <c r="O10" i="9" s="1"/>
  <c r="O59" i="9" a="1"/>
  <c r="O59" i="9" s="1"/>
  <c r="S86" i="9" a="1"/>
  <c r="S86" i="9" s="1"/>
  <c r="AC104" i="9" a="1"/>
  <c r="AC104" i="9" s="1"/>
  <c r="Q59" i="9" a="1"/>
  <c r="Q59" i="9" s="1"/>
  <c r="AJ74" i="9" a="1"/>
  <c r="AJ74" i="9" s="1"/>
  <c r="X98" i="9" a="1"/>
  <c r="X98" i="9" s="1"/>
  <c r="AA35" i="9" a="1"/>
  <c r="AA35" i="9" s="1"/>
  <c r="Q64" i="9" a="1"/>
  <c r="Q64" i="9" s="1"/>
  <c r="K31" i="9" a="1"/>
  <c r="K31" i="9" s="1"/>
  <c r="AA71" i="9" a="1"/>
  <c r="AA71" i="9" s="1"/>
  <c r="AD101" i="9" a="1"/>
  <c r="AD101" i="9" s="1"/>
  <c r="K27" i="9" a="1"/>
  <c r="K27" i="9" s="1"/>
  <c r="J76" i="9" a="1"/>
  <c r="J76" i="9" s="1"/>
  <c r="AD93" i="9" a="1"/>
  <c r="AD93" i="9" s="1"/>
  <c r="K16" i="9" a="1"/>
  <c r="K16" i="9" s="1"/>
  <c r="T31" i="9" a="1"/>
  <c r="T31" i="9" s="1"/>
  <c r="N42" i="9" a="1"/>
  <c r="N42" i="9" s="1"/>
  <c r="W97" i="9" a="1"/>
  <c r="W97" i="9" s="1"/>
  <c r="W27" i="9" a="1"/>
  <c r="W27" i="9" s="1"/>
  <c r="U75" i="9" a="1"/>
  <c r="U75" i="9" s="1"/>
  <c r="Q86" i="9" a="1"/>
  <c r="Q86" i="9" s="1"/>
  <c r="U110" i="9" a="1"/>
  <c r="U110" i="9" s="1"/>
  <c r="AA47" i="9" a="1"/>
  <c r="AA47" i="9" s="1"/>
  <c r="AF36" i="9" a="1"/>
  <c r="AF36" i="9" s="1"/>
  <c r="U66" i="9" a="1"/>
  <c r="U66" i="9" s="1"/>
  <c r="W65" i="9" a="1"/>
  <c r="W65" i="9" s="1"/>
  <c r="AF88" i="9" a="1"/>
  <c r="AF88" i="9" s="1"/>
  <c r="R29" i="9" a="1"/>
  <c r="R29" i="9" s="1"/>
  <c r="S63" i="9" a="1"/>
  <c r="S63" i="9" s="1"/>
  <c r="AJ84" i="9" a="1"/>
  <c r="AJ84" i="9" s="1"/>
  <c r="K64" i="9" a="1"/>
  <c r="K64" i="9" s="1"/>
  <c r="X51" i="9" a="1"/>
  <c r="X51" i="9" s="1"/>
  <c r="L22" i="9" a="1"/>
  <c r="L22" i="9" s="1"/>
  <c r="W30" i="9" a="1"/>
  <c r="W30" i="9" s="1"/>
  <c r="N62" i="9" a="1"/>
  <c r="N62" i="9" s="1"/>
  <c r="W66" i="9" a="1"/>
  <c r="W66" i="9" s="1"/>
  <c r="R101" i="9" a="1"/>
  <c r="R101" i="9" s="1"/>
  <c r="U12" i="9" a="1"/>
  <c r="U12" i="9" s="1"/>
  <c r="AF81" i="9" a="1"/>
  <c r="AF81" i="9" s="1"/>
  <c r="L36" i="9" a="1"/>
  <c r="L36" i="9" s="1"/>
  <c r="U15" i="9" a="1"/>
  <c r="U15" i="9" s="1"/>
  <c r="R21" i="9" a="1"/>
  <c r="R21" i="9" s="1"/>
  <c r="U82" i="9" a="1"/>
  <c r="U82" i="9" s="1"/>
  <c r="Z87" i="9" a="1"/>
  <c r="Z87" i="9" s="1"/>
  <c r="AA111" i="9" a="1"/>
  <c r="AA111" i="9" s="1"/>
  <c r="L56" i="9" a="1"/>
  <c r="L56" i="9" s="1"/>
  <c r="S70" i="9" a="1"/>
  <c r="S70" i="9" s="1"/>
  <c r="L46" i="9" a="1"/>
  <c r="L46" i="9" s="1"/>
  <c r="L34" i="9" a="1"/>
  <c r="L34" i="9" s="1"/>
  <c r="R18" i="9" a="1"/>
  <c r="R18" i="9" s="1"/>
  <c r="O92" i="9" a="1"/>
  <c r="O92" i="9" s="1"/>
  <c r="Q109" i="9" a="1"/>
  <c r="Q109" i="9" s="1"/>
  <c r="W55" i="9" a="1"/>
  <c r="W55" i="9" s="1"/>
  <c r="S71" i="9" a="1"/>
  <c r="S71" i="9" s="1"/>
  <c r="O96" i="9" a="1"/>
  <c r="O96" i="9" s="1"/>
  <c r="AJ49" i="9" a="1"/>
  <c r="AJ49" i="9" s="1"/>
  <c r="Z23" i="9" a="1"/>
  <c r="Z23" i="9" s="1"/>
  <c r="Q45" i="9" a="1"/>
  <c r="Q45" i="9" s="1"/>
  <c r="AD10" i="9" a="1"/>
  <c r="AD10" i="9" s="1"/>
  <c r="AJ70" i="9" a="1"/>
  <c r="AJ70" i="9" s="1"/>
  <c r="W83" i="9" a="1"/>
  <c r="W83" i="9" s="1"/>
  <c r="AI111" i="9" a="1"/>
  <c r="AI111" i="9" s="1"/>
  <c r="AF53" i="9" a="1"/>
  <c r="AF53" i="9" s="1"/>
  <c r="K77" i="9" a="1"/>
  <c r="K77" i="9" s="1"/>
  <c r="K34" i="9" a="1"/>
  <c r="K34" i="9" s="1"/>
  <c r="AA44" i="9" a="1"/>
  <c r="AA44" i="9" s="1"/>
  <c r="X29" i="9" a="1"/>
  <c r="X29" i="9" s="1"/>
  <c r="AF107" i="9" a="1"/>
  <c r="AF107" i="9" s="1"/>
  <c r="W13" i="9" a="1"/>
  <c r="W13" i="9" s="1"/>
  <c r="AJ72" i="9" a="1"/>
  <c r="AJ72" i="9" s="1"/>
  <c r="R92" i="9" a="1"/>
  <c r="R92" i="9" s="1"/>
  <c r="N19" i="9" a="1"/>
  <c r="N19" i="9" s="1"/>
  <c r="AJ39" i="9" a="1"/>
  <c r="AJ39" i="9" s="1"/>
  <c r="S51" i="9" a="1"/>
  <c r="S51" i="9" s="1"/>
  <c r="J23" i="9" a="1"/>
  <c r="J23" i="9" s="1"/>
  <c r="AG82" i="9" a="1"/>
  <c r="AG82" i="9" s="1"/>
  <c r="Q95" i="9" a="1"/>
  <c r="Q95" i="9" s="1"/>
  <c r="AD11" i="9" a="1"/>
  <c r="AD11" i="9" s="1"/>
  <c r="W69" i="9" a="1"/>
  <c r="W69" i="9" s="1"/>
  <c r="U87" i="9" a="1"/>
  <c r="U87" i="9" s="1"/>
  <c r="AC22" i="9" a="1"/>
  <c r="AC22" i="9" s="1"/>
  <c r="N47" i="9" a="1"/>
  <c r="N47" i="9" s="1"/>
  <c r="AD35" i="9" a="1"/>
  <c r="AD35" i="9" s="1"/>
  <c r="S99" i="9" a="1"/>
  <c r="S99" i="9" s="1"/>
  <c r="S12" i="9" a="1"/>
  <c r="S12" i="9" s="1"/>
  <c r="L69" i="9" a="1"/>
  <c r="L69" i="9" s="1"/>
  <c r="R88" i="9" a="1"/>
  <c r="R88" i="9" s="1"/>
  <c r="K109" i="9" a="1"/>
  <c r="K109" i="9" s="1"/>
  <c r="AI40" i="9" a="1"/>
  <c r="AI40" i="9" s="1"/>
  <c r="R9" i="9" a="1"/>
  <c r="R9" i="9" s="1"/>
  <c r="AI54" i="9" a="1"/>
  <c r="AI54" i="9" s="1"/>
  <c r="J72" i="9" a="1"/>
  <c r="J72" i="9" s="1"/>
  <c r="AJ86" i="9" a="1"/>
  <c r="AJ86" i="9" s="1"/>
  <c r="AI22" i="9" a="1"/>
  <c r="AI22" i="9" s="1"/>
  <c r="N64" i="9" a="1"/>
  <c r="N64" i="9" s="1"/>
  <c r="AA84" i="9" a="1"/>
  <c r="AA84" i="9" s="1"/>
  <c r="AI66" i="9" a="1"/>
  <c r="AI66" i="9" s="1"/>
  <c r="Z35" i="9" a="1"/>
  <c r="Z35" i="9" s="1"/>
  <c r="X15" i="9" a="1"/>
  <c r="X15" i="9" s="1"/>
  <c r="W112" i="9" a="1"/>
  <c r="W112" i="9" s="1"/>
  <c r="Q61" i="9" a="1"/>
  <c r="Q61" i="9" s="1"/>
  <c r="AC65" i="9" a="1"/>
  <c r="AC65" i="9" s="1"/>
  <c r="X100" i="9" a="1"/>
  <c r="X100" i="9" s="1"/>
  <c r="O13" i="9" a="1"/>
  <c r="O13" i="9" s="1"/>
  <c r="Q78" i="9" a="1"/>
  <c r="Q78" i="9" s="1"/>
  <c r="O35" i="9" a="1"/>
  <c r="O35" i="9" s="1"/>
  <c r="J16" i="9" a="1"/>
  <c r="J16" i="9" s="1"/>
  <c r="Z83" i="9" a="1"/>
  <c r="Z83" i="9" s="1"/>
  <c r="AF99" i="9" a="1"/>
  <c r="AF99" i="9" s="1"/>
  <c r="R12" i="9" a="1"/>
  <c r="R12" i="9" s="1"/>
  <c r="S74" i="9" a="1"/>
  <c r="S74" i="9" s="1"/>
  <c r="J92" i="9" a="1"/>
  <c r="J92" i="9" s="1"/>
  <c r="T22" i="9" a="1"/>
  <c r="T22" i="9" s="1"/>
  <c r="AG48" i="9" a="1"/>
  <c r="AG48" i="9" s="1"/>
  <c r="T35" i="9" a="1"/>
  <c r="T35" i="9" s="1"/>
  <c r="AC112" i="9" a="1"/>
  <c r="AC112" i="9" s="1"/>
  <c r="X62" i="9" a="1"/>
  <c r="X62" i="9" s="1"/>
  <c r="W72" i="9" a="1"/>
  <c r="W72" i="9" s="1"/>
  <c r="AF97" i="9" a="1"/>
  <c r="AF97" i="9" s="1"/>
  <c r="AI23" i="9" a="1"/>
  <c r="AI23" i="9" s="1"/>
  <c r="O55" i="9" a="1"/>
  <c r="O55" i="9" s="1"/>
  <c r="S46" i="9" a="1"/>
  <c r="S46" i="9" s="1"/>
  <c r="AC27" i="9" a="1"/>
  <c r="AC27" i="9" s="1"/>
  <c r="AD96" i="9" a="1"/>
  <c r="AD96" i="9" s="1"/>
  <c r="X23" i="9" a="1"/>
  <c r="X23" i="9" s="1"/>
  <c r="AD63" i="9" a="1"/>
  <c r="AD63" i="9" s="1"/>
  <c r="AC85" i="9" a="1"/>
  <c r="AC85" i="9" s="1"/>
  <c r="K105" i="9" a="1"/>
  <c r="K105" i="9" s="1"/>
  <c r="AJ51" i="9" a="1"/>
  <c r="AJ51" i="9" s="1"/>
  <c r="AG20" i="9" a="1"/>
  <c r="AG20" i="9" s="1"/>
  <c r="K50" i="9" a="1"/>
  <c r="K50" i="9" s="1"/>
  <c r="AJ91" i="9" a="1"/>
  <c r="AJ91" i="9" s="1"/>
  <c r="AF104" i="9" a="1"/>
  <c r="AF104" i="9" s="1"/>
  <c r="Z55" i="9" a="1"/>
  <c r="Z55" i="9" s="1"/>
  <c r="R80" i="9" a="1"/>
  <c r="R80" i="9" s="1"/>
  <c r="T95" i="9" a="1"/>
  <c r="T95" i="9" s="1"/>
  <c r="L41" i="9" a="1"/>
  <c r="L41" i="9" s="1"/>
  <c r="R69" i="9" a="1"/>
  <c r="R69" i="9" s="1"/>
  <c r="T36" i="9" a="1"/>
  <c r="T36" i="9" s="1"/>
  <c r="W108" i="9" a="1"/>
  <c r="W108" i="9" s="1"/>
  <c r="AF61" i="9" a="1"/>
  <c r="AF61" i="9" s="1"/>
  <c r="AC79" i="9" a="1"/>
  <c r="AC79" i="9" s="1"/>
  <c r="T96" i="9" a="1"/>
  <c r="T96" i="9" s="1"/>
  <c r="S17" i="9" a="1"/>
  <c r="S17" i="9" s="1"/>
  <c r="W62" i="9" a="1"/>
  <c r="W62" i="9" s="1"/>
  <c r="S31" i="9" a="1"/>
  <c r="S31" i="9" s="1"/>
  <c r="N20" i="9" a="1"/>
  <c r="N20" i="9" s="1"/>
  <c r="J83" i="9" a="1"/>
  <c r="J83" i="9" s="1"/>
  <c r="K99" i="9" a="1"/>
  <c r="K99" i="9" s="1"/>
  <c r="J13" i="9" a="1"/>
  <c r="J13" i="9" s="1"/>
  <c r="AD73" i="9" a="1"/>
  <c r="AD73" i="9" s="1"/>
  <c r="U91" i="9" a="1"/>
  <c r="U91" i="9" s="1"/>
  <c r="Q23" i="9" a="1"/>
  <c r="Q23" i="9" s="1"/>
  <c r="L47" i="9" a="1"/>
  <c r="L47" i="9" s="1"/>
  <c r="W34" i="9" a="1"/>
  <c r="W34" i="9" s="1"/>
  <c r="O14" i="9" a="1"/>
  <c r="O14" i="9" s="1"/>
  <c r="Q72" i="9" a="1"/>
  <c r="Q72" i="9" s="1"/>
  <c r="AF86" i="9" a="1"/>
  <c r="AF86" i="9" s="1"/>
  <c r="O109" i="9" a="1"/>
  <c r="O109" i="9" s="1"/>
  <c r="AJ55" i="9" a="1"/>
  <c r="AJ55" i="9" s="1"/>
  <c r="AD77" i="9" a="1"/>
  <c r="AD77" i="9" s="1"/>
  <c r="W52" i="9" a="1"/>
  <c r="W52" i="9" s="1"/>
  <c r="O41" i="9" a="1"/>
  <c r="O41" i="9" s="1"/>
  <c r="J11" i="9" a="1"/>
  <c r="J11" i="9" s="1"/>
  <c r="T68" i="9" a="1"/>
  <c r="T68" i="9" s="1"/>
  <c r="O98" i="9" a="1"/>
  <c r="O98" i="9" s="1"/>
  <c r="N30" i="9" a="1"/>
  <c r="N30" i="9" s="1"/>
  <c r="AI72" i="9" a="1"/>
  <c r="AI72" i="9" s="1"/>
  <c r="T90" i="9" a="1"/>
  <c r="T90" i="9" s="1"/>
  <c r="O19" i="9" a="1"/>
  <c r="O19" i="9" s="1"/>
  <c r="R50" i="9" a="1"/>
  <c r="R50" i="9" s="1"/>
  <c r="AC38" i="9" a="1"/>
  <c r="AC38" i="9" s="1"/>
  <c r="R102" i="9" a="1"/>
  <c r="R102" i="9" s="1"/>
  <c r="L9" i="9" a="1"/>
  <c r="L9" i="9" s="1"/>
  <c r="S72" i="9" a="1"/>
  <c r="S72" i="9" s="1"/>
  <c r="T91" i="9" a="1"/>
  <c r="T91" i="9" s="1"/>
  <c r="N112" i="9" a="1"/>
  <c r="N112" i="9" s="1"/>
  <c r="O44" i="9" a="1"/>
  <c r="O44" i="9" s="1"/>
  <c r="AG33" i="9" a="1"/>
  <c r="AG33" i="9" s="1"/>
  <c r="AC64" i="9" a="1"/>
  <c r="AC64" i="9" s="1"/>
  <c r="Q75" i="9" a="1"/>
  <c r="Q75" i="9" s="1"/>
  <c r="K90" i="9" a="1"/>
  <c r="K90" i="9" s="1"/>
  <c r="AD19" i="9" a="1"/>
  <c r="AD19" i="9" s="1"/>
  <c r="J62" i="9" a="1"/>
  <c r="J62" i="9" s="1"/>
  <c r="R87" i="9" a="1"/>
  <c r="R87" i="9" s="1"/>
  <c r="AC30" i="9" a="1"/>
  <c r="AC30" i="9" s="1"/>
  <c r="N39" i="9" a="1"/>
  <c r="N39" i="9" s="1"/>
  <c r="Q12" i="9" a="1"/>
  <c r="Q12" i="9" s="1"/>
  <c r="AF20" i="9" a="1"/>
  <c r="AF20" i="9" s="1"/>
  <c r="AF60" i="9" a="1"/>
  <c r="AF60" i="9" s="1"/>
  <c r="Q76" i="9" a="1"/>
  <c r="Q76" i="9" s="1"/>
  <c r="AF102" i="9" a="1"/>
  <c r="AF102" i="9" s="1"/>
  <c r="U51" i="9" a="1"/>
  <c r="U51" i="9" s="1"/>
  <c r="AG66" i="9" a="1"/>
  <c r="AG66" i="9" s="1"/>
  <c r="AG45" i="9" a="1"/>
  <c r="AG45" i="9" s="1"/>
  <c r="Q34" i="9" a="1"/>
  <c r="Q34" i="9" s="1"/>
  <c r="AC93" i="9" a="1"/>
  <c r="AC93" i="9" s="1"/>
  <c r="J104" i="9" a="1"/>
  <c r="J104" i="9" s="1"/>
  <c r="T58" i="9" a="1"/>
  <c r="T58" i="9" s="1"/>
  <c r="L74" i="9" a="1"/>
  <c r="L74" i="9" s="1"/>
  <c r="AA97" i="9" a="1"/>
  <c r="AA97" i="9" s="1"/>
  <c r="AG34" i="9" a="1"/>
  <c r="AG34" i="9" s="1"/>
  <c r="J61" i="9" a="1"/>
  <c r="J61" i="9" s="1"/>
  <c r="Q52" i="9" a="1"/>
  <c r="Q52" i="9" s="1"/>
  <c r="Q107" i="9" a="1"/>
  <c r="Q107" i="9" s="1"/>
  <c r="K54" i="9" a="1"/>
  <c r="K54" i="9" s="1"/>
  <c r="T73" i="9" a="1"/>
  <c r="T73" i="9" s="1"/>
  <c r="AC98" i="9" a="1"/>
  <c r="AC98" i="9" s="1"/>
  <c r="O23" i="9" a="1"/>
  <c r="O23" i="9" s="1"/>
  <c r="R58" i="9" a="1"/>
  <c r="R58" i="9" s="1"/>
  <c r="AI46" i="9" a="1"/>
  <c r="AI46" i="9" s="1"/>
  <c r="AF26" i="9" a="1"/>
  <c r="AF26" i="9" s="1"/>
  <c r="K83" i="9" a="1"/>
  <c r="K83" i="9" s="1"/>
  <c r="T97" i="9" a="1"/>
  <c r="T97" i="9" s="1"/>
  <c r="J31" i="9" a="1"/>
  <c r="J31" i="9" s="1"/>
  <c r="U42" i="9" a="1"/>
  <c r="U42" i="9" s="1"/>
  <c r="T80" i="9" a="1"/>
  <c r="T80" i="9" s="1"/>
  <c r="N48" i="9" a="1"/>
  <c r="N48" i="9" s="1"/>
  <c r="AG99" i="9" a="1"/>
  <c r="AG99" i="9" s="1"/>
  <c r="Q29" i="9" a="1"/>
  <c r="Q29" i="9" s="1"/>
  <c r="AF51" i="9" a="1"/>
  <c r="AF51" i="9" s="1"/>
  <c r="T74" i="9" a="1"/>
  <c r="T74" i="9" s="1"/>
  <c r="Q26" i="9" a="1"/>
  <c r="Q26" i="9" s="1"/>
  <c r="Z36" i="9" a="1"/>
  <c r="Z36" i="9" s="1"/>
  <c r="AI52" i="9" a="1"/>
  <c r="AI52" i="9" s="1"/>
  <c r="Q48" i="9" a="1"/>
  <c r="Q48" i="9" s="1"/>
  <c r="U85" i="9" a="1"/>
  <c r="U85" i="9" s="1"/>
  <c r="R49" i="9" a="1"/>
  <c r="R49" i="9" s="1"/>
  <c r="X17" i="9" a="1"/>
  <c r="X17" i="9" s="1"/>
  <c r="AJ34" i="9" a="1"/>
  <c r="AJ34" i="9" s="1"/>
  <c r="AG47" i="9" a="1"/>
  <c r="AG47" i="9" s="1"/>
  <c r="K71" i="9" a="1"/>
  <c r="K71" i="9" s="1"/>
  <c r="AJ56" i="9" a="1"/>
  <c r="AJ56" i="9" s="1"/>
  <c r="AC110" i="9" a="1"/>
  <c r="AC110" i="9" s="1"/>
  <c r="AJ62" i="9" a="1"/>
  <c r="AJ62" i="9" s="1"/>
  <c r="S45" i="9" a="1"/>
  <c r="S45" i="9" s="1"/>
  <c r="O108" i="9" a="1"/>
  <c r="O108" i="9" s="1"/>
  <c r="AI21" i="9" a="1"/>
  <c r="AI21" i="9" s="1"/>
  <c r="AC51" i="9" a="1"/>
  <c r="AC51" i="9" s="1"/>
  <c r="T61" i="9" a="1"/>
  <c r="T61" i="9" s="1"/>
  <c r="AF18" i="9" a="1"/>
  <c r="AF18" i="9" s="1"/>
  <c r="W103" i="9" a="1"/>
  <c r="W103" i="9" s="1"/>
  <c r="S20" i="9" a="1"/>
  <c r="S20" i="9" s="1"/>
  <c r="J41" i="9" a="1"/>
  <c r="J41" i="9" s="1"/>
  <c r="AJ79" i="9" a="1"/>
  <c r="AJ79" i="9" s="1"/>
  <c r="AJ19" i="9" a="1"/>
  <c r="AJ19" i="9" s="1"/>
  <c r="AI43" i="9" a="1"/>
  <c r="AI43" i="9" s="1"/>
  <c r="S76" i="9" a="1"/>
  <c r="S76" i="9" s="1"/>
  <c r="AA73" i="9" a="1"/>
  <c r="AA73" i="9" s="1"/>
  <c r="U78" i="9" a="1"/>
  <c r="U78" i="9" s="1"/>
  <c r="J112" i="9" a="1"/>
  <c r="J112" i="9" s="1"/>
  <c r="J63" i="9" a="1"/>
  <c r="J63" i="9" s="1"/>
  <c r="W53" i="9" a="1"/>
  <c r="W53" i="9" s="1"/>
  <c r="AI41" i="9" a="1"/>
  <c r="AI41" i="9" s="1"/>
  <c r="Q27" i="9" a="1"/>
  <c r="Q27" i="9" s="1"/>
  <c r="Q87" i="9" a="1"/>
  <c r="Q87" i="9" s="1"/>
  <c r="U69" i="9" a="1"/>
  <c r="U69" i="9" s="1"/>
  <c r="L53" i="9" a="1"/>
  <c r="L53" i="9" s="1"/>
  <c r="R89" i="9" a="1"/>
  <c r="R89" i="9" s="1"/>
  <c r="R54" i="9" a="1"/>
  <c r="R54" i="9" s="1"/>
  <c r="L26" i="9" a="1"/>
  <c r="L26" i="9" s="1"/>
  <c r="AC47" i="9" a="1"/>
  <c r="AC47" i="9" s="1"/>
  <c r="AC56" i="9" a="1"/>
  <c r="AC56" i="9" s="1"/>
  <c r="AJ83" i="9" a="1"/>
  <c r="AJ83" i="9" s="1"/>
  <c r="Z64" i="9" a="1"/>
  <c r="Z64" i="9" s="1"/>
  <c r="X20" i="9" a="1"/>
  <c r="X20" i="9" s="1"/>
  <c r="W78" i="9" a="1"/>
  <c r="W78" i="9" s="1"/>
  <c r="K52" i="9" a="1"/>
  <c r="K52" i="9" s="1"/>
  <c r="Z45" i="9" a="1"/>
  <c r="Z45" i="9" s="1"/>
  <c r="J86" i="9" a="1"/>
  <c r="J86" i="9" s="1"/>
  <c r="L48" i="9" a="1"/>
  <c r="L48" i="9" s="1"/>
  <c r="Q91" i="9" a="1"/>
  <c r="Q91" i="9" s="1"/>
  <c r="N89" i="9" a="1"/>
  <c r="N89" i="9" s="1"/>
  <c r="K100" i="9" a="1"/>
  <c r="K100" i="9" s="1"/>
  <c r="O21" i="9" a="1"/>
  <c r="O21" i="9" s="1"/>
  <c r="W37" i="9" a="1"/>
  <c r="W37" i="9" s="1"/>
  <c r="X30" i="9" a="1"/>
  <c r="X30" i="9" s="1"/>
  <c r="T42" i="9" a="1"/>
  <c r="T42" i="9" s="1"/>
  <c r="L106" i="9" a="1"/>
  <c r="L106" i="9" s="1"/>
  <c r="AD85" i="9" a="1"/>
  <c r="AD85" i="9" s="1"/>
  <c r="J73" i="9" a="1"/>
  <c r="J73" i="9" s="1"/>
  <c r="Q24" i="9" a="1"/>
  <c r="Q24" i="9" s="1"/>
  <c r="W81" i="9" a="1"/>
  <c r="W81" i="9" s="1"/>
  <c r="T43" i="9" a="1"/>
  <c r="T43" i="9" s="1"/>
  <c r="AA56" i="9" a="1"/>
  <c r="AA56" i="9" s="1"/>
  <c r="K14" i="9" a="1"/>
  <c r="K14" i="9" s="1"/>
  <c r="J97" i="9" a="1"/>
  <c r="J97" i="9" s="1"/>
  <c r="R82" i="9" a="1"/>
  <c r="R82" i="9" s="1"/>
  <c r="U61" i="9" a="1"/>
  <c r="U61" i="9" s="1"/>
  <c r="AC99" i="9" a="1"/>
  <c r="AC99" i="9" s="1"/>
  <c r="U16" i="9" a="1"/>
  <c r="U16" i="9" s="1"/>
  <c r="S33" i="9" a="1"/>
  <c r="S33" i="9" s="1"/>
  <c r="S22" i="9" a="1"/>
  <c r="S22" i="9" s="1"/>
  <c r="AJ108" i="9" a="1"/>
  <c r="AJ108" i="9" s="1"/>
  <c r="AA58" i="9" a="1"/>
  <c r="AA58" i="9" s="1"/>
  <c r="R24" i="9" a="1"/>
  <c r="R24" i="9" s="1"/>
  <c r="L101" i="9" a="1"/>
  <c r="L101" i="9" s="1"/>
  <c r="Q13" i="9" a="1"/>
  <c r="Q13" i="9" s="1"/>
  <c r="AI38" i="9" a="1"/>
  <c r="AI38" i="9" s="1"/>
  <c r="AC55" i="9" a="1"/>
  <c r="AC55" i="9" s="1"/>
  <c r="T9" i="9" a="1"/>
  <c r="T9" i="9" s="1"/>
  <c r="Z98" i="9" a="1"/>
  <c r="Z98" i="9" s="1"/>
  <c r="N110" i="9" a="1"/>
  <c r="N110" i="9" s="1"/>
  <c r="Z28" i="9" a="1"/>
  <c r="Z28" i="9" s="1"/>
  <c r="AA60" i="9" a="1"/>
  <c r="AA60" i="9" s="1"/>
  <c r="AA57" i="9" a="1"/>
  <c r="AA57" i="9" s="1"/>
  <c r="R17" i="9" a="1"/>
  <c r="R17" i="9" s="1"/>
  <c r="AI32" i="9" a="1"/>
  <c r="AI32" i="9" s="1"/>
  <c r="AJ107" i="9" a="1"/>
  <c r="AJ107" i="9" s="1"/>
  <c r="T88" i="9" a="1"/>
  <c r="T88" i="9" s="1"/>
  <c r="S93" i="9" a="1"/>
  <c r="S93" i="9" s="1"/>
  <c r="AI94" i="9" a="1"/>
  <c r="AI94" i="9" s="1"/>
  <c r="AN61" i="9" a="1"/>
  <c r="AN61" i="9" s="1"/>
  <c r="AM20" i="9" a="1"/>
  <c r="AM20" i="9" s="1"/>
  <c r="AN84" i="9" a="1"/>
  <c r="AN84" i="9" s="1"/>
  <c r="AM77" i="9" a="1"/>
  <c r="AM77" i="9" s="1"/>
  <c r="AN27" i="9" a="1"/>
  <c r="AN27" i="9" s="1"/>
  <c r="AN21" i="9" a="1"/>
  <c r="AN21" i="9" s="1"/>
  <c r="AN83" i="9" a="1"/>
  <c r="AN83" i="9" s="1"/>
  <c r="AN102" i="9" a="1"/>
  <c r="AN102" i="9" s="1"/>
  <c r="AM61" i="9" a="1"/>
  <c r="AM61" i="9" s="1"/>
  <c r="AM72" i="9" a="1"/>
  <c r="AM72" i="9" s="1"/>
  <c r="AN30" i="9" a="1"/>
  <c r="AN30" i="9" s="1"/>
  <c r="AM80" i="9" a="1"/>
  <c r="AM80" i="9" s="1"/>
  <c r="AM74" i="9" a="1"/>
  <c r="AM74" i="9" s="1"/>
  <c r="AN69" i="9" a="1"/>
  <c r="AN69" i="9" s="1"/>
  <c r="AN101" i="9" a="1"/>
  <c r="AN101" i="9" s="1"/>
  <c r="AM46" i="9" a="1"/>
  <c r="AM46" i="9" s="1"/>
  <c r="AN49" i="9" a="1"/>
  <c r="AN49" i="9" s="1"/>
  <c r="AN51" i="9" a="1"/>
  <c r="AN51" i="9" s="1"/>
  <c r="AM106" i="9" a="1"/>
  <c r="AM106" i="9" s="1"/>
  <c r="AN11" i="9" a="1"/>
  <c r="AN11" i="9" s="1"/>
  <c r="AM9" i="9" a="1"/>
  <c r="AM9" i="9" s="1"/>
  <c r="AM104" i="9" a="1"/>
  <c r="AM104" i="9" s="1"/>
  <c r="AM71" i="9" a="1"/>
  <c r="AM71" i="9" s="1"/>
  <c r="AM30" i="9" a="1"/>
  <c r="AM30" i="9" s="1"/>
  <c r="AM47" i="9" a="1"/>
  <c r="AM47" i="9" s="1"/>
  <c r="AM100" i="9" a="1"/>
  <c r="AM100" i="9" s="1"/>
  <c r="AM34" i="9" a="1"/>
  <c r="AM34" i="9" s="1"/>
  <c r="AM16" i="9" a="1"/>
  <c r="AM16" i="9" s="1"/>
  <c r="AN31" i="9" a="1"/>
  <c r="AN31" i="9" s="1"/>
  <c r="AM18" i="9" a="1"/>
  <c r="AM18" i="9" s="1"/>
  <c r="AN103" i="9" a="1"/>
  <c r="AN103" i="9" s="1"/>
  <c r="AN10" i="9" a="1"/>
  <c r="AN10" i="9" s="1"/>
  <c r="AN37" i="9" a="1"/>
  <c r="AN37" i="9" s="1"/>
  <c r="AM32" i="9" a="1"/>
  <c r="AM32" i="9" s="1"/>
  <c r="AM35" i="9" a="1"/>
  <c r="AM35" i="9" s="1"/>
  <c r="AM56" i="9" a="1"/>
  <c r="AM56" i="9" s="1"/>
  <c r="AM57" i="9" a="1"/>
  <c r="AM57" i="9" s="1"/>
  <c r="AM84" i="9" a="1"/>
  <c r="AM84" i="9" s="1"/>
  <c r="AN52" i="9" a="1"/>
  <c r="AN52" i="9" s="1"/>
  <c r="AN29" i="9" a="1"/>
  <c r="AN29" i="9" s="1"/>
  <c r="AM78" i="9" a="1"/>
  <c r="AM78" i="9" s="1"/>
  <c r="AN53" i="9" a="1"/>
  <c r="AN53" i="9" s="1"/>
  <c r="AM31" i="9" a="1"/>
  <c r="AM31" i="9" s="1"/>
  <c r="AN78" i="9" a="1"/>
  <c r="AN78" i="9" s="1"/>
  <c r="AN63" i="9" a="1"/>
  <c r="AN63" i="9" s="1"/>
  <c r="AM51" i="9" a="1"/>
  <c r="AM51" i="9" s="1"/>
  <c r="AN20" i="9" a="1"/>
  <c r="AN20" i="9" s="1"/>
  <c r="AM17" i="9" a="1"/>
  <c r="AM17" i="9" s="1"/>
  <c r="EF9" i="9" a="1"/>
  <c r="EF9" i="9" s="1"/>
  <c r="EG73" i="9" a="1"/>
  <c r="EG73" i="9" s="1"/>
  <c r="EF93" i="9" a="1"/>
  <c r="EF93" i="9" s="1"/>
  <c r="EG25" i="9" a="1"/>
  <c r="EG25" i="9" s="1"/>
  <c r="EG40" i="9" a="1"/>
  <c r="EG40" i="9" s="1"/>
  <c r="EG58" i="9" a="1"/>
  <c r="EG58" i="9" s="1"/>
  <c r="EG45" i="9" a="1"/>
  <c r="EG45" i="9" s="1"/>
  <c r="EF70" i="9" a="1"/>
  <c r="EF70" i="9" s="1"/>
  <c r="CI108" i="9" a="1"/>
  <c r="CI108" i="9" s="1"/>
  <c r="EG50" i="9" a="1"/>
  <c r="EG50" i="9" s="1"/>
  <c r="CI51" i="9" a="1"/>
  <c r="CI51" i="9" s="1"/>
  <c r="EG20" i="9" a="1"/>
  <c r="EG20" i="9" s="1"/>
  <c r="CJ44" i="9" a="1"/>
  <c r="CJ44" i="9" s="1"/>
  <c r="EF60" i="9" a="1"/>
  <c r="EF60" i="9" s="1"/>
  <c r="EF95" i="9" a="1"/>
  <c r="EF95" i="9" s="1"/>
  <c r="CI38" i="9" a="1"/>
  <c r="CI38" i="9" s="1"/>
  <c r="CJ19" i="9" a="1"/>
  <c r="CJ19" i="9" s="1"/>
  <c r="CJ29" i="9" a="1"/>
  <c r="CJ29" i="9" s="1"/>
  <c r="CJ76" i="9" a="1"/>
  <c r="CJ76" i="9" s="1"/>
  <c r="EG48" i="9" a="1"/>
  <c r="EG48" i="9" s="1"/>
  <c r="CI67" i="9" a="1"/>
  <c r="CI67" i="9" s="1"/>
  <c r="CJ101" i="9" a="1"/>
  <c r="CJ101" i="9" s="1"/>
  <c r="EG89" i="9" a="1"/>
  <c r="EG89" i="9" s="1"/>
  <c r="CJ30" i="9" a="1"/>
  <c r="CJ30" i="9" s="1"/>
  <c r="CJ22" i="9" a="1"/>
  <c r="CJ22" i="9" s="1"/>
  <c r="EF57" i="9" a="1"/>
  <c r="EF57" i="9" s="1"/>
  <c r="CJ52" i="9" a="1"/>
  <c r="CJ52" i="9" s="1"/>
  <c r="CI96" i="9" a="1"/>
  <c r="CI96" i="9" s="1"/>
  <c r="CI95" i="9" a="1"/>
  <c r="CI95" i="9" s="1"/>
  <c r="EG60" i="9" a="1"/>
  <c r="EG60" i="9" s="1"/>
  <c r="CI30" i="9" a="1"/>
  <c r="CI30" i="9" s="1"/>
  <c r="CJ71" i="9" a="1"/>
  <c r="CJ71" i="9" s="1"/>
  <c r="L85" i="5" a="1"/>
  <c r="L85" i="5" s="1"/>
  <c r="E75" i="10" s="1"/>
  <c r="K87" i="5" a="1"/>
  <c r="K87" i="5" s="1"/>
  <c r="E90" i="10" s="1"/>
  <c r="K86" i="5" a="1"/>
  <c r="K86" i="5" s="1"/>
  <c r="E85" i="10" s="1"/>
  <c r="K83" i="5" a="1"/>
  <c r="K83" i="5" s="1"/>
  <c r="E64" i="10" s="1"/>
  <c r="K84" i="5" a="1"/>
  <c r="K84" i="5" s="1"/>
  <c r="E69" i="10" s="1"/>
  <c r="K82" i="5" a="1"/>
  <c r="K82" i="5" s="1"/>
  <c r="E59" i="10" s="1"/>
  <c r="J82" i="5" a="1"/>
  <c r="J82" i="5" s="1"/>
  <c r="E58" i="10" s="1"/>
  <c r="CJ97" i="9" a="1"/>
  <c r="CJ97" i="9" s="1"/>
  <c r="CJ78" i="9" a="1"/>
  <c r="CJ78" i="9" s="1"/>
  <c r="CI81" i="9" a="1"/>
  <c r="CI81" i="9" s="1"/>
  <c r="CJ103" i="9" a="1"/>
  <c r="CJ103" i="9" s="1"/>
  <c r="CJ72" i="9" a="1"/>
  <c r="CJ72" i="9" s="1"/>
  <c r="CJ66" i="9" a="1"/>
  <c r="CJ66" i="9" s="1"/>
  <c r="CI82" i="9" a="1"/>
  <c r="CI82" i="9" s="1"/>
  <c r="CI26" i="9" a="1"/>
  <c r="CI26" i="9" s="1"/>
  <c r="CJ89" i="9" a="1"/>
  <c r="CJ89" i="9" s="1"/>
  <c r="CJ16" i="9" a="1"/>
  <c r="CJ16" i="9" s="1"/>
  <c r="CJ28" i="9" a="1"/>
  <c r="CJ28" i="9" s="1"/>
  <c r="CJ82" i="9" a="1"/>
  <c r="CJ82" i="9" s="1"/>
  <c r="CJ112" i="9" a="1"/>
  <c r="CJ112" i="9" s="1"/>
  <c r="CI83" i="9" a="1"/>
  <c r="CI83" i="9" s="1"/>
  <c r="CJ41" i="9" a="1"/>
  <c r="CJ41" i="9" s="1"/>
  <c r="CJ50" i="9" a="1"/>
  <c r="CJ50" i="9" s="1"/>
  <c r="CJ67" i="9" a="1"/>
  <c r="CJ67" i="9" s="1"/>
  <c r="CJ69" i="9" a="1"/>
  <c r="CJ69" i="9" s="1"/>
  <c r="CJ100" i="9" a="1"/>
  <c r="CJ100" i="9" s="1"/>
  <c r="CI92" i="9" a="1"/>
  <c r="CI92" i="9" s="1"/>
  <c r="CI45" i="9" a="1"/>
  <c r="CI45" i="9" s="1"/>
  <c r="CI47" i="9" a="1"/>
  <c r="CI47" i="9" s="1"/>
  <c r="CI101" i="9" a="1"/>
  <c r="CI101" i="9" s="1"/>
  <c r="CJ35" i="9" a="1"/>
  <c r="CJ35" i="9" s="1"/>
  <c r="CJ85" i="9" a="1"/>
  <c r="CJ85" i="9" s="1"/>
  <c r="CI33" i="9" a="1"/>
  <c r="CI33" i="9" s="1"/>
  <c r="CI74" i="9" a="1"/>
  <c r="CI74" i="9" s="1"/>
  <c r="CI40" i="9" a="1"/>
  <c r="CI40" i="9" s="1"/>
  <c r="CI52" i="9" a="1"/>
  <c r="CI52" i="9" s="1"/>
  <c r="CJ26" i="9" a="1"/>
  <c r="CJ26" i="9" s="1"/>
  <c r="CJ106" i="9" a="1"/>
  <c r="CJ106" i="9" s="1"/>
  <c r="CJ96" i="9" a="1"/>
  <c r="CJ96" i="9" s="1"/>
  <c r="CI100" i="9" a="1"/>
  <c r="CI100" i="9" s="1"/>
  <c r="CI98" i="9" a="1"/>
  <c r="CI98" i="9" s="1"/>
  <c r="CI15" i="9" a="1"/>
  <c r="CI15" i="9" s="1"/>
  <c r="CJ95" i="9" a="1"/>
  <c r="CJ95" i="9" s="1"/>
  <c r="CJ40" i="9" a="1"/>
  <c r="CJ40" i="9" s="1"/>
  <c r="CJ79" i="9" a="1"/>
  <c r="CJ79" i="9" s="1"/>
  <c r="CJ23" i="9" a="1"/>
  <c r="CJ23" i="9" s="1"/>
  <c r="CJ58" i="9" a="1"/>
  <c r="CJ58" i="9" s="1"/>
  <c r="CJ108" i="9" a="1"/>
  <c r="CJ108" i="9" s="1"/>
  <c r="CJ105" i="9" a="1"/>
  <c r="CJ105" i="9" s="1"/>
  <c r="CJ80" i="9" a="1"/>
  <c r="CJ80" i="9" s="1"/>
  <c r="CJ48" i="9" a="1"/>
  <c r="CJ48" i="9" s="1"/>
  <c r="CI31" i="9" a="1"/>
  <c r="CI31" i="9" s="1"/>
  <c r="CI80" i="9" a="1"/>
  <c r="CI80" i="9" s="1"/>
  <c r="CI59" i="9" a="1"/>
  <c r="CI59" i="9" s="1"/>
  <c r="CI28" i="9" a="1"/>
  <c r="CI28" i="9" s="1"/>
  <c r="CI49" i="9" a="1"/>
  <c r="CI49" i="9" s="1"/>
  <c r="CI41" i="9" a="1"/>
  <c r="CI41" i="9" s="1"/>
  <c r="CI11" i="9" a="1"/>
  <c r="CI11" i="9" s="1"/>
  <c r="K78" i="5" a="1"/>
  <c r="K78" i="5" s="1"/>
  <c r="D107" i="10" s="1"/>
  <c r="AI4" i="9" s="1"/>
  <c r="K75" i="5" a="1"/>
  <c r="K75" i="5" s="1"/>
  <c r="D90" i="10" s="1"/>
  <c r="K76" i="5" a="1"/>
  <c r="K76" i="5" s="1"/>
  <c r="D96" i="10" s="1"/>
  <c r="K74" i="5" a="1"/>
  <c r="K74" i="5" s="1"/>
  <c r="D85" i="10" s="1"/>
  <c r="K71" i="5" a="1"/>
  <c r="K71" i="5" s="1"/>
  <c r="K72" i="5" a="1"/>
  <c r="K72" i="5" s="1"/>
  <c r="CJ9" i="9" a="1"/>
  <c r="CJ9" i="9" s="1"/>
  <c r="J73" i="5" a="1"/>
  <c r="J73" i="5" s="1"/>
  <c r="D73" i="10" s="1"/>
  <c r="J70" i="5" a="1"/>
  <c r="J70" i="5" s="1"/>
  <c r="D58" i="10" s="1"/>
  <c r="J4" i="9" s="1"/>
  <c r="CI14" i="9" a="1"/>
  <c r="CI14" i="9" s="1"/>
  <c r="CJ98" i="9" a="1"/>
  <c r="CJ98" i="9" s="1"/>
  <c r="CJ10" i="9" a="1"/>
  <c r="CJ10" i="9" s="1"/>
  <c r="CI66" i="9" a="1"/>
  <c r="CI66" i="9" s="1"/>
  <c r="CI91" i="9" a="1"/>
  <c r="CI91" i="9" s="1"/>
  <c r="CI73" i="9" a="1"/>
  <c r="CI73" i="9" s="1"/>
  <c r="CI12" i="9" a="1"/>
  <c r="CI12" i="9" s="1"/>
  <c r="CI20" i="9" a="1"/>
  <c r="CI20" i="9" s="1"/>
  <c r="CJ21" i="9" a="1"/>
  <c r="CJ21" i="9" s="1"/>
  <c r="CJ47" i="9" a="1"/>
  <c r="CJ47" i="9" s="1"/>
  <c r="CI63" i="9" a="1"/>
  <c r="CI63" i="9" s="1"/>
  <c r="CI61" i="9" a="1"/>
  <c r="CI61" i="9" s="1"/>
  <c r="CJ99" i="9" a="1"/>
  <c r="CJ99" i="9" s="1"/>
  <c r="AN45" i="9" a="1"/>
  <c r="AN45" i="9" s="1"/>
  <c r="AN77" i="9" a="1"/>
  <c r="AN77" i="9" s="1"/>
  <c r="K66" i="5" a="1"/>
  <c r="K66" i="5" s="1"/>
  <c r="C107" i="10" s="1"/>
  <c r="AI2" i="9" s="1"/>
  <c r="AM89" i="9" a="1"/>
  <c r="AM89" i="9" s="1"/>
  <c r="AN32" i="9" a="1"/>
  <c r="AN32" i="9" s="1"/>
  <c r="AN41" i="9" a="1"/>
  <c r="AN41" i="9" s="1"/>
  <c r="AN81" i="9" a="1"/>
  <c r="AN81" i="9" s="1"/>
  <c r="AN15" i="9" a="1"/>
  <c r="AN15" i="9" s="1"/>
  <c r="AN72" i="9" a="1"/>
  <c r="AN72" i="9" s="1"/>
  <c r="AM28" i="9" a="1"/>
  <c r="AM28" i="9" s="1"/>
  <c r="AM45" i="9" a="1"/>
  <c r="AM45" i="9" s="1"/>
  <c r="AN100" i="9" a="1"/>
  <c r="AN100" i="9" s="1"/>
  <c r="AM52" i="9" a="1"/>
  <c r="AM52" i="9" s="1"/>
  <c r="AM60" i="9" a="1"/>
  <c r="AM60" i="9" s="1"/>
  <c r="AM109" i="9" a="1"/>
  <c r="AM109" i="9" s="1"/>
  <c r="AM49" i="9" a="1"/>
  <c r="AM49" i="9" s="1"/>
  <c r="AM58" i="9" a="1"/>
  <c r="AM58" i="9" s="1"/>
  <c r="AN91" i="9" a="1"/>
  <c r="AN91" i="9" s="1"/>
  <c r="AN104" i="9" a="1"/>
  <c r="AN104" i="9" s="1"/>
  <c r="AM75" i="9" a="1"/>
  <c r="AM75" i="9" s="1"/>
  <c r="AM101" i="9" a="1"/>
  <c r="AM101" i="9" s="1"/>
  <c r="AN56" i="9" a="1"/>
  <c r="AN56" i="9" s="1"/>
  <c r="AN14" i="9" a="1"/>
  <c r="AN14" i="9" s="1"/>
  <c r="AM81" i="9" a="1"/>
  <c r="AM81" i="9" s="1"/>
  <c r="AN22" i="9" a="1"/>
  <c r="AN22" i="9" s="1"/>
  <c r="AN19" i="9" a="1"/>
  <c r="AN19" i="9" s="1"/>
  <c r="AN13" i="9" a="1"/>
  <c r="AN13" i="9" s="1"/>
  <c r="AM24" i="9" a="1"/>
  <c r="AM24" i="9" s="1"/>
  <c r="AN94" i="9" a="1"/>
  <c r="AN94" i="9" s="1"/>
  <c r="AM98" i="9" a="1"/>
  <c r="AM98" i="9" s="1"/>
  <c r="AN33" i="9" a="1"/>
  <c r="AN33" i="9" s="1"/>
  <c r="AN12" i="9" a="1"/>
  <c r="AN12" i="9" s="1"/>
  <c r="AN50" i="9" a="1"/>
  <c r="AN50" i="9" s="1"/>
  <c r="AM66" i="9" a="1"/>
  <c r="AM66" i="9" s="1"/>
  <c r="AM55" i="9" a="1"/>
  <c r="AM55" i="9" s="1"/>
  <c r="AM23" i="9" a="1"/>
  <c r="AM23" i="9" s="1"/>
  <c r="AN98" i="9" a="1"/>
  <c r="AN98" i="9" s="1"/>
  <c r="AN16" i="9" a="1"/>
  <c r="AN16" i="9" s="1"/>
  <c r="AM76" i="9" a="1"/>
  <c r="AM76" i="9" s="1"/>
  <c r="AN65" i="9" a="1"/>
  <c r="AN65" i="9" s="1"/>
  <c r="AM27" i="9" a="1"/>
  <c r="AM27" i="9" s="1"/>
  <c r="AN97" i="9" a="1"/>
  <c r="AN97" i="9" s="1"/>
  <c r="AM86" i="9" a="1"/>
  <c r="AM86" i="9" s="1"/>
  <c r="AM15" i="9" a="1"/>
  <c r="AM15" i="9" s="1"/>
  <c r="AM108" i="9" a="1"/>
  <c r="AM108" i="9" s="1"/>
  <c r="AN24" i="9" a="1"/>
  <c r="AN24" i="9" s="1"/>
  <c r="AM79" i="9" a="1"/>
  <c r="AM79" i="9" s="1"/>
  <c r="AM29" i="9" a="1"/>
  <c r="AM29" i="9" s="1"/>
  <c r="AM107" i="9" a="1"/>
  <c r="AM107" i="9" s="1"/>
  <c r="AN46" i="9" a="1"/>
  <c r="AN46" i="9" s="1"/>
  <c r="AM111" i="9" a="1"/>
  <c r="AM111" i="9" s="1"/>
  <c r="AN34" i="9" a="1"/>
  <c r="AN34" i="9" s="1"/>
  <c r="AM103" i="9" a="1"/>
  <c r="AM103" i="9" s="1"/>
  <c r="AM90" i="9" a="1"/>
  <c r="AM90" i="9" s="1"/>
  <c r="AM36" i="9" a="1"/>
  <c r="AM36" i="9" s="1"/>
  <c r="AM112" i="9" a="1"/>
  <c r="AM112" i="9" s="1"/>
  <c r="AN43" i="9" a="1"/>
  <c r="AN43" i="9" s="1"/>
  <c r="AN44" i="9" a="1"/>
  <c r="AN44" i="9" s="1"/>
  <c r="AN64" i="9" a="1"/>
  <c r="AN64" i="9" s="1"/>
  <c r="AN58" i="9" a="1"/>
  <c r="AN58" i="9" s="1"/>
  <c r="AN48" i="9" a="1"/>
  <c r="AN48" i="9" s="1"/>
  <c r="AM42" i="9" a="1"/>
  <c r="AM42" i="9" s="1"/>
  <c r="AM53" i="9" a="1"/>
  <c r="AM53" i="9" s="1"/>
  <c r="AM83" i="9" a="1"/>
  <c r="AM83" i="9" s="1"/>
  <c r="AM73" i="9" a="1"/>
  <c r="AM73" i="9" s="1"/>
  <c r="AM67" i="9" a="1"/>
  <c r="AM67" i="9" s="1"/>
  <c r="AM82" i="9" a="1"/>
  <c r="AM82" i="9" s="1"/>
  <c r="AM13" i="9" a="1"/>
  <c r="AM13" i="9" s="1"/>
  <c r="AN110" i="9" a="1"/>
  <c r="AN110" i="9" s="1"/>
  <c r="AN70" i="9" a="1"/>
  <c r="AN70" i="9" s="1"/>
  <c r="AM95" i="9" a="1"/>
  <c r="AM95" i="9" s="1"/>
  <c r="AM14" i="9" a="1"/>
  <c r="AM14" i="9" s="1"/>
  <c r="AN23" i="9" a="1"/>
  <c r="AN23" i="9" s="1"/>
  <c r="AN39" i="9" a="1"/>
  <c r="AN39" i="9" s="1"/>
  <c r="AN42" i="9" a="1"/>
  <c r="AN42" i="9" s="1"/>
  <c r="AN86" i="9" a="1"/>
  <c r="AN86" i="9" s="1"/>
  <c r="AM91" i="9" a="1"/>
  <c r="AM91" i="9" s="1"/>
  <c r="AM105" i="9" a="1"/>
  <c r="AM105" i="9" s="1"/>
  <c r="AN90" i="9" a="1"/>
  <c r="AN90" i="9" s="1"/>
  <c r="AN54" i="9" a="1"/>
  <c r="AN54" i="9" s="1"/>
  <c r="AM38" i="9" a="1"/>
  <c r="AM38" i="9" s="1"/>
  <c r="AM43" i="9" a="1"/>
  <c r="AM43" i="9" s="1"/>
  <c r="AN99" i="9" a="1"/>
  <c r="AN99" i="9" s="1"/>
  <c r="EG86" i="9" a="1"/>
  <c r="EG86" i="9" s="1"/>
  <c r="EF33" i="9" a="1"/>
  <c r="EF33" i="9" s="1"/>
  <c r="EF63" i="9" a="1"/>
  <c r="EF63" i="9" s="1"/>
  <c r="EF102" i="9" a="1"/>
  <c r="EF102" i="9" s="1"/>
  <c r="EF38" i="9" a="1"/>
  <c r="EF38" i="9" s="1"/>
  <c r="EF40" i="9" a="1"/>
  <c r="EF40" i="9" s="1"/>
  <c r="EF61" i="9" a="1"/>
  <c r="EF61" i="9" s="1"/>
  <c r="EF46" i="9" a="1"/>
  <c r="EF46" i="9" s="1"/>
  <c r="EG30" i="9" a="1"/>
  <c r="EG30" i="9" s="1"/>
  <c r="EF106" i="9" a="1"/>
  <c r="EF106" i="9" s="1"/>
  <c r="EG12" i="9" a="1"/>
  <c r="EG12" i="9" s="1"/>
  <c r="EG11" i="9" a="1"/>
  <c r="EG11" i="9" s="1"/>
  <c r="EG26" i="9" a="1"/>
  <c r="EG26" i="9" s="1"/>
  <c r="EG85" i="9" a="1"/>
  <c r="EG85" i="9" s="1"/>
  <c r="EG103" i="9" a="1"/>
  <c r="EG103" i="9" s="1"/>
  <c r="EF72" i="9" a="1"/>
  <c r="EF72" i="9" s="1"/>
  <c r="EG72" i="9" a="1"/>
  <c r="EG72" i="9" s="1"/>
  <c r="EF54" i="9" a="1"/>
  <c r="EF54" i="9" s="1"/>
  <c r="EF111" i="9" a="1"/>
  <c r="EF111" i="9" s="1"/>
  <c r="EF11" i="9" a="1"/>
  <c r="EF11" i="9" s="1"/>
  <c r="EG92" i="9" a="1"/>
  <c r="EG92" i="9" s="1"/>
  <c r="EG91" i="9" a="1"/>
  <c r="EG91" i="9" s="1"/>
  <c r="EG27" i="9" a="1"/>
  <c r="EG27" i="9" s="1"/>
  <c r="EF39" i="9" a="1"/>
  <c r="EF39" i="9" s="1"/>
  <c r="EG65" i="9" a="1"/>
  <c r="EG65" i="9" s="1"/>
  <c r="EF53" i="9" a="1"/>
  <c r="EF53" i="9" s="1"/>
  <c r="EG80" i="9" a="1"/>
  <c r="EG80" i="9" s="1"/>
  <c r="EF51" i="9" a="1"/>
  <c r="EF51" i="9" s="1"/>
  <c r="EG15" i="9" a="1"/>
  <c r="EG15" i="9" s="1"/>
  <c r="EF99" i="9" a="1"/>
  <c r="EF99" i="9" s="1"/>
  <c r="EG109" i="9" a="1"/>
  <c r="EG109" i="9" s="1"/>
  <c r="EG13" i="9" a="1"/>
  <c r="EG13" i="9" s="1"/>
  <c r="EG105" i="9" a="1"/>
  <c r="EG105" i="9" s="1"/>
  <c r="EG32" i="9" a="1"/>
  <c r="EG32" i="9" s="1"/>
  <c r="EG54" i="9" a="1"/>
  <c r="EG54" i="9" s="1"/>
  <c r="EF20" i="9" a="1"/>
  <c r="EF20" i="9" s="1"/>
  <c r="EG22" i="9" a="1"/>
  <c r="EG22" i="9" s="1"/>
  <c r="EF104" i="9" a="1"/>
  <c r="EF104" i="9" s="1"/>
  <c r="EG23" i="9" a="1"/>
  <c r="EG23" i="9" s="1"/>
  <c r="EG39" i="9" a="1"/>
  <c r="EG39" i="9" s="1"/>
  <c r="EF97" i="9" a="1"/>
  <c r="EF97" i="9" s="1"/>
  <c r="EF77" i="9" a="1"/>
  <c r="EF77" i="9" s="1"/>
  <c r="EF80" i="9" a="1"/>
  <c r="EF80" i="9" s="1"/>
  <c r="EG38" i="9" a="1"/>
  <c r="EG38" i="9" s="1"/>
  <c r="EG51" i="9" a="1"/>
  <c r="EG51" i="9" s="1"/>
  <c r="EG99" i="9" a="1"/>
  <c r="EG99" i="9" s="1"/>
  <c r="EG82" i="9" a="1"/>
  <c r="EG82" i="9" s="1"/>
  <c r="EG57" i="9" a="1"/>
  <c r="EG57" i="9" s="1"/>
  <c r="EG16" i="9" a="1"/>
  <c r="EG16" i="9" s="1"/>
  <c r="EG53" i="9" a="1"/>
  <c r="EG53" i="9" s="1"/>
  <c r="EF15" i="9" a="1"/>
  <c r="EF15" i="9" s="1"/>
  <c r="EF21" i="9" a="1"/>
  <c r="EF21" i="9" s="1"/>
  <c r="EF47" i="9" a="1"/>
  <c r="EF47" i="9" s="1"/>
  <c r="EF91" i="9" a="1"/>
  <c r="EF91" i="9" s="1"/>
  <c r="EF66" i="9" a="1"/>
  <c r="EF66" i="9" s="1"/>
  <c r="EG10" i="9" a="1"/>
  <c r="EG10" i="9" s="1"/>
  <c r="EG49" i="9" a="1"/>
  <c r="EG49" i="9" s="1"/>
  <c r="EF94" i="9" a="1"/>
  <c r="EF94" i="9" s="1"/>
  <c r="EF78" i="9" a="1"/>
  <c r="EF78" i="9" s="1"/>
  <c r="EG107" i="9" a="1"/>
  <c r="EG107" i="9" s="1"/>
  <c r="EG34" i="9" a="1"/>
  <c r="EG34" i="9" s="1"/>
  <c r="EF48" i="9" a="1"/>
  <c r="EF48" i="9" s="1"/>
  <c r="EG18" i="9" a="1"/>
  <c r="EG18" i="9" s="1"/>
  <c r="EG31" i="9" a="1"/>
  <c r="EG31" i="9" s="1"/>
  <c r="EF76" i="9" a="1"/>
  <c r="EF76" i="9" s="1"/>
  <c r="EG111" i="9" a="1"/>
  <c r="EG111" i="9" s="1"/>
  <c r="EF67" i="9" a="1"/>
  <c r="EF67" i="9" s="1"/>
  <c r="EF96" i="9" a="1"/>
  <c r="EF96" i="9" s="1"/>
  <c r="EG55" i="9" a="1"/>
  <c r="EG55" i="9" s="1"/>
  <c r="EG21" i="9" a="1"/>
  <c r="EG21" i="9" s="1"/>
  <c r="EF44" i="9" a="1"/>
  <c r="EF44" i="9" s="1"/>
  <c r="EF82" i="9" a="1"/>
  <c r="EF82" i="9" s="1"/>
  <c r="EG14" i="9" a="1"/>
  <c r="EG14" i="9" s="1"/>
  <c r="EF55" i="9" a="1"/>
  <c r="EF55" i="9" s="1"/>
  <c r="EF103" i="9" a="1"/>
  <c r="EF103" i="9" s="1"/>
  <c r="EG90" i="9" a="1"/>
  <c r="EG90" i="9" s="1"/>
  <c r="EF58" i="9" a="1"/>
  <c r="EF58" i="9" s="1"/>
  <c r="EF29" i="9" a="1"/>
  <c r="EF29" i="9" s="1"/>
  <c r="EG35" i="9" a="1"/>
  <c r="EG35" i="9" s="1"/>
  <c r="EG84" i="9" a="1"/>
  <c r="EG84" i="9" s="1"/>
  <c r="EF101" i="9" a="1"/>
  <c r="EF101" i="9" s="1"/>
  <c r="EF75" i="9" a="1"/>
  <c r="EF75" i="9" s="1"/>
  <c r="EG87" i="9" a="1"/>
  <c r="EG87" i="9" s="1"/>
  <c r="EG74" i="9" a="1"/>
  <c r="EG74" i="9" s="1"/>
  <c r="EG64" i="9" a="1"/>
  <c r="EG64" i="9" s="1"/>
  <c r="EG94" i="9" a="1"/>
  <c r="EG94" i="9" s="1"/>
  <c r="EF37" i="9" a="1"/>
  <c r="EF37" i="9" s="1"/>
  <c r="EG95" i="9" a="1"/>
  <c r="EG95" i="9" s="1"/>
  <c r="EG71" i="9" a="1"/>
  <c r="EG71" i="9" s="1"/>
  <c r="EG24" i="9" a="1"/>
  <c r="EG24" i="9" s="1"/>
  <c r="EG88" i="9" a="1"/>
  <c r="EG88" i="9" s="1"/>
  <c r="EF65" i="9" a="1"/>
  <c r="EF65" i="9" s="1"/>
  <c r="EG63" i="9" a="1"/>
  <c r="EG63" i="9" s="1"/>
  <c r="EF36" i="9" a="1"/>
  <c r="EF36" i="9" s="1"/>
  <c r="EG93" i="9" a="1"/>
  <c r="EG93" i="9" s="1"/>
  <c r="EF16" i="9" a="1"/>
  <c r="EF16" i="9" s="1"/>
  <c r="EG81" i="9" a="1"/>
  <c r="EG81" i="9" s="1"/>
  <c r="EF59" i="9" a="1"/>
  <c r="EF59" i="9" s="1"/>
  <c r="EF81" i="9" a="1"/>
  <c r="EF81" i="9" s="1"/>
  <c r="EF64" i="9" a="1"/>
  <c r="EF64" i="9" s="1"/>
  <c r="EF92" i="9" a="1"/>
  <c r="EF92" i="9" s="1"/>
  <c r="EG108" i="9" a="1"/>
  <c r="EG108" i="9" s="1"/>
  <c r="EF17" i="9" a="1"/>
  <c r="EF17" i="9" s="1"/>
  <c r="EG29" i="9" a="1"/>
  <c r="EG29" i="9" s="1"/>
  <c r="K58" i="5" a="1"/>
  <c r="K58" i="5" s="1"/>
  <c r="C59" i="10" s="1"/>
  <c r="CI68" i="9" a="1"/>
  <c r="CI68" i="9" s="1"/>
  <c r="AN80" i="9" a="1"/>
  <c r="AN80" i="9" s="1"/>
  <c r="AM85" i="9" a="1"/>
  <c r="AM85" i="9" s="1"/>
  <c r="AM37" i="9" a="1"/>
  <c r="AM37" i="9" s="1"/>
  <c r="AN17" i="9" a="1"/>
  <c r="AN17" i="9" s="1"/>
  <c r="AM110" i="9" a="1"/>
  <c r="AM110" i="9" s="1"/>
  <c r="AN112" i="9" a="1"/>
  <c r="AN112" i="9" s="1"/>
  <c r="AN62" i="9" a="1"/>
  <c r="AN62" i="9" s="1"/>
  <c r="AN82" i="9" a="1"/>
  <c r="AN82" i="9" s="1"/>
  <c r="AM10" i="9" a="1"/>
  <c r="AM10" i="9" s="1"/>
  <c r="AM40" i="9" a="1"/>
  <c r="AM40" i="9" s="1"/>
  <c r="AN57" i="9" a="1"/>
  <c r="AN57" i="9" s="1"/>
  <c r="AM33" i="9" a="1"/>
  <c r="AM33" i="9" s="1"/>
  <c r="AN25" i="9" a="1"/>
  <c r="AN25" i="9" s="1"/>
  <c r="AN95" i="9" a="1"/>
  <c r="AN95" i="9" s="1"/>
  <c r="AN93" i="9" a="1"/>
  <c r="AN93" i="9" s="1"/>
  <c r="AM21" i="9" a="1"/>
  <c r="AM21" i="9" s="1"/>
  <c r="AM19" i="9" a="1"/>
  <c r="AM19" i="9" s="1"/>
  <c r="AM48" i="9" a="1"/>
  <c r="AM48" i="9" s="1"/>
  <c r="AM12" i="9" a="1"/>
  <c r="AM12" i="9" s="1"/>
  <c r="AN68" i="9" a="1"/>
  <c r="AN68" i="9" s="1"/>
  <c r="AN74" i="9" a="1"/>
  <c r="AN74" i="9" s="1"/>
  <c r="AN38" i="9" a="1"/>
  <c r="AN38" i="9" s="1"/>
  <c r="AM99" i="9" a="1"/>
  <c r="AM99" i="9" s="1"/>
  <c r="AM39" i="9" a="1"/>
  <c r="AM39" i="9" s="1"/>
  <c r="AN36" i="9" a="1"/>
  <c r="AN36" i="9" s="1"/>
  <c r="AM64" i="9" a="1"/>
  <c r="AM64" i="9" s="1"/>
  <c r="AM54" i="9" a="1"/>
  <c r="AM54" i="9" s="1"/>
  <c r="AM69" i="9" a="1"/>
  <c r="AM69" i="9" s="1"/>
  <c r="AM22" i="9" a="1"/>
  <c r="AM22" i="9" s="1"/>
  <c r="AN55" i="9" a="1"/>
  <c r="AN55" i="9" s="1"/>
  <c r="AN40" i="9" a="1"/>
  <c r="AN40" i="9" s="1"/>
  <c r="AM59" i="9" a="1"/>
  <c r="AM59" i="9" s="1"/>
  <c r="AN96" i="9" a="1"/>
  <c r="AN96" i="9" s="1"/>
  <c r="AM97" i="9" a="1"/>
  <c r="AM97" i="9" s="1"/>
  <c r="AN108" i="9" a="1"/>
  <c r="AN108" i="9" s="1"/>
  <c r="AM88" i="9" a="1"/>
  <c r="AM88" i="9" s="1"/>
  <c r="AN73" i="9" a="1"/>
  <c r="AN73" i="9" s="1"/>
  <c r="AN87" i="9" a="1"/>
  <c r="AN87" i="9" s="1"/>
  <c r="AM93" i="9" a="1"/>
  <c r="AM93" i="9" s="1"/>
  <c r="AN79" i="9" a="1"/>
  <c r="AN79" i="9" s="1"/>
  <c r="AN88" i="9" a="1"/>
  <c r="AN88" i="9" s="1"/>
  <c r="AM11" i="9" a="1"/>
  <c r="AM11" i="9" s="1"/>
  <c r="AN71" i="9" a="1"/>
  <c r="AN71" i="9" s="1"/>
  <c r="AN75" i="9" a="1"/>
  <c r="AN75" i="9" s="1"/>
  <c r="AN92" i="9" a="1"/>
  <c r="AN92" i="9" s="1"/>
  <c r="AM94" i="9" a="1"/>
  <c r="AM94" i="9" s="1"/>
  <c r="AN18" i="9" a="1"/>
  <c r="AN18" i="9" s="1"/>
  <c r="AM50" i="9" a="1"/>
  <c r="AM50" i="9" s="1"/>
  <c r="AN111" i="9" a="1"/>
  <c r="AN111" i="9" s="1"/>
  <c r="AM87" i="9" a="1"/>
  <c r="AM87" i="9" s="1"/>
  <c r="AM68" i="9" a="1"/>
  <c r="AM68" i="9" s="1"/>
  <c r="AN109" i="9" a="1"/>
  <c r="AN109" i="9" s="1"/>
  <c r="AM102" i="9" a="1"/>
  <c r="AM102" i="9" s="1"/>
  <c r="AM65" i="9" a="1"/>
  <c r="AM65" i="9" s="1"/>
  <c r="AM62" i="9" a="1"/>
  <c r="AM62" i="9" s="1"/>
  <c r="AN9" i="9" a="1"/>
  <c r="AN9" i="9" s="1"/>
  <c r="AM96" i="9" a="1"/>
  <c r="AM96" i="9" s="1"/>
  <c r="AN35" i="9" a="1"/>
  <c r="AN35" i="9" s="1"/>
  <c r="AM92" i="9" a="1"/>
  <c r="AM92" i="9" s="1"/>
  <c r="AM70" i="9" a="1"/>
  <c r="AM70" i="9" s="1"/>
  <c r="AN60" i="9" a="1"/>
  <c r="AN60" i="9" s="1"/>
  <c r="AM41" i="9" a="1"/>
  <c r="AM41" i="9" s="1"/>
  <c r="AN66" i="9" a="1"/>
  <c r="AN66" i="9" s="1"/>
  <c r="AN76" i="9" a="1"/>
  <c r="AN76" i="9" s="1"/>
  <c r="AN89" i="9" a="1"/>
  <c r="AN89" i="9" s="1"/>
  <c r="AN106" i="9" a="1"/>
  <c r="AN106" i="9" s="1"/>
  <c r="AN47" i="9" a="1"/>
  <c r="AN47" i="9" s="1"/>
  <c r="AN85" i="9" a="1"/>
  <c r="AN85" i="9" s="1"/>
  <c r="AM63" i="9" a="1"/>
  <c r="AM63" i="9" s="1"/>
  <c r="D70" i="10" l="1"/>
  <c r="D69" i="10"/>
  <c r="D65" i="10"/>
  <c r="O4" i="9" s="1"/>
  <c r="D64" i="10"/>
  <c r="N4" i="9" s="1"/>
  <c r="D60" i="10"/>
  <c r="L4" i="9" s="1"/>
  <c r="D59" i="10"/>
  <c r="K4" i="9" s="1"/>
  <c r="D75" i="10"/>
  <c r="D74" i="10"/>
  <c r="C111" i="10"/>
  <c r="F24" i="10" s="1"/>
  <c r="AJ116" i="9"/>
  <c r="AG116" i="9"/>
  <c r="L116" i="9"/>
  <c r="AE116" i="9"/>
  <c r="AK116" i="9"/>
  <c r="K116" i="9"/>
  <c r="AO116" i="9"/>
  <c r="AN116" i="9"/>
  <c r="O116" i="9"/>
  <c r="X116" i="9"/>
  <c r="J116" i="9"/>
  <c r="AH116" i="9"/>
  <c r="N116" i="9"/>
  <c r="AI3" i="9"/>
  <c r="N3" i="9"/>
  <c r="AJ3" i="9"/>
  <c r="AF3" i="9"/>
  <c r="AG3" i="9"/>
  <c r="O3" i="9"/>
  <c r="AM4" i="9"/>
  <c r="D24" i="10"/>
  <c r="H24" i="10"/>
  <c r="G24" i="10"/>
  <c r="E24" i="10"/>
  <c r="E80" i="10"/>
  <c r="E81" i="10"/>
  <c r="C81" i="10"/>
  <c r="X2" i="9"/>
  <c r="X3" i="9" s="1"/>
  <c r="L2" i="9"/>
  <c r="L3" i="9" s="1"/>
  <c r="C55" i="10"/>
  <c r="C80" i="10"/>
  <c r="W2" i="9"/>
  <c r="W3" i="9" s="1"/>
  <c r="C54" i="10"/>
  <c r="K2" i="9"/>
  <c r="K3" i="9" s="1"/>
  <c r="AN3" i="9"/>
  <c r="J2" i="9"/>
  <c r="J3" i="9" s="1"/>
  <c r="D81" i="10"/>
  <c r="X4" i="9"/>
  <c r="D80" i="10"/>
  <c r="W4" i="9"/>
  <c r="D54" i="10" l="1"/>
  <c r="D55" i="10"/>
  <c r="E55" i="10"/>
  <c r="AM2" i="9"/>
  <c r="AM3" i="9" s="1"/>
  <c r="C24" i="10"/>
  <c r="BC101" i="9" a="1"/>
  <c r="BC78" i="9" a="1"/>
  <c r="G109" i="9" a="1"/>
  <c r="BC22" i="9" a="1"/>
  <c r="G69" i="9" a="1"/>
  <c r="BC43" i="9" a="1"/>
  <c r="CZ32" i="9" a="1"/>
  <c r="CZ28" i="9" a="1"/>
  <c r="G103" i="9" a="1"/>
  <c r="G17" i="9" a="1"/>
  <c r="G23" i="9" a="1"/>
  <c r="G71" i="9" a="1"/>
  <c r="BC56" i="9" a="1"/>
  <c r="G87" i="9" a="1"/>
  <c r="G41" i="9" a="1"/>
  <c r="BC82" i="9" a="1"/>
  <c r="CZ55" i="9" a="1"/>
  <c r="CZ108" i="9" a="1"/>
  <c r="BC110" i="9" a="1"/>
  <c r="G105" i="9" a="1"/>
  <c r="BC42" i="9" a="1"/>
  <c r="CZ36" i="9" a="1"/>
  <c r="BC30" i="9" a="1"/>
  <c r="G80" i="9" a="1"/>
  <c r="CZ60" i="9" a="1"/>
  <c r="BC17" i="9" a="1"/>
  <c r="BC19" i="9" a="1"/>
  <c r="CZ56" i="9" a="1"/>
  <c r="CZ87" i="9" a="1"/>
  <c r="BC109" i="9" a="1"/>
  <c r="G112" i="9" a="1"/>
  <c r="BC58" i="9" a="1"/>
  <c r="CZ27" i="9" a="1"/>
  <c r="CZ77" i="9" a="1"/>
  <c r="CZ17" i="9" a="1"/>
  <c r="CZ51" i="9" a="1"/>
  <c r="BC57" i="9" a="1"/>
  <c r="CZ89" i="9" a="1"/>
  <c r="CZ111" i="9" a="1"/>
  <c r="G70" i="9" a="1"/>
  <c r="CZ75" i="9" a="1"/>
  <c r="G18" i="9" a="1"/>
  <c r="G82" i="9" a="1"/>
  <c r="G77" i="9" a="1"/>
  <c r="G78" i="9" a="1"/>
  <c r="CZ104" i="9" a="1"/>
  <c r="G40" i="9" a="1"/>
  <c r="CZ68" i="9" a="1"/>
  <c r="CZ16" i="9" a="1"/>
  <c r="CZ79" i="9" a="1"/>
  <c r="CZ97" i="9" a="1"/>
  <c r="BC26" i="9" a="1"/>
  <c r="G75" i="9" a="1"/>
  <c r="G58" i="9" a="1"/>
  <c r="G16" i="9" a="1"/>
  <c r="G106" i="9" a="1"/>
  <c r="G76" i="9" a="1"/>
  <c r="BC75" i="9" a="1"/>
  <c r="BC35" i="9" a="1"/>
  <c r="BC90" i="9" a="1"/>
  <c r="BC55" i="9" a="1"/>
  <c r="G68" i="9" a="1"/>
  <c r="BC37" i="9" a="1"/>
  <c r="BC92" i="9" a="1"/>
  <c r="BC112" i="9" a="1"/>
  <c r="BC71" i="9" a="1"/>
  <c r="BC16" i="9" a="1"/>
  <c r="BC41" i="9" a="1"/>
  <c r="G48" i="9" a="1"/>
  <c r="CZ69" i="9" a="1"/>
  <c r="BC40" i="9" a="1"/>
  <c r="G32" i="9" a="1"/>
  <c r="CZ110" i="9" a="1"/>
  <c r="BC38" i="9" a="1"/>
  <c r="CZ42" i="9" a="1"/>
  <c r="BC97" i="9" a="1"/>
  <c r="BC25" i="9" a="1"/>
  <c r="CZ101" i="9" a="1"/>
  <c r="G24" i="9" a="1"/>
  <c r="CZ105" i="9" a="1"/>
  <c r="BC32" i="9" a="1"/>
  <c r="G30" i="9" a="1"/>
  <c r="G100" i="9" a="1"/>
  <c r="BC100" i="9" a="1"/>
  <c r="CZ70" i="9" a="1"/>
  <c r="CZ54" i="9" a="1"/>
  <c r="CZ45" i="9" a="1"/>
  <c r="G89" i="9" a="1"/>
  <c r="CZ71" i="9" a="1"/>
  <c r="CZ26" i="9" a="1"/>
  <c r="CZ83" i="9" a="1"/>
  <c r="CZ84" i="9" a="1"/>
  <c r="BC31" i="9" a="1"/>
  <c r="G84" i="9" a="1"/>
  <c r="G102" i="9" a="1"/>
  <c r="BC60" i="9" a="1"/>
  <c r="CZ41" i="9" a="1"/>
  <c r="CZ24" i="9" a="1"/>
  <c r="G49" i="9" a="1"/>
  <c r="BC111" i="9" a="1"/>
  <c r="BC104" i="9" a="1"/>
  <c r="CZ82" i="9" a="1"/>
  <c r="G90" i="9" a="1"/>
  <c r="G83" i="9" a="1"/>
  <c r="G79" i="9" a="1"/>
  <c r="CZ30" i="9" a="1"/>
  <c r="G27" i="9" a="1"/>
  <c r="CZ93" i="9" a="1"/>
  <c r="G38" i="9" a="1"/>
  <c r="BC87" i="9" a="1"/>
  <c r="G101" i="9" a="1"/>
  <c r="G92" i="9" a="1"/>
  <c r="CZ96" i="9" a="1"/>
  <c r="G26" i="9" a="1"/>
  <c r="G52" i="9" a="1"/>
  <c r="BC77" i="9" a="1"/>
  <c r="G55" i="9" a="1"/>
  <c r="BC49" i="9" a="1"/>
  <c r="BC24" i="9" a="1"/>
  <c r="CZ92" i="9" a="1"/>
  <c r="BC36" i="9" a="1"/>
  <c r="G104" i="9" a="1"/>
  <c r="G22" i="9" a="1"/>
  <c r="CZ50" i="9" a="1"/>
  <c r="BC88" i="9" a="1"/>
  <c r="BC80" i="9" a="1"/>
  <c r="G42" i="9" a="1"/>
  <c r="G57" i="9" a="1"/>
  <c r="CZ76" i="9" a="1"/>
  <c r="G19" i="9" a="1"/>
  <c r="BC76" i="9" a="1"/>
  <c r="G60" i="9" a="1"/>
  <c r="CZ106" i="9" a="1"/>
  <c r="BC96" i="9" a="1"/>
  <c r="BC103" i="9" a="1"/>
  <c r="G110" i="9" a="1"/>
  <c r="BC44" i="9" a="1"/>
  <c r="G56" i="9" a="1"/>
  <c r="G31" i="9" a="1"/>
  <c r="G51" i="9" a="1"/>
  <c r="G88" i="9" a="1"/>
  <c r="G25" i="9" a="1"/>
  <c r="BC105" i="9" a="1"/>
  <c r="CZ53" i="9" a="1"/>
  <c r="CZ52" i="9" a="1"/>
  <c r="G50" i="9" a="1"/>
  <c r="BC94" i="9" a="1"/>
  <c r="CZ31" i="9" a="1"/>
  <c r="BC69" i="9" a="1"/>
  <c r="BC52" i="9" a="1"/>
  <c r="BC48" i="9" a="1"/>
  <c r="BC28" i="9" a="1"/>
  <c r="CZ44" i="9" a="1"/>
  <c r="BC106" i="9" a="1"/>
  <c r="CZ19" i="9" a="1"/>
  <c r="G37" i="9" a="1"/>
  <c r="G95" i="9" a="1"/>
  <c r="BC53" i="9" a="1"/>
  <c r="BC74" i="9" a="1"/>
  <c r="CZ112" i="9" a="1"/>
  <c r="BC50" i="9" a="1"/>
  <c r="BC59" i="9" a="1"/>
  <c r="CZ49" i="9" a="1"/>
  <c r="CZ58" i="9" a="1"/>
  <c r="G96" i="9" a="1"/>
  <c r="G53" i="9" a="1"/>
  <c r="CZ48" i="9" a="1"/>
  <c r="CZ35" i="9" a="1"/>
  <c r="CZ88" i="9" a="1"/>
  <c r="BC89" i="9" a="1"/>
  <c r="G45" i="9" a="1"/>
  <c r="BC102" i="9" a="1"/>
  <c r="BC68" i="9" a="1"/>
  <c r="CZ100" i="9" a="1"/>
  <c r="BC70" i="9" a="1"/>
  <c r="CZ40" i="9" a="1"/>
  <c r="BC93" i="9" a="1"/>
  <c r="G108" i="9" a="1"/>
  <c r="BC18" i="9" a="1"/>
  <c r="G111" i="9" a="1"/>
  <c r="G93" i="9" a="1"/>
  <c r="G54" i="9" a="1"/>
  <c r="CZ25" i="9" a="1"/>
  <c r="BC83" i="9" a="1"/>
  <c r="BC51" i="9" a="1"/>
  <c r="CZ103" i="9" a="1"/>
  <c r="CZ107" i="9" a="1"/>
  <c r="G35" i="9" a="1"/>
  <c r="CZ109" i="9" a="1"/>
  <c r="CZ43" i="9" a="1"/>
  <c r="CZ18" i="9" a="1"/>
  <c r="BC27" i="9" a="1"/>
  <c r="CZ94" i="9" a="1"/>
  <c r="CZ23" i="9" a="1"/>
  <c r="CZ38" i="9" a="1"/>
  <c r="G44" i="9" a="1"/>
  <c r="G59" i="9" a="1"/>
  <c r="G94" i="9" a="1"/>
  <c r="G28" i="9" a="1"/>
  <c r="CZ80" i="9" a="1"/>
  <c r="BC23" i="9" a="1"/>
  <c r="BC108" i="9" a="1"/>
  <c r="G74" i="9" a="1"/>
  <c r="CZ74" i="9" a="1"/>
  <c r="BC84" i="9" a="1"/>
  <c r="BC95" i="9" a="1"/>
  <c r="CZ37" i="9" a="1"/>
  <c r="BC79" i="9" a="1"/>
  <c r="CZ95" i="9" a="1"/>
  <c r="BC54" i="9" a="1"/>
  <c r="CZ22" i="9" a="1"/>
  <c r="BC107" i="9" a="1"/>
  <c r="BC45" i="9" a="1"/>
  <c r="CZ90" i="9" a="1"/>
  <c r="G97" i="9" a="1"/>
  <c r="G36" i="9" a="1"/>
  <c r="CZ59" i="9" a="1"/>
  <c r="G107" i="9" a="1"/>
  <c r="G43" i="9" a="1"/>
  <c r="CZ57" i="9" a="1"/>
  <c r="CZ78" i="9" a="1"/>
  <c r="CZ102" i="9" a="1"/>
  <c r="CZ112" i="9" l="1"/>
  <c r="CZ30" i="9"/>
  <c r="CZ19" i="9"/>
  <c r="CZ32" i="9"/>
  <c r="CZ74" i="9"/>
  <c r="CZ48" i="9"/>
  <c r="CZ58" i="9"/>
  <c r="CZ90" i="9"/>
  <c r="CZ60" i="9"/>
  <c r="CZ24" i="9"/>
  <c r="CZ102" i="9"/>
  <c r="CZ53" i="9"/>
  <c r="CZ87" i="9"/>
  <c r="CZ89" i="9"/>
  <c r="CZ16" i="9"/>
  <c r="CZ52" i="9"/>
  <c r="CZ96" i="9"/>
  <c r="CZ110" i="9"/>
  <c r="CZ28" i="9"/>
  <c r="CZ43" i="9"/>
  <c r="CZ25" i="9"/>
  <c r="G37" i="9"/>
  <c r="BC43" i="9"/>
  <c r="G24" i="9"/>
  <c r="CZ56" i="9"/>
  <c r="G107" i="9"/>
  <c r="G27" i="9"/>
  <c r="G50" i="9"/>
  <c r="BC108" i="9"/>
  <c r="CZ26" i="9"/>
  <c r="CZ97" i="9"/>
  <c r="BC71" i="9"/>
  <c r="CZ107" i="9"/>
  <c r="BC32" i="9"/>
  <c r="BC28" i="9"/>
  <c r="G112" i="9"/>
  <c r="G38" i="9"/>
  <c r="G79" i="9"/>
  <c r="G70" i="9"/>
  <c r="G59" i="9"/>
  <c r="BC105" i="9"/>
  <c r="BC78" i="9"/>
  <c r="G103" i="9"/>
  <c r="CZ76" i="9"/>
  <c r="CZ71" i="9"/>
  <c r="CZ37" i="9"/>
  <c r="BC58" i="9"/>
  <c r="G53" i="9"/>
  <c r="CZ109" i="9"/>
  <c r="CZ70" i="9"/>
  <c r="CZ51" i="9"/>
  <c r="G76" i="9"/>
  <c r="BC52" i="9"/>
  <c r="BC96" i="9"/>
  <c r="CZ50" i="9"/>
  <c r="CZ45" i="9"/>
  <c r="G106" i="9"/>
  <c r="BC106" i="9"/>
  <c r="BC44" i="9"/>
  <c r="BC25" i="9"/>
  <c r="BC95" i="9"/>
  <c r="BC27" i="9"/>
  <c r="G54" i="9"/>
  <c r="G19" i="9"/>
  <c r="BC77" i="9"/>
  <c r="BC60" i="9"/>
  <c r="G55" i="9"/>
  <c r="BC51" i="9"/>
  <c r="G57" i="9"/>
  <c r="BC104" i="9"/>
  <c r="G104" i="9"/>
  <c r="BC110" i="9"/>
  <c r="CZ59" i="9"/>
  <c r="CZ38" i="9"/>
  <c r="BC84" i="9"/>
  <c r="G97" i="9"/>
  <c r="CZ108" i="9"/>
  <c r="G80" i="9"/>
  <c r="BC89" i="9"/>
  <c r="G102" i="9"/>
  <c r="CZ103" i="9"/>
  <c r="G94" i="9"/>
  <c r="G109" i="9"/>
  <c r="G84" i="9"/>
  <c r="G56" i="9"/>
  <c r="BC111" i="9"/>
  <c r="CZ18" i="9"/>
  <c r="CZ27" i="9"/>
  <c r="CZ95" i="9"/>
  <c r="CZ106" i="9"/>
  <c r="CZ44" i="9"/>
  <c r="CZ55" i="9"/>
  <c r="G18" i="9"/>
  <c r="BC42" i="9"/>
  <c r="G43" i="9"/>
  <c r="BC80" i="9"/>
  <c r="BC24" i="9"/>
  <c r="G26" i="9"/>
  <c r="G71" i="9"/>
  <c r="G89" i="9"/>
  <c r="CZ57" i="9"/>
  <c r="CZ94" i="9"/>
  <c r="G32" i="9"/>
  <c r="CZ111" i="9"/>
  <c r="BC112" i="9"/>
  <c r="G108" i="9"/>
  <c r="BC38" i="9"/>
  <c r="BC94" i="9"/>
  <c r="BC79" i="9"/>
  <c r="BC109" i="9"/>
  <c r="BC70" i="9"/>
  <c r="BC59" i="9"/>
  <c r="BC56" i="9"/>
  <c r="G111" i="9"/>
  <c r="G105" i="9"/>
  <c r="G78" i="9"/>
  <c r="BC103" i="9"/>
  <c r="CZ54" i="9"/>
  <c r="CZ77" i="9"/>
  <c r="CZ105" i="9"/>
  <c r="G58" i="9"/>
  <c r="BC53" i="9"/>
  <c r="CZ79" i="9"/>
  <c r="CZ80" i="9"/>
  <c r="CZ84" i="9"/>
  <c r="BC37" i="9"/>
  <c r="BC18" i="9"/>
  <c r="BC76" i="9"/>
  <c r="G52" i="9"/>
  <c r="G96" i="9"/>
  <c r="CZ42" i="9"/>
  <c r="G42" i="9"/>
  <c r="BC26" i="9"/>
  <c r="CZ104" i="9"/>
  <c r="BC107" i="9"/>
  <c r="G44" i="9"/>
  <c r="G25" i="9"/>
  <c r="BC45" i="9"/>
  <c r="G45" i="9"/>
  <c r="BC102" i="9"/>
  <c r="G95" i="9"/>
  <c r="BC54" i="9"/>
  <c r="BC19" i="9"/>
  <c r="G77" i="9"/>
  <c r="G90" i="9"/>
  <c r="BC90" i="9"/>
  <c r="G60" i="9"/>
  <c r="BC55" i="9"/>
  <c r="G51" i="9"/>
  <c r="BC57" i="9"/>
  <c r="BC50" i="9"/>
  <c r="G110" i="9"/>
  <c r="G28" i="9"/>
  <c r="CZ78" i="9"/>
  <c r="BC97" i="9"/>
  <c r="DX37" i="9" a="1"/>
  <c r="DX37" i="9" s="1"/>
  <c r="AB37" i="9" a="1"/>
  <c r="AB37" i="9" s="1"/>
  <c r="CA37" i="9" a="1"/>
  <c r="CA37" i="9" s="1"/>
  <c r="Y37" i="9" a="1"/>
  <c r="Y37" i="9" s="1"/>
  <c r="AH37" i="9" a="1"/>
  <c r="AH37" i="9" s="1"/>
  <c r="BL37" i="9" a="1"/>
  <c r="BL37" i="9" s="1"/>
  <c r="BX37" i="9" a="1"/>
  <c r="BX37" i="9" s="1"/>
  <c r="AE37" i="9" a="1"/>
  <c r="AE37" i="9" s="1"/>
  <c r="DU37" i="9" a="1"/>
  <c r="DU37" i="9" s="1"/>
  <c r="CD37" i="9" a="1"/>
  <c r="CD37" i="9" s="1"/>
  <c r="BU37" i="9" a="1"/>
  <c r="BU37" i="9" s="1"/>
  <c r="DI37" i="9" a="1"/>
  <c r="DI37" i="9" s="1"/>
  <c r="EA37" i="9" a="1"/>
  <c r="EA37" i="9" s="1"/>
  <c r="DR37" i="9" a="1"/>
  <c r="DR37" i="9" s="1"/>
  <c r="P37" i="9" a="1"/>
  <c r="P37" i="9" s="1"/>
  <c r="DO43" i="9" a="1"/>
  <c r="DO43" i="9" s="1"/>
  <c r="BI43" i="9" a="1"/>
  <c r="BI43" i="9" s="1"/>
  <c r="M43" i="9" a="1"/>
  <c r="M43" i="9" s="1"/>
  <c r="DF43" i="9" a="1"/>
  <c r="DF43" i="9" s="1"/>
  <c r="V43" i="9" a="1"/>
  <c r="V43" i="9" s="1"/>
  <c r="BR43" i="9" a="1"/>
  <c r="BR43" i="9" s="1"/>
  <c r="DI24" i="9" a="1"/>
  <c r="DI24" i="9" s="1"/>
  <c r="Y24" i="9" a="1"/>
  <c r="Y24" i="9" s="1"/>
  <c r="AH24" i="9" a="1"/>
  <c r="AH24" i="9" s="1"/>
  <c r="BU24" i="9" a="1"/>
  <c r="BU24" i="9" s="1"/>
  <c r="P24" i="9" a="1"/>
  <c r="P24" i="9" s="1"/>
  <c r="CA24" i="9" a="1"/>
  <c r="CA24" i="9" s="1"/>
  <c r="DX24" i="9" a="1"/>
  <c r="DX24" i="9" s="1"/>
  <c r="AE24" i="9" a="1"/>
  <c r="AE24" i="9" s="1"/>
  <c r="BX24" i="9" a="1"/>
  <c r="BX24" i="9" s="1"/>
  <c r="BL24" i="9" a="1"/>
  <c r="BL24" i="9" s="1"/>
  <c r="CD24" i="9" a="1"/>
  <c r="CD24" i="9" s="1"/>
  <c r="EA24" i="9" a="1"/>
  <c r="EA24" i="9" s="1"/>
  <c r="DR24" i="9" a="1"/>
  <c r="DR24" i="9" s="1"/>
  <c r="DU24" i="9" a="1"/>
  <c r="DU24" i="9" s="1"/>
  <c r="AB24" i="9" a="1"/>
  <c r="AB24" i="9" s="1"/>
  <c r="DU107" i="9" a="1"/>
  <c r="DU107" i="9" s="1"/>
  <c r="Y107" i="9" a="1"/>
  <c r="Y107" i="9" s="1"/>
  <c r="EA107" i="9" a="1"/>
  <c r="EA107" i="9" s="1"/>
  <c r="AH107" i="9" a="1"/>
  <c r="AH107" i="9" s="1"/>
  <c r="BU107" i="9" a="1"/>
  <c r="BU107" i="9" s="1"/>
  <c r="DR107" i="9" a="1"/>
  <c r="DR107" i="9" s="1"/>
  <c r="CA107" i="9" a="1"/>
  <c r="CA107" i="9" s="1"/>
  <c r="CD107" i="9" a="1"/>
  <c r="CD107" i="9" s="1"/>
  <c r="BL107" i="9" a="1"/>
  <c r="BL107" i="9" s="1"/>
  <c r="BX107" i="9" a="1"/>
  <c r="BX107" i="9" s="1"/>
  <c r="AE107" i="9" a="1"/>
  <c r="AE107" i="9" s="1"/>
  <c r="P107" i="9" a="1"/>
  <c r="P107" i="9" s="1"/>
  <c r="DI107" i="9" a="1"/>
  <c r="DI107" i="9" s="1"/>
  <c r="AB107" i="9" a="1"/>
  <c r="AB107" i="9" s="1"/>
  <c r="DX107" i="9" a="1"/>
  <c r="DX107" i="9" s="1"/>
  <c r="AE27" i="9" a="1"/>
  <c r="AE27" i="9" s="1"/>
  <c r="DI27" i="9" a="1"/>
  <c r="DI27" i="9" s="1"/>
  <c r="DR27" i="9" a="1"/>
  <c r="DR27" i="9" s="1"/>
  <c r="BX27" i="9" a="1"/>
  <c r="BX27" i="9" s="1"/>
  <c r="BL27" i="9" a="1"/>
  <c r="BL27" i="9" s="1"/>
  <c r="DX27" i="9" a="1"/>
  <c r="DX27" i="9" s="1"/>
  <c r="CA27" i="9" a="1"/>
  <c r="CA27" i="9" s="1"/>
  <c r="P27" i="9" a="1"/>
  <c r="P27" i="9" s="1"/>
  <c r="AB27" i="9" a="1"/>
  <c r="AB27" i="9" s="1"/>
  <c r="CD27" i="9" a="1"/>
  <c r="CD27" i="9" s="1"/>
  <c r="BU27" i="9" a="1"/>
  <c r="BU27" i="9" s="1"/>
  <c r="Y27" i="9" a="1"/>
  <c r="Y27" i="9" s="1"/>
  <c r="DU27" i="9" a="1"/>
  <c r="DU27" i="9" s="1"/>
  <c r="EA27" i="9" a="1"/>
  <c r="EA27" i="9" s="1"/>
  <c r="AH27" i="9" a="1"/>
  <c r="AH27" i="9" s="1"/>
  <c r="AB50" i="9" a="1"/>
  <c r="AB50" i="9" s="1"/>
  <c r="AE50" i="9" a="1"/>
  <c r="AE50" i="9" s="1"/>
  <c r="CA50" i="9" a="1"/>
  <c r="CA50" i="9" s="1"/>
  <c r="AH50" i="9" a="1"/>
  <c r="AH50" i="9" s="1"/>
  <c r="BL50" i="9" a="1"/>
  <c r="BL50" i="9" s="1"/>
  <c r="BX50" i="9" a="1"/>
  <c r="BX50" i="9" s="1"/>
  <c r="DX50" i="9" a="1"/>
  <c r="DX50" i="9" s="1"/>
  <c r="DR50" i="9" a="1"/>
  <c r="DR50" i="9" s="1"/>
  <c r="CD50" i="9" a="1"/>
  <c r="CD50" i="9" s="1"/>
  <c r="P50" i="9" a="1"/>
  <c r="P50" i="9" s="1"/>
  <c r="DU50" i="9" a="1"/>
  <c r="DU50" i="9" s="1"/>
  <c r="EA50" i="9" a="1"/>
  <c r="EA50" i="9" s="1"/>
  <c r="Y50" i="9" a="1"/>
  <c r="Y50" i="9" s="1"/>
  <c r="DI50" i="9" a="1"/>
  <c r="DI50" i="9" s="1"/>
  <c r="BU50" i="9" a="1"/>
  <c r="BU50" i="9" s="1"/>
  <c r="BR108" i="9" a="1"/>
  <c r="BR108" i="9" s="1"/>
  <c r="DF108" i="9" a="1"/>
  <c r="DF108" i="9" s="1"/>
  <c r="V108" i="9" a="1"/>
  <c r="V108" i="9" s="1"/>
  <c r="BI108" i="9" a="1"/>
  <c r="BI108" i="9" s="1"/>
  <c r="M108" i="9" a="1"/>
  <c r="M108" i="9" s="1"/>
  <c r="DO108" i="9" a="1"/>
  <c r="DO108" i="9" s="1"/>
  <c r="BR71" i="9" a="1"/>
  <c r="BR71" i="9" s="1"/>
  <c r="DF71" i="9" a="1"/>
  <c r="DF71" i="9" s="1"/>
  <c r="V71" i="9" a="1"/>
  <c r="V71" i="9" s="1"/>
  <c r="DO71" i="9" a="1"/>
  <c r="DO71" i="9" s="1"/>
  <c r="M71" i="9" a="1"/>
  <c r="M71" i="9" s="1"/>
  <c r="BI71" i="9" a="1"/>
  <c r="BI71" i="9" s="1"/>
  <c r="M32" i="9" a="1"/>
  <c r="M32" i="9" s="1"/>
  <c r="BR32" i="9" a="1"/>
  <c r="BR32" i="9" s="1"/>
  <c r="BI32" i="9" a="1"/>
  <c r="BI32" i="9" s="1"/>
  <c r="DF32" i="9" a="1"/>
  <c r="DF32" i="9" s="1"/>
  <c r="DO32" i="9" a="1"/>
  <c r="DO32" i="9" s="1"/>
  <c r="V32" i="9" a="1"/>
  <c r="V32" i="9" s="1"/>
  <c r="BR28" i="9" a="1"/>
  <c r="BR28" i="9" s="1"/>
  <c r="V28" i="9" a="1"/>
  <c r="V28" i="9" s="1"/>
  <c r="DO28" i="9" a="1"/>
  <c r="DO28" i="9" s="1"/>
  <c r="M28" i="9" a="1"/>
  <c r="M28" i="9" s="1"/>
  <c r="BI28" i="9" a="1"/>
  <c r="BI28" i="9" s="1"/>
  <c r="DF28" i="9" a="1"/>
  <c r="DF28" i="9" s="1"/>
  <c r="BU112" i="9" a="1"/>
  <c r="BU112" i="9" s="1"/>
  <c r="P112" i="9" a="1"/>
  <c r="P112" i="9" s="1"/>
  <c r="AB112" i="9" a="1"/>
  <c r="AB112" i="9" s="1"/>
  <c r="EA112" i="9" a="1"/>
  <c r="EA112" i="9" s="1"/>
  <c r="DI112" i="9" a="1"/>
  <c r="DI112" i="9" s="1"/>
  <c r="DU112" i="9" a="1"/>
  <c r="DU112" i="9" s="1"/>
  <c r="Y112" i="9" a="1"/>
  <c r="Y112" i="9" s="1"/>
  <c r="DX112" i="9" a="1"/>
  <c r="DX112" i="9" s="1"/>
  <c r="CA112" i="9" a="1"/>
  <c r="CA112" i="9" s="1"/>
  <c r="AE112" i="9" a="1"/>
  <c r="AE112" i="9" s="1"/>
  <c r="BL112" i="9" a="1"/>
  <c r="BL112" i="9" s="1"/>
  <c r="DR112" i="9" a="1"/>
  <c r="DR112" i="9" s="1"/>
  <c r="BX112" i="9" a="1"/>
  <c r="BX112" i="9" s="1"/>
  <c r="CD112" i="9" a="1"/>
  <c r="CD112" i="9" s="1"/>
  <c r="AH112" i="9" a="1"/>
  <c r="AH112" i="9" s="1"/>
  <c r="EA38" i="9" a="1"/>
  <c r="EA38" i="9" s="1"/>
  <c r="AB38" i="9" a="1"/>
  <c r="AB38" i="9" s="1"/>
  <c r="P38" i="9" a="1"/>
  <c r="P38" i="9" s="1"/>
  <c r="BU38" i="9" a="1"/>
  <c r="BU38" i="9" s="1"/>
  <c r="AE38" i="9" a="1"/>
  <c r="AE38" i="9" s="1"/>
  <c r="BL38" i="9" a="1"/>
  <c r="BL38" i="9" s="1"/>
  <c r="CA38" i="9" a="1"/>
  <c r="CA38" i="9" s="1"/>
  <c r="DX38" i="9" a="1"/>
  <c r="DX38" i="9" s="1"/>
  <c r="DR38" i="9" a="1"/>
  <c r="DR38" i="9" s="1"/>
  <c r="Y38" i="9" a="1"/>
  <c r="Y38" i="9" s="1"/>
  <c r="DI38" i="9" a="1"/>
  <c r="DI38" i="9" s="1"/>
  <c r="BX38" i="9" a="1"/>
  <c r="BX38" i="9" s="1"/>
  <c r="CD38" i="9" a="1"/>
  <c r="CD38" i="9" s="1"/>
  <c r="AH38" i="9" a="1"/>
  <c r="AH38" i="9" s="1"/>
  <c r="DU38" i="9" a="1"/>
  <c r="DU38" i="9" s="1"/>
  <c r="DU79" i="9" a="1"/>
  <c r="DU79" i="9" s="1"/>
  <c r="EA79" i="9" a="1"/>
  <c r="EA79" i="9" s="1"/>
  <c r="Y79" i="9" a="1"/>
  <c r="Y79" i="9" s="1"/>
  <c r="DR79" i="9" a="1"/>
  <c r="DR79" i="9" s="1"/>
  <c r="AB79" i="9" a="1"/>
  <c r="AB79" i="9" s="1"/>
  <c r="BL79" i="9" a="1"/>
  <c r="BL79" i="9" s="1"/>
  <c r="BX79" i="9" a="1"/>
  <c r="BX79" i="9" s="1"/>
  <c r="CA79" i="9" a="1"/>
  <c r="CA79" i="9" s="1"/>
  <c r="DX79" i="9" a="1"/>
  <c r="DX79" i="9" s="1"/>
  <c r="P79" i="9" a="1"/>
  <c r="P79" i="9" s="1"/>
  <c r="CD79" i="9" a="1"/>
  <c r="CD79" i="9" s="1"/>
  <c r="AH79" i="9" a="1"/>
  <c r="AH79" i="9" s="1"/>
  <c r="AE79" i="9" a="1"/>
  <c r="AE79" i="9" s="1"/>
  <c r="BU79" i="9" a="1"/>
  <c r="BU79" i="9" s="1"/>
  <c r="DI79" i="9" a="1"/>
  <c r="DI79" i="9" s="1"/>
  <c r="EA70" i="9" a="1"/>
  <c r="EA70" i="9" s="1"/>
  <c r="DR70" i="9" a="1"/>
  <c r="DR70" i="9" s="1"/>
  <c r="DX70" i="9" a="1"/>
  <c r="DX70" i="9" s="1"/>
  <c r="CD70" i="9" a="1"/>
  <c r="CD70" i="9" s="1"/>
  <c r="Y70" i="9" a="1"/>
  <c r="Y70" i="9" s="1"/>
  <c r="CA70" i="9" a="1"/>
  <c r="CA70" i="9" s="1"/>
  <c r="BL70" i="9" a="1"/>
  <c r="BL70" i="9" s="1"/>
  <c r="P70" i="9" a="1"/>
  <c r="P70" i="9" s="1"/>
  <c r="AH70" i="9" a="1"/>
  <c r="AH70" i="9" s="1"/>
  <c r="BU70" i="9" a="1"/>
  <c r="BU70" i="9" s="1"/>
  <c r="AE70" i="9" a="1"/>
  <c r="AE70" i="9" s="1"/>
  <c r="DI70" i="9" a="1"/>
  <c r="DI70" i="9" s="1"/>
  <c r="AB70" i="9" a="1"/>
  <c r="AB70" i="9" s="1"/>
  <c r="DU70" i="9" a="1"/>
  <c r="DU70" i="9" s="1"/>
  <c r="BX70" i="9" a="1"/>
  <c r="BX70" i="9" s="1"/>
  <c r="DU59" i="9" a="1"/>
  <c r="DU59" i="9" s="1"/>
  <c r="CA59" i="9" a="1"/>
  <c r="CA59" i="9" s="1"/>
  <c r="P59" i="9" a="1"/>
  <c r="P59" i="9" s="1"/>
  <c r="BL59" i="9" a="1"/>
  <c r="BL59" i="9" s="1"/>
  <c r="DI59" i="9" a="1"/>
  <c r="DI59" i="9" s="1"/>
  <c r="EA59" i="9" a="1"/>
  <c r="EA59" i="9" s="1"/>
  <c r="Y59" i="9" a="1"/>
  <c r="Y59" i="9" s="1"/>
  <c r="CD59" i="9" a="1"/>
  <c r="CD59" i="9" s="1"/>
  <c r="AB59" i="9" a="1"/>
  <c r="AB59" i="9" s="1"/>
  <c r="DX59" i="9" a="1"/>
  <c r="DX59" i="9" s="1"/>
  <c r="BX59" i="9" a="1"/>
  <c r="BX59" i="9" s="1"/>
  <c r="AE59" i="9" a="1"/>
  <c r="AE59" i="9" s="1"/>
  <c r="DR59" i="9" a="1"/>
  <c r="DR59" i="9" s="1"/>
  <c r="AH59" i="9" a="1"/>
  <c r="AH59" i="9" s="1"/>
  <c r="BU59" i="9" a="1"/>
  <c r="BU59" i="9" s="1"/>
  <c r="DF105" i="9" a="1"/>
  <c r="DF105" i="9" s="1"/>
  <c r="V105" i="9" a="1"/>
  <c r="V105" i="9" s="1"/>
  <c r="BR105" i="9" a="1"/>
  <c r="BR105" i="9" s="1"/>
  <c r="M105" i="9" a="1"/>
  <c r="M105" i="9" s="1"/>
  <c r="DO105" i="9" a="1"/>
  <c r="DO105" i="9" s="1"/>
  <c r="BI105" i="9" a="1"/>
  <c r="BI105" i="9" s="1"/>
  <c r="V78" i="9" a="1"/>
  <c r="V78" i="9" s="1"/>
  <c r="DO78" i="9" a="1"/>
  <c r="DO78" i="9" s="1"/>
  <c r="DF78" i="9" a="1"/>
  <c r="DF78" i="9" s="1"/>
  <c r="M78" i="9" a="1"/>
  <c r="M78" i="9" s="1"/>
  <c r="BR78" i="9" a="1"/>
  <c r="BR78" i="9" s="1"/>
  <c r="BI78" i="9" a="1"/>
  <c r="BI78" i="9" s="1"/>
  <c r="Y103" i="9" a="1"/>
  <c r="Y103" i="9" s="1"/>
  <c r="AB103" i="9" a="1"/>
  <c r="AB103" i="9" s="1"/>
  <c r="DX103" i="9" a="1"/>
  <c r="DX103" i="9" s="1"/>
  <c r="CD103" i="9" a="1"/>
  <c r="CD103" i="9" s="1"/>
  <c r="BU103" i="9" a="1"/>
  <c r="BU103" i="9" s="1"/>
  <c r="AE103" i="9" a="1"/>
  <c r="AE103" i="9" s="1"/>
  <c r="BL103" i="9" a="1"/>
  <c r="BL103" i="9" s="1"/>
  <c r="P103" i="9" a="1"/>
  <c r="P103" i="9" s="1"/>
  <c r="DI103" i="9" a="1"/>
  <c r="DI103" i="9" s="1"/>
  <c r="AH103" i="9" a="1"/>
  <c r="AH103" i="9" s="1"/>
  <c r="CA103" i="9" a="1"/>
  <c r="CA103" i="9" s="1"/>
  <c r="DR103" i="9" a="1"/>
  <c r="DR103" i="9" s="1"/>
  <c r="BX103" i="9" a="1"/>
  <c r="BX103" i="9" s="1"/>
  <c r="DU103" i="9" a="1"/>
  <c r="DU103" i="9" s="1"/>
  <c r="EA103" i="9" a="1"/>
  <c r="EA103" i="9" s="1"/>
  <c r="DF58" i="9" a="1"/>
  <c r="DF58" i="9" s="1"/>
  <c r="M58" i="9" a="1"/>
  <c r="M58" i="9" s="1"/>
  <c r="DO58" i="9" a="1"/>
  <c r="DO58" i="9" s="1"/>
  <c r="BR58" i="9" a="1"/>
  <c r="BR58" i="9" s="1"/>
  <c r="V58" i="9" a="1"/>
  <c r="V58" i="9" s="1"/>
  <c r="BI58" i="9" a="1"/>
  <c r="BI58" i="9" s="1"/>
  <c r="BU53" i="9" a="1"/>
  <c r="BU53" i="9" s="1"/>
  <c r="BX53" i="9" a="1"/>
  <c r="BX53" i="9" s="1"/>
  <c r="AB53" i="9" a="1"/>
  <c r="AB53" i="9" s="1"/>
  <c r="AH53" i="9" a="1"/>
  <c r="AH53" i="9" s="1"/>
  <c r="EA53" i="9" a="1"/>
  <c r="EA53" i="9" s="1"/>
  <c r="P53" i="9" a="1"/>
  <c r="P53" i="9" s="1"/>
  <c r="AE53" i="9" a="1"/>
  <c r="AE53" i="9" s="1"/>
  <c r="DI53" i="9" a="1"/>
  <c r="DI53" i="9" s="1"/>
  <c r="BL53" i="9" a="1"/>
  <c r="BL53" i="9" s="1"/>
  <c r="CA53" i="9" a="1"/>
  <c r="CA53" i="9" s="1"/>
  <c r="DX53" i="9" a="1"/>
  <c r="DX53" i="9" s="1"/>
  <c r="DR53" i="9" a="1"/>
  <c r="DR53" i="9" s="1"/>
  <c r="CD53" i="9" a="1"/>
  <c r="CD53" i="9" s="1"/>
  <c r="Y53" i="9" a="1"/>
  <c r="Y53" i="9" s="1"/>
  <c r="DU53" i="9" a="1"/>
  <c r="DU53" i="9" s="1"/>
  <c r="DX76" i="9" a="1"/>
  <c r="DX76" i="9" s="1"/>
  <c r="EA76" i="9" a="1"/>
  <c r="EA76" i="9" s="1"/>
  <c r="BU76" i="9" a="1"/>
  <c r="BU76" i="9" s="1"/>
  <c r="DI76" i="9" a="1"/>
  <c r="DI76" i="9" s="1"/>
  <c r="CD76" i="9" a="1"/>
  <c r="CD76" i="9" s="1"/>
  <c r="P76" i="9" a="1"/>
  <c r="P76" i="9" s="1"/>
  <c r="AH76" i="9" a="1"/>
  <c r="AH76" i="9" s="1"/>
  <c r="BL76" i="9" a="1"/>
  <c r="BL76" i="9" s="1"/>
  <c r="Y76" i="9" a="1"/>
  <c r="Y76" i="9" s="1"/>
  <c r="AB76" i="9" a="1"/>
  <c r="AB76" i="9" s="1"/>
  <c r="AE76" i="9" a="1"/>
  <c r="AE76" i="9" s="1"/>
  <c r="BX76" i="9" a="1"/>
  <c r="BX76" i="9" s="1"/>
  <c r="CA76" i="9" a="1"/>
  <c r="CA76" i="9" s="1"/>
  <c r="DU76" i="9" a="1"/>
  <c r="DU76" i="9" s="1"/>
  <c r="DR76" i="9" a="1"/>
  <c r="DR76" i="9" s="1"/>
  <c r="M52" i="9" a="1"/>
  <c r="M52" i="9" s="1"/>
  <c r="DF52" i="9" a="1"/>
  <c r="DF52" i="9" s="1"/>
  <c r="BR52" i="9" a="1"/>
  <c r="BR52" i="9" s="1"/>
  <c r="BI52" i="9" a="1"/>
  <c r="BI52" i="9" s="1"/>
  <c r="V52" i="9" a="1"/>
  <c r="V52" i="9" s="1"/>
  <c r="DO52" i="9" a="1"/>
  <c r="DO52" i="9" s="1"/>
  <c r="BI96" i="9" a="1"/>
  <c r="BI96" i="9" s="1"/>
  <c r="DF96" i="9" a="1"/>
  <c r="DF96" i="9" s="1"/>
  <c r="BR96" i="9" a="1"/>
  <c r="BR96" i="9" s="1"/>
  <c r="M96" i="9" a="1"/>
  <c r="M96" i="9" s="1"/>
  <c r="DO96" i="9" a="1"/>
  <c r="DO96" i="9" s="1"/>
  <c r="V96" i="9" a="1"/>
  <c r="V96" i="9" s="1"/>
  <c r="DR106" i="9" a="1"/>
  <c r="DR106" i="9" s="1"/>
  <c r="BL106" i="9" a="1"/>
  <c r="BL106" i="9" s="1"/>
  <c r="AB106" i="9" a="1"/>
  <c r="AB106" i="9" s="1"/>
  <c r="BX106" i="9" a="1"/>
  <c r="BX106" i="9" s="1"/>
  <c r="BU106" i="9" a="1"/>
  <c r="BU106" i="9" s="1"/>
  <c r="CD106" i="9" a="1"/>
  <c r="CD106" i="9" s="1"/>
  <c r="P106" i="9" a="1"/>
  <c r="P106" i="9" s="1"/>
  <c r="DI106" i="9" a="1"/>
  <c r="DI106" i="9" s="1"/>
  <c r="Y106" i="9" a="1"/>
  <c r="Y106" i="9" s="1"/>
  <c r="EA106" i="9" a="1"/>
  <c r="EA106" i="9" s="1"/>
  <c r="AH106" i="9" a="1"/>
  <c r="AH106" i="9" s="1"/>
  <c r="CA106" i="9" a="1"/>
  <c r="CA106" i="9" s="1"/>
  <c r="DX106" i="9" a="1"/>
  <c r="DX106" i="9" s="1"/>
  <c r="DU106" i="9" a="1"/>
  <c r="DU106" i="9" s="1"/>
  <c r="AE106" i="9" a="1"/>
  <c r="AE106" i="9" s="1"/>
  <c r="BI106" i="9" a="1"/>
  <c r="BI106" i="9" s="1"/>
  <c r="M106" i="9" a="1"/>
  <c r="M106" i="9" s="1"/>
  <c r="V106" i="9" a="1"/>
  <c r="V106" i="9" s="1"/>
  <c r="DF106" i="9" a="1"/>
  <c r="DF106" i="9" s="1"/>
  <c r="DO106" i="9" a="1"/>
  <c r="DO106" i="9" s="1"/>
  <c r="BR106" i="9" a="1"/>
  <c r="BR106" i="9" s="1"/>
  <c r="BI44" i="9" a="1"/>
  <c r="BI44" i="9" s="1"/>
  <c r="DO44" i="9" a="1"/>
  <c r="DO44" i="9" s="1"/>
  <c r="BR44" i="9" a="1"/>
  <c r="BR44" i="9" s="1"/>
  <c r="DF44" i="9" a="1"/>
  <c r="DF44" i="9" s="1"/>
  <c r="V44" i="9" a="1"/>
  <c r="V44" i="9" s="1"/>
  <c r="M44" i="9" a="1"/>
  <c r="M44" i="9" s="1"/>
  <c r="M25" i="9" a="1"/>
  <c r="M25" i="9" s="1"/>
  <c r="BI25" i="9" a="1"/>
  <c r="BI25" i="9" s="1"/>
  <c r="V25" i="9" a="1"/>
  <c r="V25" i="9" s="1"/>
  <c r="DO25" i="9" a="1"/>
  <c r="DO25" i="9" s="1"/>
  <c r="BR25" i="9" a="1"/>
  <c r="BR25" i="9" s="1"/>
  <c r="DF25" i="9" a="1"/>
  <c r="DF25" i="9" s="1"/>
  <c r="BI95" i="9" a="1"/>
  <c r="BI95" i="9" s="1"/>
  <c r="BR95" i="9" a="1"/>
  <c r="BR95" i="9" s="1"/>
  <c r="DF95" i="9" a="1"/>
  <c r="DF95" i="9" s="1"/>
  <c r="M95" i="9" a="1"/>
  <c r="M95" i="9" s="1"/>
  <c r="DO95" i="9" a="1"/>
  <c r="DO95" i="9" s="1"/>
  <c r="V95" i="9" a="1"/>
  <c r="V95" i="9" s="1"/>
  <c r="BI27" i="9" a="1"/>
  <c r="BI27" i="9" s="1"/>
  <c r="M27" i="9" a="1"/>
  <c r="M27" i="9" s="1"/>
  <c r="DO27" i="9" a="1"/>
  <c r="DO27" i="9" s="1"/>
  <c r="DF27" i="9" a="1"/>
  <c r="DF27" i="9" s="1"/>
  <c r="V27" i="9" a="1"/>
  <c r="V27" i="9" s="1"/>
  <c r="BR27" i="9" a="1"/>
  <c r="BR27" i="9" s="1"/>
  <c r="BX54" i="9" a="1"/>
  <c r="BX54" i="9" s="1"/>
  <c r="P54" i="9" a="1"/>
  <c r="P54" i="9" s="1"/>
  <c r="BL54" i="9" a="1"/>
  <c r="BL54" i="9" s="1"/>
  <c r="CD54" i="9" a="1"/>
  <c r="CD54" i="9" s="1"/>
  <c r="Y54" i="9" a="1"/>
  <c r="Y54" i="9" s="1"/>
  <c r="DR54" i="9" a="1"/>
  <c r="DR54" i="9" s="1"/>
  <c r="EA54" i="9" a="1"/>
  <c r="EA54" i="9" s="1"/>
  <c r="DI54" i="9" a="1"/>
  <c r="DI54" i="9" s="1"/>
  <c r="AE54" i="9" a="1"/>
  <c r="AE54" i="9" s="1"/>
  <c r="DX54" i="9" a="1"/>
  <c r="DX54" i="9" s="1"/>
  <c r="BU54" i="9" a="1"/>
  <c r="BU54" i="9" s="1"/>
  <c r="CA54" i="9" a="1"/>
  <c r="CA54" i="9" s="1"/>
  <c r="AB54" i="9" a="1"/>
  <c r="AB54" i="9" s="1"/>
  <c r="DU54" i="9" a="1"/>
  <c r="DU54" i="9" s="1"/>
  <c r="AH54" i="9" a="1"/>
  <c r="AH54" i="9" s="1"/>
  <c r="CA19" i="9" a="1"/>
  <c r="CA19" i="9" s="1"/>
  <c r="DR19" i="9" a="1"/>
  <c r="DR19" i="9" s="1"/>
  <c r="DU19" i="9" a="1"/>
  <c r="DU19" i="9" s="1"/>
  <c r="P19" i="9" a="1"/>
  <c r="P19" i="9" s="1"/>
  <c r="AE19" i="9" a="1"/>
  <c r="AE19" i="9" s="1"/>
  <c r="AH19" i="9" a="1"/>
  <c r="AH19" i="9" s="1"/>
  <c r="CD19" i="9" a="1"/>
  <c r="CD19" i="9" s="1"/>
  <c r="BX19" i="9" a="1"/>
  <c r="BX19" i="9" s="1"/>
  <c r="AB19" i="9" a="1"/>
  <c r="AB19" i="9" s="1"/>
  <c r="EA19" i="9" a="1"/>
  <c r="EA19" i="9" s="1"/>
  <c r="Y19" i="9" a="1"/>
  <c r="Y19" i="9" s="1"/>
  <c r="BU19" i="9" a="1"/>
  <c r="BU19" i="9" s="1"/>
  <c r="DI19" i="9" a="1"/>
  <c r="DI19" i="9" s="1"/>
  <c r="DX19" i="9" a="1"/>
  <c r="DX19" i="9" s="1"/>
  <c r="BL19" i="9" a="1"/>
  <c r="BL19" i="9" s="1"/>
  <c r="V77" i="9" a="1"/>
  <c r="V77" i="9" s="1"/>
  <c r="BI77" i="9" a="1"/>
  <c r="BI77" i="9" s="1"/>
  <c r="DO77" i="9" a="1"/>
  <c r="DO77" i="9" s="1"/>
  <c r="M77" i="9" a="1"/>
  <c r="M77" i="9" s="1"/>
  <c r="BR77" i="9" a="1"/>
  <c r="BR77" i="9" s="1"/>
  <c r="DF77" i="9" a="1"/>
  <c r="DF77" i="9" s="1"/>
  <c r="BR60" i="9" a="1"/>
  <c r="BR60" i="9" s="1"/>
  <c r="V60" i="9" a="1"/>
  <c r="V60" i="9" s="1"/>
  <c r="BI60" i="9" a="1"/>
  <c r="BI60" i="9" s="1"/>
  <c r="DF60" i="9" a="1"/>
  <c r="DF60" i="9" s="1"/>
  <c r="DO60" i="9" a="1"/>
  <c r="DO60" i="9" s="1"/>
  <c r="M60" i="9" a="1"/>
  <c r="M60" i="9" s="1"/>
  <c r="BX55" i="9" a="1"/>
  <c r="BX55" i="9" s="1"/>
  <c r="BL55" i="9" a="1"/>
  <c r="BL55" i="9" s="1"/>
  <c r="CA55" i="9" a="1"/>
  <c r="CA55" i="9" s="1"/>
  <c r="P55" i="9" a="1"/>
  <c r="P55" i="9" s="1"/>
  <c r="DX55" i="9" a="1"/>
  <c r="DX55" i="9" s="1"/>
  <c r="Y55" i="9" a="1"/>
  <c r="Y55" i="9" s="1"/>
  <c r="AH55" i="9" a="1"/>
  <c r="AH55" i="9" s="1"/>
  <c r="DI55" i="9" a="1"/>
  <c r="DI55" i="9" s="1"/>
  <c r="CD55" i="9" a="1"/>
  <c r="CD55" i="9" s="1"/>
  <c r="BU55" i="9" a="1"/>
  <c r="BU55" i="9" s="1"/>
  <c r="AB55" i="9" a="1"/>
  <c r="AB55" i="9" s="1"/>
  <c r="DU55" i="9" a="1"/>
  <c r="DU55" i="9" s="1"/>
  <c r="EA55" i="9" a="1"/>
  <c r="EA55" i="9" s="1"/>
  <c r="AE55" i="9" a="1"/>
  <c r="AE55" i="9" s="1"/>
  <c r="DR55" i="9" a="1"/>
  <c r="DR55" i="9" s="1"/>
  <c r="DF51" i="9" a="1"/>
  <c r="DF51" i="9" s="1"/>
  <c r="M51" i="9" a="1"/>
  <c r="M51" i="9" s="1"/>
  <c r="DO51" i="9" a="1"/>
  <c r="DO51" i="9" s="1"/>
  <c r="BI51" i="9" a="1"/>
  <c r="BI51" i="9" s="1"/>
  <c r="V51" i="9" a="1"/>
  <c r="V51" i="9" s="1"/>
  <c r="BR51" i="9" a="1"/>
  <c r="BR51" i="9" s="1"/>
  <c r="Y57" i="9" a="1"/>
  <c r="Y57" i="9" s="1"/>
  <c r="DR57" i="9" a="1"/>
  <c r="DR57" i="9" s="1"/>
  <c r="EA57" i="9" a="1"/>
  <c r="EA57" i="9" s="1"/>
  <c r="AE57" i="9" a="1"/>
  <c r="AE57" i="9" s="1"/>
  <c r="AB57" i="9" a="1"/>
  <c r="AB57" i="9" s="1"/>
  <c r="DX57" i="9" a="1"/>
  <c r="DX57" i="9" s="1"/>
  <c r="BX57" i="9" a="1"/>
  <c r="BX57" i="9" s="1"/>
  <c r="CA57" i="9" a="1"/>
  <c r="CA57" i="9" s="1"/>
  <c r="P57" i="9" a="1"/>
  <c r="P57" i="9" s="1"/>
  <c r="DI57" i="9" a="1"/>
  <c r="DI57" i="9" s="1"/>
  <c r="BU57" i="9" a="1"/>
  <c r="BU57" i="9" s="1"/>
  <c r="CD57" i="9" a="1"/>
  <c r="CD57" i="9" s="1"/>
  <c r="AH57" i="9" a="1"/>
  <c r="AH57" i="9" s="1"/>
  <c r="BL57" i="9" a="1"/>
  <c r="BL57" i="9" s="1"/>
  <c r="DU57" i="9" a="1"/>
  <c r="DU57" i="9" s="1"/>
  <c r="M104" i="9" a="1"/>
  <c r="M104" i="9" s="1"/>
  <c r="BR104" i="9" a="1"/>
  <c r="BR104" i="9" s="1"/>
  <c r="BI104" i="9" a="1"/>
  <c r="BI104" i="9" s="1"/>
  <c r="V104" i="9" a="1"/>
  <c r="V104" i="9" s="1"/>
  <c r="DO104" i="9" a="1"/>
  <c r="DO104" i="9" s="1"/>
  <c r="DF104" i="9" a="1"/>
  <c r="DF104" i="9" s="1"/>
  <c r="EA104" i="9" a="1"/>
  <c r="EA104" i="9" s="1"/>
  <c r="DR104" i="9" a="1"/>
  <c r="DR104" i="9" s="1"/>
  <c r="CA104" i="9" a="1"/>
  <c r="CA104" i="9" s="1"/>
  <c r="AE104" i="9" a="1"/>
  <c r="AE104" i="9" s="1"/>
  <c r="AB104" i="9" a="1"/>
  <c r="AB104" i="9" s="1"/>
  <c r="BU104" i="9" a="1"/>
  <c r="BU104" i="9" s="1"/>
  <c r="DU104" i="9" a="1"/>
  <c r="DU104" i="9" s="1"/>
  <c r="BX104" i="9" a="1"/>
  <c r="BX104" i="9" s="1"/>
  <c r="CD104" i="9" a="1"/>
  <c r="CD104" i="9" s="1"/>
  <c r="DI104" i="9" a="1"/>
  <c r="DI104" i="9" s="1"/>
  <c r="AH104" i="9" a="1"/>
  <c r="AH104" i="9" s="1"/>
  <c r="DX104" i="9" a="1"/>
  <c r="DX104" i="9" s="1"/>
  <c r="Y104" i="9" a="1"/>
  <c r="Y104" i="9" s="1"/>
  <c r="BL104" i="9" a="1"/>
  <c r="BL104" i="9" s="1"/>
  <c r="P104" i="9" a="1"/>
  <c r="P104" i="9" s="1"/>
  <c r="BI110" i="9" a="1"/>
  <c r="BI110" i="9" s="1"/>
  <c r="BR110" i="9" a="1"/>
  <c r="BR110" i="9" s="1"/>
  <c r="M110" i="9" a="1"/>
  <c r="M110" i="9" s="1"/>
  <c r="DF110" i="9" a="1"/>
  <c r="DF110" i="9" s="1"/>
  <c r="DO110" i="9" a="1"/>
  <c r="DO110" i="9" s="1"/>
  <c r="V110" i="9" a="1"/>
  <c r="V110" i="9" s="1"/>
  <c r="DF84" i="9" a="1"/>
  <c r="DF84" i="9" s="1"/>
  <c r="BR84" i="9" a="1"/>
  <c r="BR84" i="9" s="1"/>
  <c r="BI84" i="9" a="1"/>
  <c r="BI84" i="9" s="1"/>
  <c r="V84" i="9" a="1"/>
  <c r="V84" i="9" s="1"/>
  <c r="DO84" i="9" a="1"/>
  <c r="DO84" i="9" s="1"/>
  <c r="M84" i="9" a="1"/>
  <c r="M84" i="9" s="1"/>
  <c r="BL97" i="9" a="1"/>
  <c r="BL97" i="9" s="1"/>
  <c r="P97" i="9" a="1"/>
  <c r="P97" i="9" s="1"/>
  <c r="DX97" i="9" a="1"/>
  <c r="DX97" i="9" s="1"/>
  <c r="DU97" i="9" a="1"/>
  <c r="DU97" i="9" s="1"/>
  <c r="BU97" i="9" a="1"/>
  <c r="BU97" i="9" s="1"/>
  <c r="EA97" i="9" a="1"/>
  <c r="EA97" i="9" s="1"/>
  <c r="BX97" i="9" a="1"/>
  <c r="BX97" i="9" s="1"/>
  <c r="CA97" i="9" a="1"/>
  <c r="CA97" i="9" s="1"/>
  <c r="DI97" i="9" a="1"/>
  <c r="DI97" i="9" s="1"/>
  <c r="DR97" i="9" a="1"/>
  <c r="DR97" i="9" s="1"/>
  <c r="Y97" i="9" a="1"/>
  <c r="Y97" i="9" s="1"/>
  <c r="AB97" i="9" a="1"/>
  <c r="AB97" i="9" s="1"/>
  <c r="CD97" i="9" a="1"/>
  <c r="CD97" i="9" s="1"/>
  <c r="AE97" i="9" a="1"/>
  <c r="AE97" i="9" s="1"/>
  <c r="AH97" i="9" a="1"/>
  <c r="AH97" i="9" s="1"/>
  <c r="AH80" i="9" a="1"/>
  <c r="AH80" i="9" s="1"/>
  <c r="DX80" i="9" a="1"/>
  <c r="DX80" i="9" s="1"/>
  <c r="DU80" i="9" a="1"/>
  <c r="DU80" i="9" s="1"/>
  <c r="P80" i="9" a="1"/>
  <c r="P80" i="9" s="1"/>
  <c r="EA80" i="9" a="1"/>
  <c r="EA80" i="9" s="1"/>
  <c r="BL80" i="9" a="1"/>
  <c r="BL80" i="9" s="1"/>
  <c r="DR80" i="9" a="1"/>
  <c r="DR80" i="9" s="1"/>
  <c r="DI80" i="9" a="1"/>
  <c r="DI80" i="9" s="1"/>
  <c r="AB80" i="9" a="1"/>
  <c r="AB80" i="9" s="1"/>
  <c r="CD80" i="9" a="1"/>
  <c r="CD80" i="9" s="1"/>
  <c r="AE80" i="9" a="1"/>
  <c r="AE80" i="9" s="1"/>
  <c r="BU80" i="9" a="1"/>
  <c r="BU80" i="9" s="1"/>
  <c r="CA80" i="9" a="1"/>
  <c r="CA80" i="9" s="1"/>
  <c r="Y80" i="9" a="1"/>
  <c r="Y80" i="9" s="1"/>
  <c r="BX80" i="9" a="1"/>
  <c r="BX80" i="9" s="1"/>
  <c r="BR89" i="9" a="1"/>
  <c r="BR89" i="9" s="1"/>
  <c r="V89" i="9" a="1"/>
  <c r="V89" i="9" s="1"/>
  <c r="DF89" i="9" a="1"/>
  <c r="DF89" i="9" s="1"/>
  <c r="BI89" i="9" a="1"/>
  <c r="BI89" i="9" s="1"/>
  <c r="DO89" i="9" a="1"/>
  <c r="DO89" i="9" s="1"/>
  <c r="M89" i="9" a="1"/>
  <c r="M89" i="9" s="1"/>
  <c r="CD102" i="9" a="1"/>
  <c r="CD102" i="9" s="1"/>
  <c r="BX102" i="9" a="1"/>
  <c r="BX102" i="9" s="1"/>
  <c r="EA102" i="9" a="1"/>
  <c r="EA102" i="9" s="1"/>
  <c r="DR102" i="9" a="1"/>
  <c r="DR102" i="9" s="1"/>
  <c r="Y102" i="9" a="1"/>
  <c r="Y102" i="9" s="1"/>
  <c r="DX102" i="9" a="1"/>
  <c r="DX102" i="9" s="1"/>
  <c r="DI102" i="9" a="1"/>
  <c r="DI102" i="9" s="1"/>
  <c r="P102" i="9" a="1"/>
  <c r="P102" i="9" s="1"/>
  <c r="AH102" i="9" a="1"/>
  <c r="AH102" i="9" s="1"/>
  <c r="AB102" i="9" a="1"/>
  <c r="AB102" i="9" s="1"/>
  <c r="BU102" i="9" a="1"/>
  <c r="BU102" i="9" s="1"/>
  <c r="DU102" i="9" a="1"/>
  <c r="DU102" i="9" s="1"/>
  <c r="BL102" i="9" a="1"/>
  <c r="BL102" i="9" s="1"/>
  <c r="AE102" i="9" a="1"/>
  <c r="AE102" i="9" s="1"/>
  <c r="CA102" i="9" a="1"/>
  <c r="CA102" i="9" s="1"/>
  <c r="DX94" i="9" a="1"/>
  <c r="DX94" i="9" s="1"/>
  <c r="AE94" i="9" a="1"/>
  <c r="AE94" i="9" s="1"/>
  <c r="Y94" i="9" a="1"/>
  <c r="Y94" i="9" s="1"/>
  <c r="DR94" i="9" a="1"/>
  <c r="DR94" i="9" s="1"/>
  <c r="BX94" i="9" a="1"/>
  <c r="BX94" i="9" s="1"/>
  <c r="BL94" i="9" a="1"/>
  <c r="BL94" i="9" s="1"/>
  <c r="DI94" i="9" a="1"/>
  <c r="DI94" i="9" s="1"/>
  <c r="CA94" i="9" a="1"/>
  <c r="CA94" i="9" s="1"/>
  <c r="P94" i="9" a="1"/>
  <c r="P94" i="9" s="1"/>
  <c r="AH94" i="9" a="1"/>
  <c r="AH94" i="9" s="1"/>
  <c r="AB94" i="9" a="1"/>
  <c r="AB94" i="9" s="1"/>
  <c r="BU94" i="9" a="1"/>
  <c r="BU94" i="9" s="1"/>
  <c r="DU94" i="9" a="1"/>
  <c r="DU94" i="9" s="1"/>
  <c r="CD94" i="9" a="1"/>
  <c r="CD94" i="9" s="1"/>
  <c r="EA94" i="9" a="1"/>
  <c r="EA94" i="9" s="1"/>
  <c r="DI109" i="9" a="1"/>
  <c r="DI109" i="9" s="1"/>
  <c r="DU109" i="9" a="1"/>
  <c r="DU109" i="9" s="1"/>
  <c r="BL109" i="9" a="1"/>
  <c r="BL109" i="9" s="1"/>
  <c r="AH109" i="9" a="1"/>
  <c r="AH109" i="9" s="1"/>
  <c r="CD109" i="9" a="1"/>
  <c r="CD109" i="9" s="1"/>
  <c r="CA109" i="9" a="1"/>
  <c r="CA109" i="9" s="1"/>
  <c r="EA109" i="9" a="1"/>
  <c r="EA109" i="9" s="1"/>
  <c r="Y109" i="9" a="1"/>
  <c r="Y109" i="9" s="1"/>
  <c r="BX109" i="9" a="1"/>
  <c r="BX109" i="9" s="1"/>
  <c r="AE109" i="9" a="1"/>
  <c r="AE109" i="9" s="1"/>
  <c r="P109" i="9" a="1"/>
  <c r="P109" i="9" s="1"/>
  <c r="DR109" i="9" a="1"/>
  <c r="DR109" i="9" s="1"/>
  <c r="BU109" i="9" a="1"/>
  <c r="BU109" i="9" s="1"/>
  <c r="DX109" i="9" a="1"/>
  <c r="DX109" i="9" s="1"/>
  <c r="AB109" i="9" a="1"/>
  <c r="AB109" i="9" s="1"/>
  <c r="EA84" i="9" a="1"/>
  <c r="EA84" i="9" s="1"/>
  <c r="CD84" i="9" a="1"/>
  <c r="CD84" i="9" s="1"/>
  <c r="BX84" i="9" a="1"/>
  <c r="BX84" i="9" s="1"/>
  <c r="AB84" i="9" a="1"/>
  <c r="AB84" i="9" s="1"/>
  <c r="DR84" i="9" a="1"/>
  <c r="DR84" i="9" s="1"/>
  <c r="Y84" i="9" a="1"/>
  <c r="Y84" i="9" s="1"/>
  <c r="P84" i="9" a="1"/>
  <c r="P84" i="9" s="1"/>
  <c r="AE84" i="9" a="1"/>
  <c r="AE84" i="9" s="1"/>
  <c r="BU84" i="9" a="1"/>
  <c r="BU84" i="9" s="1"/>
  <c r="DU84" i="9" a="1"/>
  <c r="DU84" i="9" s="1"/>
  <c r="DX84" i="9" a="1"/>
  <c r="DX84" i="9" s="1"/>
  <c r="BL84" i="9" a="1"/>
  <c r="BL84" i="9" s="1"/>
  <c r="AH84" i="9" a="1"/>
  <c r="AH84" i="9" s="1"/>
  <c r="DI84" i="9" a="1"/>
  <c r="DI84" i="9" s="1"/>
  <c r="CA84" i="9" a="1"/>
  <c r="CA84" i="9" s="1"/>
  <c r="BX56" i="9" a="1"/>
  <c r="BX56" i="9" s="1"/>
  <c r="AB56" i="9" a="1"/>
  <c r="AB56" i="9" s="1"/>
  <c r="DX56" i="9" a="1"/>
  <c r="DX56" i="9" s="1"/>
  <c r="BL56" i="9" a="1"/>
  <c r="BL56" i="9" s="1"/>
  <c r="P56" i="9" a="1"/>
  <c r="P56" i="9" s="1"/>
  <c r="DR56" i="9" a="1"/>
  <c r="DR56" i="9" s="1"/>
  <c r="Y56" i="9" a="1"/>
  <c r="Y56" i="9" s="1"/>
  <c r="DU56" i="9" a="1"/>
  <c r="DU56" i="9" s="1"/>
  <c r="CA56" i="9" a="1"/>
  <c r="CA56" i="9" s="1"/>
  <c r="AH56" i="9" a="1"/>
  <c r="AH56" i="9" s="1"/>
  <c r="AE56" i="9" a="1"/>
  <c r="AE56" i="9" s="1"/>
  <c r="EA56" i="9" a="1"/>
  <c r="EA56" i="9" s="1"/>
  <c r="CD56" i="9" a="1"/>
  <c r="CD56" i="9" s="1"/>
  <c r="DI56" i="9" a="1"/>
  <c r="DI56" i="9" s="1"/>
  <c r="BU56" i="9" a="1"/>
  <c r="BU56" i="9" s="1"/>
  <c r="DF111" i="9" a="1"/>
  <c r="DF111" i="9" s="1"/>
  <c r="BI111" i="9" a="1"/>
  <c r="BI111" i="9" s="1"/>
  <c r="M111" i="9" a="1"/>
  <c r="M111" i="9" s="1"/>
  <c r="V111" i="9" a="1"/>
  <c r="V111" i="9" s="1"/>
  <c r="DO111" i="9" a="1"/>
  <c r="DO111" i="9" s="1"/>
  <c r="BR111" i="9" a="1"/>
  <c r="BR111" i="9" s="1"/>
  <c r="DU18" i="9" a="1"/>
  <c r="DU18" i="9" s="1"/>
  <c r="AE18" i="9" a="1"/>
  <c r="AE18" i="9" s="1"/>
  <c r="CD18" i="9" a="1"/>
  <c r="CD18" i="9" s="1"/>
  <c r="CA18" i="9" a="1"/>
  <c r="CA18" i="9" s="1"/>
  <c r="AH18" i="9" a="1"/>
  <c r="AH18" i="9" s="1"/>
  <c r="BU18" i="9" a="1"/>
  <c r="BU18" i="9" s="1"/>
  <c r="DX18" i="9" a="1"/>
  <c r="DX18" i="9" s="1"/>
  <c r="DR18" i="9" a="1"/>
  <c r="DR18" i="9" s="1"/>
  <c r="EA18" i="9" a="1"/>
  <c r="EA18" i="9" s="1"/>
  <c r="BX18" i="9" a="1"/>
  <c r="BX18" i="9" s="1"/>
  <c r="P18" i="9" a="1"/>
  <c r="P18" i="9" s="1"/>
  <c r="BL18" i="9" a="1"/>
  <c r="BL18" i="9" s="1"/>
  <c r="AB18" i="9" a="1"/>
  <c r="AB18" i="9" s="1"/>
  <c r="DI18" i="9" a="1"/>
  <c r="DI18" i="9" s="1"/>
  <c r="Y18" i="9" a="1"/>
  <c r="Y18" i="9" s="1"/>
  <c r="DF42" i="9" a="1"/>
  <c r="DF42" i="9" s="1"/>
  <c r="BI42" i="9" a="1"/>
  <c r="BI42" i="9" s="1"/>
  <c r="V42" i="9" a="1"/>
  <c r="V42" i="9" s="1"/>
  <c r="DO42" i="9" a="1"/>
  <c r="DO42" i="9" s="1"/>
  <c r="M42" i="9" a="1"/>
  <c r="M42" i="9" s="1"/>
  <c r="BR42" i="9" a="1"/>
  <c r="BR42" i="9" s="1"/>
  <c r="P43" i="9" a="1"/>
  <c r="P43" i="9" s="1"/>
  <c r="DU43" i="9" a="1"/>
  <c r="DU43" i="9" s="1"/>
  <c r="BU43" i="9" a="1"/>
  <c r="BU43" i="9" s="1"/>
  <c r="BL43" i="9" a="1"/>
  <c r="BL43" i="9" s="1"/>
  <c r="AB43" i="9" a="1"/>
  <c r="AB43" i="9" s="1"/>
  <c r="CD43" i="9" a="1"/>
  <c r="CD43" i="9" s="1"/>
  <c r="DI43" i="9" a="1"/>
  <c r="DI43" i="9" s="1"/>
  <c r="DX43" i="9" a="1"/>
  <c r="DX43" i="9" s="1"/>
  <c r="AH43" i="9" a="1"/>
  <c r="AH43" i="9" s="1"/>
  <c r="BX43" i="9" a="1"/>
  <c r="BX43" i="9" s="1"/>
  <c r="DR43" i="9" a="1"/>
  <c r="DR43" i="9" s="1"/>
  <c r="CA43" i="9" a="1"/>
  <c r="CA43" i="9" s="1"/>
  <c r="EA43" i="9" a="1"/>
  <c r="EA43" i="9" s="1"/>
  <c r="AE43" i="9" a="1"/>
  <c r="AE43" i="9" s="1"/>
  <c r="Y43" i="9" a="1"/>
  <c r="Y43" i="9" s="1"/>
  <c r="DF80" i="9" a="1"/>
  <c r="DF80" i="9" s="1"/>
  <c r="DO80" i="9" a="1"/>
  <c r="DO80" i="9" s="1"/>
  <c r="M80" i="9" a="1"/>
  <c r="M80" i="9" s="1"/>
  <c r="BI80" i="9" a="1"/>
  <c r="BI80" i="9" s="1"/>
  <c r="BR80" i="9" a="1"/>
  <c r="BR80" i="9" s="1"/>
  <c r="V80" i="9" a="1"/>
  <c r="V80" i="9" s="1"/>
  <c r="V24" i="9" a="1"/>
  <c r="V24" i="9" s="1"/>
  <c r="DO24" i="9" a="1"/>
  <c r="DO24" i="9" s="1"/>
  <c r="BI24" i="9" a="1"/>
  <c r="BI24" i="9" s="1"/>
  <c r="DF24" i="9" a="1"/>
  <c r="DF24" i="9" s="1"/>
  <c r="BR24" i="9" a="1"/>
  <c r="BR24" i="9" s="1"/>
  <c r="M24" i="9" a="1"/>
  <c r="M24" i="9" s="1"/>
  <c r="AB26" i="9" a="1"/>
  <c r="AB26" i="9" s="1"/>
  <c r="BL26" i="9" a="1"/>
  <c r="BL26" i="9" s="1"/>
  <c r="BX26" i="9" a="1"/>
  <c r="BX26" i="9" s="1"/>
  <c r="Y26" i="9" a="1"/>
  <c r="Y26" i="9" s="1"/>
  <c r="AE26" i="9" a="1"/>
  <c r="AE26" i="9" s="1"/>
  <c r="P26" i="9" a="1"/>
  <c r="P26" i="9" s="1"/>
  <c r="DR26" i="9" a="1"/>
  <c r="DR26" i="9" s="1"/>
  <c r="BU26" i="9" a="1"/>
  <c r="BU26" i="9" s="1"/>
  <c r="EA26" i="9" a="1"/>
  <c r="EA26" i="9" s="1"/>
  <c r="CA26" i="9" a="1"/>
  <c r="CA26" i="9" s="1"/>
  <c r="CD26" i="9" a="1"/>
  <c r="CD26" i="9" s="1"/>
  <c r="DX26" i="9" a="1"/>
  <c r="DX26" i="9" s="1"/>
  <c r="DI26" i="9" a="1"/>
  <c r="DI26" i="9" s="1"/>
  <c r="AH26" i="9" a="1"/>
  <c r="AH26" i="9" s="1"/>
  <c r="DU26" i="9" a="1"/>
  <c r="DU26" i="9" s="1"/>
  <c r="DR71" i="9" a="1"/>
  <c r="DR71" i="9" s="1"/>
  <c r="AE71" i="9" a="1"/>
  <c r="AE71" i="9" s="1"/>
  <c r="BU71" i="9" a="1"/>
  <c r="BU71" i="9" s="1"/>
  <c r="BX71" i="9" a="1"/>
  <c r="BX71" i="9" s="1"/>
  <c r="Y71" i="9" a="1"/>
  <c r="Y71" i="9" s="1"/>
  <c r="P71" i="9" a="1"/>
  <c r="P71" i="9" s="1"/>
  <c r="DU71" i="9" a="1"/>
  <c r="DU71" i="9" s="1"/>
  <c r="DI71" i="9" a="1"/>
  <c r="DI71" i="9" s="1"/>
  <c r="CA71" i="9" a="1"/>
  <c r="CA71" i="9" s="1"/>
  <c r="BL71" i="9" a="1"/>
  <c r="BL71" i="9" s="1"/>
  <c r="AH71" i="9" a="1"/>
  <c r="AH71" i="9" s="1"/>
  <c r="CD71" i="9" a="1"/>
  <c r="CD71" i="9" s="1"/>
  <c r="EA71" i="9" a="1"/>
  <c r="EA71" i="9" s="1"/>
  <c r="AB71" i="9" a="1"/>
  <c r="AB71" i="9" s="1"/>
  <c r="DX71" i="9" a="1"/>
  <c r="DX71" i="9" s="1"/>
  <c r="EA89" i="9" a="1"/>
  <c r="EA89" i="9" s="1"/>
  <c r="DR89" i="9" a="1"/>
  <c r="DR89" i="9" s="1"/>
  <c r="AH89" i="9" a="1"/>
  <c r="AH89" i="9" s="1"/>
  <c r="Y89" i="9" a="1"/>
  <c r="Y89" i="9" s="1"/>
  <c r="DX89" i="9" a="1"/>
  <c r="DX89" i="9" s="1"/>
  <c r="CA89" i="9" a="1"/>
  <c r="CA89" i="9" s="1"/>
  <c r="BX89" i="9" a="1"/>
  <c r="BX89" i="9" s="1"/>
  <c r="P89" i="9" a="1"/>
  <c r="P89" i="9" s="1"/>
  <c r="DU89" i="9" a="1"/>
  <c r="DU89" i="9" s="1"/>
  <c r="DI89" i="9" a="1"/>
  <c r="DI89" i="9" s="1"/>
  <c r="BL89" i="9" a="1"/>
  <c r="BL89" i="9" s="1"/>
  <c r="CD89" i="9" a="1"/>
  <c r="CD89" i="9" s="1"/>
  <c r="BU89" i="9" a="1"/>
  <c r="BU89" i="9" s="1"/>
  <c r="AB89" i="9" a="1"/>
  <c r="AB89" i="9" s="1"/>
  <c r="AE89" i="9" a="1"/>
  <c r="AE89" i="9" s="1"/>
  <c r="CD32" i="9" a="1"/>
  <c r="CD32" i="9" s="1"/>
  <c r="AB32" i="9" a="1"/>
  <c r="AB32" i="9" s="1"/>
  <c r="EA32" i="9" a="1"/>
  <c r="EA32" i="9" s="1"/>
  <c r="DX32" i="9" a="1"/>
  <c r="DX32" i="9" s="1"/>
  <c r="AH32" i="9" a="1"/>
  <c r="AH32" i="9" s="1"/>
  <c r="P32" i="9" a="1"/>
  <c r="P32" i="9" s="1"/>
  <c r="BX32" i="9" a="1"/>
  <c r="BX32" i="9" s="1"/>
  <c r="DI32" i="9" a="1"/>
  <c r="DI32" i="9" s="1"/>
  <c r="AE32" i="9" a="1"/>
  <c r="AE32" i="9" s="1"/>
  <c r="DR32" i="9" a="1"/>
  <c r="DR32" i="9" s="1"/>
  <c r="CA32" i="9" a="1"/>
  <c r="CA32" i="9" s="1"/>
  <c r="Y32" i="9" a="1"/>
  <c r="Y32" i="9" s="1"/>
  <c r="DU32" i="9" a="1"/>
  <c r="DU32" i="9" s="1"/>
  <c r="BU32" i="9" a="1"/>
  <c r="BU32" i="9" s="1"/>
  <c r="BL32" i="9" a="1"/>
  <c r="BL32" i="9" s="1"/>
  <c r="DO112" i="9" a="1"/>
  <c r="DO112" i="9" s="1"/>
  <c r="BI112" i="9" a="1"/>
  <c r="BI112" i="9" s="1"/>
  <c r="DF112" i="9" a="1"/>
  <c r="DF112" i="9" s="1"/>
  <c r="M112" i="9" a="1"/>
  <c r="M112" i="9" s="1"/>
  <c r="BR112" i="9" a="1"/>
  <c r="BR112" i="9" s="1"/>
  <c r="V112" i="9" a="1"/>
  <c r="V112" i="9" s="1"/>
  <c r="DX108" i="9" a="1"/>
  <c r="DX108" i="9" s="1"/>
  <c r="AB108" i="9" a="1"/>
  <c r="AB108" i="9" s="1"/>
  <c r="DU108" i="9" a="1"/>
  <c r="DU108" i="9" s="1"/>
  <c r="P108" i="9" a="1"/>
  <c r="P108" i="9" s="1"/>
  <c r="EA108" i="9" a="1"/>
  <c r="EA108" i="9" s="1"/>
  <c r="BU108" i="9" a="1"/>
  <c r="BU108" i="9" s="1"/>
  <c r="CA108" i="9" a="1"/>
  <c r="CA108" i="9" s="1"/>
  <c r="BX108" i="9" a="1"/>
  <c r="BX108" i="9" s="1"/>
  <c r="BL108" i="9" a="1"/>
  <c r="BL108" i="9" s="1"/>
  <c r="AH108" i="9" a="1"/>
  <c r="AH108" i="9" s="1"/>
  <c r="CD108" i="9" a="1"/>
  <c r="CD108" i="9" s="1"/>
  <c r="DI108" i="9" a="1"/>
  <c r="DI108" i="9" s="1"/>
  <c r="AE108" i="9" a="1"/>
  <c r="AE108" i="9" s="1"/>
  <c r="DR108" i="9" a="1"/>
  <c r="DR108" i="9" s="1"/>
  <c r="Y108" i="9" a="1"/>
  <c r="Y108" i="9" s="1"/>
  <c r="DF38" i="9" a="1"/>
  <c r="DF38" i="9" s="1"/>
  <c r="BR38" i="9" a="1"/>
  <c r="BR38" i="9" s="1"/>
  <c r="BI38" i="9" a="1"/>
  <c r="BI38" i="9" s="1"/>
  <c r="V38" i="9" a="1"/>
  <c r="V38" i="9" s="1"/>
  <c r="M38" i="9" a="1"/>
  <c r="M38" i="9" s="1"/>
  <c r="DO38" i="9" a="1"/>
  <c r="DO38" i="9" s="1"/>
  <c r="DF94" i="9" a="1"/>
  <c r="DF94" i="9" s="1"/>
  <c r="V94" i="9" a="1"/>
  <c r="V94" i="9" s="1"/>
  <c r="BR94" i="9" a="1"/>
  <c r="BR94" i="9" s="1"/>
  <c r="M94" i="9" a="1"/>
  <c r="M94" i="9" s="1"/>
  <c r="BI94" i="9" a="1"/>
  <c r="BI94" i="9" s="1"/>
  <c r="DO94" i="9" a="1"/>
  <c r="DO94" i="9" s="1"/>
  <c r="M79" i="9" a="1"/>
  <c r="M79" i="9" s="1"/>
  <c r="V79" i="9" a="1"/>
  <c r="V79" i="9" s="1"/>
  <c r="BR79" i="9" a="1"/>
  <c r="BR79" i="9" s="1"/>
  <c r="DO79" i="9" a="1"/>
  <c r="DO79" i="9" s="1"/>
  <c r="BI79" i="9" a="1"/>
  <c r="BI79" i="9" s="1"/>
  <c r="DF79" i="9" a="1"/>
  <c r="DF79" i="9" s="1"/>
  <c r="BR109" i="9" a="1"/>
  <c r="BR109" i="9" s="1"/>
  <c r="BI109" i="9" a="1"/>
  <c r="BI109" i="9" s="1"/>
  <c r="DO109" i="9" a="1"/>
  <c r="DO109" i="9" s="1"/>
  <c r="DF109" i="9" a="1"/>
  <c r="DF109" i="9" s="1"/>
  <c r="M109" i="9" a="1"/>
  <c r="M109" i="9" s="1"/>
  <c r="V109" i="9" a="1"/>
  <c r="V109" i="9" s="1"/>
  <c r="DF70" i="9" a="1"/>
  <c r="DF70" i="9" s="1"/>
  <c r="M70" i="9" a="1"/>
  <c r="M70" i="9" s="1"/>
  <c r="DO70" i="9" a="1"/>
  <c r="DO70" i="9" s="1"/>
  <c r="V70" i="9" a="1"/>
  <c r="V70" i="9" s="1"/>
  <c r="BR70" i="9" a="1"/>
  <c r="BR70" i="9" s="1"/>
  <c r="BI70" i="9" a="1"/>
  <c r="BI70" i="9" s="1"/>
  <c r="DF59" i="9" a="1"/>
  <c r="DF59" i="9" s="1"/>
  <c r="DO59" i="9" a="1"/>
  <c r="DO59" i="9" s="1"/>
  <c r="BR59" i="9" a="1"/>
  <c r="BR59" i="9" s="1"/>
  <c r="BI59" i="9" a="1"/>
  <c r="BI59" i="9" s="1"/>
  <c r="V59" i="9" a="1"/>
  <c r="V59" i="9" s="1"/>
  <c r="M59" i="9" a="1"/>
  <c r="M59" i="9" s="1"/>
  <c r="DF56" i="9" a="1"/>
  <c r="DF56" i="9" s="1"/>
  <c r="BR56" i="9" a="1"/>
  <c r="BR56" i="9" s="1"/>
  <c r="BI56" i="9" a="1"/>
  <c r="BI56" i="9" s="1"/>
  <c r="V56" i="9" a="1"/>
  <c r="V56" i="9" s="1"/>
  <c r="M56" i="9" a="1"/>
  <c r="M56" i="9" s="1"/>
  <c r="DO56" i="9" a="1"/>
  <c r="DO56" i="9" s="1"/>
  <c r="AE111" i="9" a="1"/>
  <c r="AE111" i="9" s="1"/>
  <c r="EA111" i="9" a="1"/>
  <c r="EA111" i="9" s="1"/>
  <c r="DI111" i="9" a="1"/>
  <c r="DI111" i="9" s="1"/>
  <c r="DX111" i="9" a="1"/>
  <c r="DX111" i="9" s="1"/>
  <c r="Y111" i="9" a="1"/>
  <c r="Y111" i="9" s="1"/>
  <c r="AH111" i="9" a="1"/>
  <c r="AH111" i="9" s="1"/>
  <c r="AB111" i="9" a="1"/>
  <c r="AB111" i="9" s="1"/>
  <c r="CD111" i="9" a="1"/>
  <c r="CD111" i="9" s="1"/>
  <c r="CA111" i="9" a="1"/>
  <c r="CA111" i="9" s="1"/>
  <c r="DU111" i="9" a="1"/>
  <c r="DU111" i="9" s="1"/>
  <c r="BL111" i="9" a="1"/>
  <c r="BL111" i="9" s="1"/>
  <c r="DR111" i="9" a="1"/>
  <c r="DR111" i="9" s="1"/>
  <c r="P111" i="9" a="1"/>
  <c r="P111" i="9" s="1"/>
  <c r="BU111" i="9" a="1"/>
  <c r="BU111" i="9" s="1"/>
  <c r="BX111" i="9" a="1"/>
  <c r="BX111" i="9" s="1"/>
  <c r="DU105" i="9" a="1"/>
  <c r="DU105" i="9" s="1"/>
  <c r="BU105" i="9" a="1"/>
  <c r="BU105" i="9" s="1"/>
  <c r="EA105" i="9" a="1"/>
  <c r="EA105" i="9" s="1"/>
  <c r="Y105" i="9" a="1"/>
  <c r="Y105" i="9" s="1"/>
  <c r="BX105" i="9" a="1"/>
  <c r="BX105" i="9" s="1"/>
  <c r="AE105" i="9" a="1"/>
  <c r="AE105" i="9" s="1"/>
  <c r="BL105" i="9" a="1"/>
  <c r="BL105" i="9" s="1"/>
  <c r="CA105" i="9" a="1"/>
  <c r="CA105" i="9" s="1"/>
  <c r="P105" i="9" a="1"/>
  <c r="P105" i="9" s="1"/>
  <c r="DR105" i="9" a="1"/>
  <c r="DR105" i="9" s="1"/>
  <c r="AH105" i="9" a="1"/>
  <c r="AH105" i="9" s="1"/>
  <c r="DX105" i="9" a="1"/>
  <c r="DX105" i="9" s="1"/>
  <c r="DI105" i="9" a="1"/>
  <c r="DI105" i="9" s="1"/>
  <c r="AB105" i="9" a="1"/>
  <c r="AB105" i="9" s="1"/>
  <c r="CD105" i="9" a="1"/>
  <c r="CD105" i="9" s="1"/>
  <c r="AH78" i="9" a="1"/>
  <c r="AH78" i="9" s="1"/>
  <c r="BX78" i="9" a="1"/>
  <c r="BX78" i="9" s="1"/>
  <c r="BL78" i="9" a="1"/>
  <c r="BL78" i="9" s="1"/>
  <c r="DI78" i="9" a="1"/>
  <c r="DI78" i="9" s="1"/>
  <c r="EA78" i="9" a="1"/>
  <c r="EA78" i="9" s="1"/>
  <c r="DR78" i="9" a="1"/>
  <c r="DR78" i="9" s="1"/>
  <c r="Y78" i="9" a="1"/>
  <c r="Y78" i="9" s="1"/>
  <c r="DX78" i="9" a="1"/>
  <c r="DX78" i="9" s="1"/>
  <c r="P78" i="9" a="1"/>
  <c r="P78" i="9" s="1"/>
  <c r="AB78" i="9" a="1"/>
  <c r="AB78" i="9" s="1"/>
  <c r="BU78" i="9" a="1"/>
  <c r="BU78" i="9" s="1"/>
  <c r="DU78" i="9" a="1"/>
  <c r="DU78" i="9" s="1"/>
  <c r="CA78" i="9" a="1"/>
  <c r="CA78" i="9" s="1"/>
  <c r="CD78" i="9" a="1"/>
  <c r="CD78" i="9" s="1"/>
  <c r="AE78" i="9" a="1"/>
  <c r="AE78" i="9" s="1"/>
  <c r="M103" i="9" a="1"/>
  <c r="M103" i="9" s="1"/>
  <c r="V103" i="9" a="1"/>
  <c r="V103" i="9" s="1"/>
  <c r="BI103" i="9" a="1"/>
  <c r="BI103" i="9" s="1"/>
  <c r="DO103" i="9" a="1"/>
  <c r="DO103" i="9" s="1"/>
  <c r="BR103" i="9" a="1"/>
  <c r="BR103" i="9" s="1"/>
  <c r="DF103" i="9" a="1"/>
  <c r="DF103" i="9" s="1"/>
  <c r="DU58" i="9" a="1"/>
  <c r="DU58" i="9" s="1"/>
  <c r="CD58" i="9" a="1"/>
  <c r="CD58" i="9" s="1"/>
  <c r="CA58" i="9" a="1"/>
  <c r="CA58" i="9" s="1"/>
  <c r="BL58" i="9" a="1"/>
  <c r="BL58" i="9" s="1"/>
  <c r="AE58" i="9" a="1"/>
  <c r="AE58" i="9" s="1"/>
  <c r="BX58" i="9" a="1"/>
  <c r="BX58" i="9" s="1"/>
  <c r="BU58" i="9" a="1"/>
  <c r="BU58" i="9" s="1"/>
  <c r="Y58" i="9" a="1"/>
  <c r="Y58" i="9" s="1"/>
  <c r="AB58" i="9" a="1"/>
  <c r="AB58" i="9" s="1"/>
  <c r="AH58" i="9" a="1"/>
  <c r="AH58" i="9" s="1"/>
  <c r="P58" i="9" a="1"/>
  <c r="P58" i="9" s="1"/>
  <c r="DR58" i="9" a="1"/>
  <c r="DR58" i="9" s="1"/>
  <c r="DX58" i="9" a="1"/>
  <c r="DX58" i="9" s="1"/>
  <c r="DI58" i="9" a="1"/>
  <c r="DI58" i="9" s="1"/>
  <c r="EA58" i="9" a="1"/>
  <c r="EA58" i="9" s="1"/>
  <c r="V53" i="9" a="1"/>
  <c r="V53" i="9" s="1"/>
  <c r="DO53" i="9" a="1"/>
  <c r="DO53" i="9" s="1"/>
  <c r="BR53" i="9" a="1"/>
  <c r="BR53" i="9" s="1"/>
  <c r="DF53" i="9" a="1"/>
  <c r="DF53" i="9" s="1"/>
  <c r="BI53" i="9" a="1"/>
  <c r="BI53" i="9" s="1"/>
  <c r="M53" i="9" a="1"/>
  <c r="M53" i="9" s="1"/>
  <c r="BI37" i="9" a="1"/>
  <c r="BI37" i="9" s="1"/>
  <c r="DO37" i="9" a="1"/>
  <c r="DO37" i="9" s="1"/>
  <c r="BR37" i="9" a="1"/>
  <c r="BR37" i="9" s="1"/>
  <c r="V37" i="9" a="1"/>
  <c r="V37" i="9" s="1"/>
  <c r="DF37" i="9" a="1"/>
  <c r="DF37" i="9" s="1"/>
  <c r="M37" i="9" a="1"/>
  <c r="M37" i="9" s="1"/>
  <c r="BI18" i="9" a="1"/>
  <c r="BI18" i="9" s="1"/>
  <c r="V18" i="9" a="1"/>
  <c r="V18" i="9" s="1"/>
  <c r="DO18" i="9" a="1"/>
  <c r="DO18" i="9" s="1"/>
  <c r="DF18" i="9" a="1"/>
  <c r="DF18" i="9" s="1"/>
  <c r="M18" i="9" a="1"/>
  <c r="M18" i="9" s="1"/>
  <c r="BR18" i="9" a="1"/>
  <c r="BR18" i="9" s="1"/>
  <c r="DF76" i="9" a="1"/>
  <c r="DF76" i="9" s="1"/>
  <c r="DO76" i="9" a="1"/>
  <c r="DO76" i="9" s="1"/>
  <c r="V76" i="9" a="1"/>
  <c r="V76" i="9" s="1"/>
  <c r="BI76" i="9" a="1"/>
  <c r="BI76" i="9" s="1"/>
  <c r="M76" i="9" a="1"/>
  <c r="M76" i="9" s="1"/>
  <c r="BR76" i="9" a="1"/>
  <c r="BR76" i="9" s="1"/>
  <c r="CA52" i="9" a="1"/>
  <c r="CA52" i="9" s="1"/>
  <c r="DI52" i="9" a="1"/>
  <c r="DI52" i="9" s="1"/>
  <c r="BL52" i="9" a="1"/>
  <c r="BL52" i="9" s="1"/>
  <c r="AE52" i="9" a="1"/>
  <c r="AE52" i="9" s="1"/>
  <c r="BU52" i="9" a="1"/>
  <c r="BU52" i="9" s="1"/>
  <c r="DR52" i="9" a="1"/>
  <c r="DR52" i="9" s="1"/>
  <c r="CD52" i="9" a="1"/>
  <c r="CD52" i="9" s="1"/>
  <c r="AH52" i="9" a="1"/>
  <c r="AH52" i="9" s="1"/>
  <c r="P52" i="9" a="1"/>
  <c r="P52" i="9" s="1"/>
  <c r="EA52" i="9" a="1"/>
  <c r="EA52" i="9" s="1"/>
  <c r="DU52" i="9" a="1"/>
  <c r="DU52" i="9" s="1"/>
  <c r="BX52" i="9" a="1"/>
  <c r="BX52" i="9" s="1"/>
  <c r="Y52" i="9" a="1"/>
  <c r="Y52" i="9" s="1"/>
  <c r="AB52" i="9" a="1"/>
  <c r="AB52" i="9" s="1"/>
  <c r="DX52" i="9" a="1"/>
  <c r="DX52" i="9" s="1"/>
  <c r="EA96" i="9" a="1"/>
  <c r="EA96" i="9" s="1"/>
  <c r="DX96" i="9" a="1"/>
  <c r="DX96" i="9" s="1"/>
  <c r="DU96" i="9" a="1"/>
  <c r="DU96" i="9" s="1"/>
  <c r="P96" i="9" a="1"/>
  <c r="P96" i="9" s="1"/>
  <c r="AH96" i="9" a="1"/>
  <c r="AH96" i="9" s="1"/>
  <c r="DR96" i="9" a="1"/>
  <c r="DR96" i="9" s="1"/>
  <c r="AE96" i="9" a="1"/>
  <c r="AE96" i="9" s="1"/>
  <c r="DI96" i="9" a="1"/>
  <c r="DI96" i="9" s="1"/>
  <c r="BX96" i="9" a="1"/>
  <c r="BX96" i="9" s="1"/>
  <c r="CD96" i="9" a="1"/>
  <c r="CD96" i="9" s="1"/>
  <c r="BU96" i="9" a="1"/>
  <c r="BU96" i="9" s="1"/>
  <c r="BL96" i="9" a="1"/>
  <c r="BL96" i="9" s="1"/>
  <c r="Y96" i="9" a="1"/>
  <c r="Y96" i="9" s="1"/>
  <c r="AB96" i="9" a="1"/>
  <c r="AB96" i="9" s="1"/>
  <c r="CA96" i="9" a="1"/>
  <c r="CA96" i="9" s="1"/>
  <c r="BX42" i="9" a="1"/>
  <c r="BX42" i="9" s="1"/>
  <c r="AH42" i="9" a="1"/>
  <c r="AH42" i="9" s="1"/>
  <c r="AE42" i="9" a="1"/>
  <c r="AE42" i="9" s="1"/>
  <c r="DU42" i="9" a="1"/>
  <c r="DU42" i="9" s="1"/>
  <c r="EA42" i="9" a="1"/>
  <c r="EA42" i="9" s="1"/>
  <c r="Y42" i="9" a="1"/>
  <c r="Y42" i="9" s="1"/>
  <c r="P42" i="9" a="1"/>
  <c r="P42" i="9" s="1"/>
  <c r="DX42" i="9" a="1"/>
  <c r="DX42" i="9" s="1"/>
  <c r="BU42" i="9" a="1"/>
  <c r="BU42" i="9" s="1"/>
  <c r="AB42" i="9" a="1"/>
  <c r="AB42" i="9" s="1"/>
  <c r="DI42" i="9" a="1"/>
  <c r="DI42" i="9" s="1"/>
  <c r="DR42" i="9" a="1"/>
  <c r="DR42" i="9" s="1"/>
  <c r="CA42" i="9" a="1"/>
  <c r="CA42" i="9" s="1"/>
  <c r="BL42" i="9" a="1"/>
  <c r="BL42" i="9" s="1"/>
  <c r="CD42" i="9" a="1"/>
  <c r="CD42" i="9" s="1"/>
  <c r="DF26" i="9" a="1"/>
  <c r="DF26" i="9" s="1"/>
  <c r="DO26" i="9" a="1"/>
  <c r="DO26" i="9" s="1"/>
  <c r="BR26" i="9" a="1"/>
  <c r="BR26" i="9" s="1"/>
  <c r="V26" i="9" a="1"/>
  <c r="V26" i="9" s="1"/>
  <c r="BI26" i="9" a="1"/>
  <c r="BI26" i="9" s="1"/>
  <c r="M26" i="9" a="1"/>
  <c r="M26" i="9" s="1"/>
  <c r="V107" i="9" a="1"/>
  <c r="V107" i="9" s="1"/>
  <c r="DF107" i="9" a="1"/>
  <c r="DF107" i="9" s="1"/>
  <c r="DO107" i="9" a="1"/>
  <c r="DO107" i="9" s="1"/>
  <c r="BI107" i="9" a="1"/>
  <c r="BI107" i="9" s="1"/>
  <c r="BR107" i="9" a="1"/>
  <c r="BR107" i="9" s="1"/>
  <c r="M107" i="9" a="1"/>
  <c r="M107" i="9" s="1"/>
  <c r="CA44" i="9" a="1"/>
  <c r="CA44" i="9" s="1"/>
  <c r="DU44" i="9" a="1"/>
  <c r="DU44" i="9" s="1"/>
  <c r="DR44" i="9" a="1"/>
  <c r="DR44" i="9" s="1"/>
  <c r="CD44" i="9" a="1"/>
  <c r="CD44" i="9" s="1"/>
  <c r="BU44" i="9" a="1"/>
  <c r="BU44" i="9" s="1"/>
  <c r="AE44" i="9" a="1"/>
  <c r="AE44" i="9" s="1"/>
  <c r="Y44" i="9" a="1"/>
  <c r="Y44" i="9" s="1"/>
  <c r="DI44" i="9" a="1"/>
  <c r="DI44" i="9" s="1"/>
  <c r="AH44" i="9" a="1"/>
  <c r="AH44" i="9" s="1"/>
  <c r="BL44" i="9" a="1"/>
  <c r="BL44" i="9" s="1"/>
  <c r="AB44" i="9" a="1"/>
  <c r="AB44" i="9" s="1"/>
  <c r="EA44" i="9" a="1"/>
  <c r="EA44" i="9" s="1"/>
  <c r="BX44" i="9" a="1"/>
  <c r="BX44" i="9" s="1"/>
  <c r="DX44" i="9" a="1"/>
  <c r="DX44" i="9" s="1"/>
  <c r="P44" i="9" a="1"/>
  <c r="P44" i="9" s="1"/>
  <c r="AE25" i="9" a="1"/>
  <c r="AE25" i="9" s="1"/>
  <c r="AH25" i="9" a="1"/>
  <c r="AH25" i="9" s="1"/>
  <c r="EA25" i="9" a="1"/>
  <c r="EA25" i="9" s="1"/>
  <c r="DR25" i="9" a="1"/>
  <c r="DR25" i="9" s="1"/>
  <c r="BU25" i="9" a="1"/>
  <c r="BU25" i="9" s="1"/>
  <c r="Y25" i="9" a="1"/>
  <c r="Y25" i="9" s="1"/>
  <c r="DX25" i="9" a="1"/>
  <c r="DX25" i="9" s="1"/>
  <c r="DI25" i="9" a="1"/>
  <c r="DI25" i="9" s="1"/>
  <c r="DU25" i="9" a="1"/>
  <c r="DU25" i="9" s="1"/>
  <c r="P25" i="9" a="1"/>
  <c r="P25" i="9" s="1"/>
  <c r="AB25" i="9" a="1"/>
  <c r="AB25" i="9" s="1"/>
  <c r="CA25" i="9" a="1"/>
  <c r="CA25" i="9" s="1"/>
  <c r="CD25" i="9" a="1"/>
  <c r="CD25" i="9" s="1"/>
  <c r="BL25" i="9" a="1"/>
  <c r="BL25" i="9" s="1"/>
  <c r="BX25" i="9" a="1"/>
  <c r="BX25" i="9" s="1"/>
  <c r="M45" i="9" a="1"/>
  <c r="M45" i="9" s="1"/>
  <c r="BI45" i="9" a="1"/>
  <c r="BI45" i="9" s="1"/>
  <c r="DO45" i="9" a="1"/>
  <c r="DO45" i="9" s="1"/>
  <c r="V45" i="9" a="1"/>
  <c r="V45" i="9" s="1"/>
  <c r="DF45" i="9" a="1"/>
  <c r="DF45" i="9" s="1"/>
  <c r="BR45" i="9" a="1"/>
  <c r="BR45" i="9" s="1"/>
  <c r="DU45" i="9" a="1"/>
  <c r="DU45" i="9" s="1"/>
  <c r="EA45" i="9" a="1"/>
  <c r="EA45" i="9" s="1"/>
  <c r="DX45" i="9" a="1"/>
  <c r="DX45" i="9" s="1"/>
  <c r="AH45" i="9" a="1"/>
  <c r="AH45" i="9" s="1"/>
  <c r="DR45" i="9" a="1"/>
  <c r="DR45" i="9" s="1"/>
  <c r="CD45" i="9" a="1"/>
  <c r="CD45" i="9" s="1"/>
  <c r="DI45" i="9" a="1"/>
  <c r="DI45" i="9" s="1"/>
  <c r="P45" i="9" a="1"/>
  <c r="P45" i="9" s="1"/>
  <c r="CA45" i="9" a="1"/>
  <c r="CA45" i="9" s="1"/>
  <c r="BX45" i="9" a="1"/>
  <c r="BX45" i="9" s="1"/>
  <c r="AE45" i="9" a="1"/>
  <c r="AE45" i="9" s="1"/>
  <c r="BL45" i="9" a="1"/>
  <c r="BL45" i="9" s="1"/>
  <c r="BU45" i="9" a="1"/>
  <c r="BU45" i="9" s="1"/>
  <c r="Y45" i="9" a="1"/>
  <c r="Y45" i="9" s="1"/>
  <c r="AB45" i="9" a="1"/>
  <c r="AB45" i="9" s="1"/>
  <c r="BR102" i="9" a="1"/>
  <c r="BR102" i="9" s="1"/>
  <c r="DF102" i="9" a="1"/>
  <c r="DF102" i="9" s="1"/>
  <c r="M102" i="9" a="1"/>
  <c r="M102" i="9" s="1"/>
  <c r="BI102" i="9" a="1"/>
  <c r="BI102" i="9" s="1"/>
  <c r="DO102" i="9" a="1"/>
  <c r="DO102" i="9" s="1"/>
  <c r="V102" i="9" a="1"/>
  <c r="V102" i="9" s="1"/>
  <c r="DU95" i="9" a="1"/>
  <c r="DU95" i="9" s="1"/>
  <c r="BX95" i="9" a="1"/>
  <c r="BX95" i="9" s="1"/>
  <c r="CA95" i="9" a="1"/>
  <c r="CA95" i="9" s="1"/>
  <c r="AE95" i="9" a="1"/>
  <c r="AE95" i="9" s="1"/>
  <c r="Y95" i="9" a="1"/>
  <c r="Y95" i="9" s="1"/>
  <c r="P95" i="9" a="1"/>
  <c r="P95" i="9" s="1"/>
  <c r="BL95" i="9" a="1"/>
  <c r="BL95" i="9" s="1"/>
  <c r="DR95" i="9" a="1"/>
  <c r="DR95" i="9" s="1"/>
  <c r="DI95" i="9" a="1"/>
  <c r="DI95" i="9" s="1"/>
  <c r="EA95" i="9" a="1"/>
  <c r="EA95" i="9" s="1"/>
  <c r="AB95" i="9" a="1"/>
  <c r="AB95" i="9" s="1"/>
  <c r="DX95" i="9" a="1"/>
  <c r="DX95" i="9" s="1"/>
  <c r="AH95" i="9" a="1"/>
  <c r="AH95" i="9" s="1"/>
  <c r="BU95" i="9" a="1"/>
  <c r="BU95" i="9" s="1"/>
  <c r="CD95" i="9" a="1"/>
  <c r="CD95" i="9" s="1"/>
  <c r="DO54" i="9" a="1"/>
  <c r="DO54" i="9" s="1"/>
  <c r="V54" i="9" a="1"/>
  <c r="V54" i="9" s="1"/>
  <c r="BI54" i="9" a="1"/>
  <c r="BI54" i="9" s="1"/>
  <c r="DF54" i="9" a="1"/>
  <c r="DF54" i="9" s="1"/>
  <c r="BR54" i="9" a="1"/>
  <c r="BR54" i="9" s="1"/>
  <c r="M54" i="9" a="1"/>
  <c r="M54" i="9" s="1"/>
  <c r="V19" i="9" a="1"/>
  <c r="V19" i="9" s="1"/>
  <c r="M19" i="9" a="1"/>
  <c r="M19" i="9" s="1"/>
  <c r="BR19" i="9" a="1"/>
  <c r="BR19" i="9" s="1"/>
  <c r="DO19" i="9" a="1"/>
  <c r="DO19" i="9" s="1"/>
  <c r="DF19" i="9" a="1"/>
  <c r="DF19" i="9" s="1"/>
  <c r="BI19" i="9" a="1"/>
  <c r="BI19" i="9" s="1"/>
  <c r="DR77" i="9" a="1"/>
  <c r="DR77" i="9" s="1"/>
  <c r="AE77" i="9" a="1"/>
  <c r="AE77" i="9" s="1"/>
  <c r="CA77" i="9" a="1"/>
  <c r="CA77" i="9" s="1"/>
  <c r="BL77" i="9" a="1"/>
  <c r="BL77" i="9" s="1"/>
  <c r="CD77" i="9" a="1"/>
  <c r="CD77" i="9" s="1"/>
  <c r="DX77" i="9" a="1"/>
  <c r="DX77" i="9" s="1"/>
  <c r="BX77" i="9" a="1"/>
  <c r="BX77" i="9" s="1"/>
  <c r="AH77" i="9" a="1"/>
  <c r="AH77" i="9" s="1"/>
  <c r="DI77" i="9" a="1"/>
  <c r="DI77" i="9" s="1"/>
  <c r="DU77" i="9" a="1"/>
  <c r="DU77" i="9" s="1"/>
  <c r="Y77" i="9" a="1"/>
  <c r="Y77" i="9" s="1"/>
  <c r="P77" i="9" a="1"/>
  <c r="P77" i="9" s="1"/>
  <c r="AB77" i="9" a="1"/>
  <c r="AB77" i="9" s="1"/>
  <c r="BU77" i="9" a="1"/>
  <c r="BU77" i="9" s="1"/>
  <c r="EA77" i="9" a="1"/>
  <c r="EA77" i="9" s="1"/>
  <c r="AH90" i="9" a="1"/>
  <c r="AH90" i="9" s="1"/>
  <c r="CD90" i="9" a="1"/>
  <c r="CD90" i="9" s="1"/>
  <c r="DR90" i="9" a="1"/>
  <c r="DR90" i="9" s="1"/>
  <c r="P90" i="9" a="1"/>
  <c r="P90" i="9" s="1"/>
  <c r="EA90" i="9" a="1"/>
  <c r="EA90" i="9" s="1"/>
  <c r="AB90" i="9" a="1"/>
  <c r="AB90" i="9" s="1"/>
  <c r="BX90" i="9" a="1"/>
  <c r="BX90" i="9" s="1"/>
  <c r="DX90" i="9" a="1"/>
  <c r="DX90" i="9" s="1"/>
  <c r="Y90" i="9" a="1"/>
  <c r="Y90" i="9" s="1"/>
  <c r="DI90" i="9" a="1"/>
  <c r="DI90" i="9" s="1"/>
  <c r="AE90" i="9" a="1"/>
  <c r="AE90" i="9" s="1"/>
  <c r="DU90" i="9" a="1"/>
  <c r="DU90" i="9" s="1"/>
  <c r="CA90" i="9" a="1"/>
  <c r="CA90" i="9" s="1"/>
  <c r="BL90" i="9" a="1"/>
  <c r="BL90" i="9" s="1"/>
  <c r="BU90" i="9" a="1"/>
  <c r="BU90" i="9" s="1"/>
  <c r="V90" i="9" a="1"/>
  <c r="V90" i="9" s="1"/>
  <c r="DF90" i="9" a="1"/>
  <c r="DF90" i="9" s="1"/>
  <c r="BI90" i="9" a="1"/>
  <c r="BI90" i="9" s="1"/>
  <c r="BR90" i="9" a="1"/>
  <c r="BR90" i="9" s="1"/>
  <c r="M90" i="9" a="1"/>
  <c r="M90" i="9" s="1"/>
  <c r="DO90" i="9" a="1"/>
  <c r="DO90" i="9" s="1"/>
  <c r="BX60" i="9" a="1"/>
  <c r="BX60" i="9" s="1"/>
  <c r="AB60" i="9" a="1"/>
  <c r="AB60" i="9" s="1"/>
  <c r="DU60" i="9" a="1"/>
  <c r="DU60" i="9" s="1"/>
  <c r="DI60" i="9" a="1"/>
  <c r="DI60" i="9" s="1"/>
  <c r="BU60" i="9" a="1"/>
  <c r="BU60" i="9" s="1"/>
  <c r="BL60" i="9" a="1"/>
  <c r="BL60" i="9" s="1"/>
  <c r="P60" i="9" a="1"/>
  <c r="P60" i="9" s="1"/>
  <c r="DX60" i="9" a="1"/>
  <c r="DX60" i="9" s="1"/>
  <c r="DR60" i="9" a="1"/>
  <c r="DR60" i="9" s="1"/>
  <c r="CA60" i="9" a="1"/>
  <c r="CA60" i="9" s="1"/>
  <c r="EA60" i="9" a="1"/>
  <c r="EA60" i="9" s="1"/>
  <c r="CD60" i="9" a="1"/>
  <c r="CD60" i="9" s="1"/>
  <c r="Y60" i="9" a="1"/>
  <c r="Y60" i="9" s="1"/>
  <c r="AE60" i="9" a="1"/>
  <c r="AE60" i="9" s="1"/>
  <c r="AH60" i="9" a="1"/>
  <c r="AH60" i="9" s="1"/>
  <c r="M55" i="9" a="1"/>
  <c r="M55" i="9" s="1"/>
  <c r="BR55" i="9" a="1"/>
  <c r="BR55" i="9" s="1"/>
  <c r="DF55" i="9" a="1"/>
  <c r="DF55" i="9" s="1"/>
  <c r="V55" i="9" a="1"/>
  <c r="V55" i="9" s="1"/>
  <c r="BI55" i="9" a="1"/>
  <c r="BI55" i="9" s="1"/>
  <c r="DO55" i="9" a="1"/>
  <c r="DO55" i="9" s="1"/>
  <c r="BU51" i="9" a="1"/>
  <c r="BU51" i="9" s="1"/>
  <c r="AB51" i="9" a="1"/>
  <c r="AB51" i="9" s="1"/>
  <c r="DX51" i="9" a="1"/>
  <c r="DX51" i="9" s="1"/>
  <c r="CA51" i="9" a="1"/>
  <c r="CA51" i="9" s="1"/>
  <c r="DU51" i="9" a="1"/>
  <c r="DU51" i="9" s="1"/>
  <c r="BL51" i="9" a="1"/>
  <c r="BL51" i="9" s="1"/>
  <c r="AE51" i="9" a="1"/>
  <c r="AE51" i="9" s="1"/>
  <c r="P51" i="9" a="1"/>
  <c r="P51" i="9" s="1"/>
  <c r="AH51" i="9" a="1"/>
  <c r="AH51" i="9" s="1"/>
  <c r="EA51" i="9" a="1"/>
  <c r="EA51" i="9" s="1"/>
  <c r="DI51" i="9" a="1"/>
  <c r="DI51" i="9" s="1"/>
  <c r="CD51" i="9" a="1"/>
  <c r="CD51" i="9" s="1"/>
  <c r="Y51" i="9" a="1"/>
  <c r="Y51" i="9" s="1"/>
  <c r="DR51" i="9" a="1"/>
  <c r="DR51" i="9" s="1"/>
  <c r="BX51" i="9" a="1"/>
  <c r="BX51" i="9" s="1"/>
  <c r="DF57" i="9" a="1"/>
  <c r="DF57" i="9" s="1"/>
  <c r="DO57" i="9" a="1"/>
  <c r="DO57" i="9" s="1"/>
  <c r="BR57" i="9" a="1"/>
  <c r="BR57" i="9" s="1"/>
  <c r="BI57" i="9" a="1"/>
  <c r="BI57" i="9" s="1"/>
  <c r="M57" i="9" a="1"/>
  <c r="M57" i="9" s="1"/>
  <c r="V57" i="9" a="1"/>
  <c r="V57" i="9" s="1"/>
  <c r="BR50" i="9" a="1"/>
  <c r="BR50" i="9" s="1"/>
  <c r="M50" i="9" a="1"/>
  <c r="M50" i="9" s="1"/>
  <c r="DF50" i="9" a="1"/>
  <c r="DF50" i="9" s="1"/>
  <c r="V50" i="9" a="1"/>
  <c r="V50" i="9" s="1"/>
  <c r="DO50" i="9" a="1"/>
  <c r="DO50" i="9" s="1"/>
  <c r="BI50" i="9" a="1"/>
  <c r="BI50" i="9" s="1"/>
  <c r="P110" i="9" a="1"/>
  <c r="P110" i="9" s="1"/>
  <c r="Y110" i="9" a="1"/>
  <c r="Y110" i="9" s="1"/>
  <c r="CD110" i="9" a="1"/>
  <c r="CD110" i="9" s="1"/>
  <c r="AE110" i="9" a="1"/>
  <c r="AE110" i="9" s="1"/>
  <c r="BL110" i="9" a="1"/>
  <c r="BL110" i="9" s="1"/>
  <c r="DI110" i="9" a="1"/>
  <c r="DI110" i="9" s="1"/>
  <c r="DR110" i="9" a="1"/>
  <c r="DR110" i="9" s="1"/>
  <c r="DX110" i="9" a="1"/>
  <c r="DX110" i="9" s="1"/>
  <c r="AB110" i="9" a="1"/>
  <c r="AB110" i="9" s="1"/>
  <c r="EA110" i="9" a="1"/>
  <c r="EA110" i="9" s="1"/>
  <c r="CA110" i="9" a="1"/>
  <c r="CA110" i="9" s="1"/>
  <c r="BU110" i="9" a="1"/>
  <c r="BU110" i="9" s="1"/>
  <c r="AH110" i="9" a="1"/>
  <c r="AH110" i="9" s="1"/>
  <c r="DU110" i="9" a="1"/>
  <c r="DU110" i="9" s="1"/>
  <c r="BX110" i="9" a="1"/>
  <c r="BX110" i="9" s="1"/>
  <c r="CD28" i="9" a="1"/>
  <c r="CD28" i="9" s="1"/>
  <c r="P28" i="9" a="1"/>
  <c r="P28" i="9" s="1"/>
  <c r="BX28" i="9" a="1"/>
  <c r="BX28" i="9" s="1"/>
  <c r="AE28" i="9" a="1"/>
  <c r="AE28" i="9" s="1"/>
  <c r="DX28" i="9" a="1"/>
  <c r="DX28" i="9" s="1"/>
  <c r="DU28" i="9" a="1"/>
  <c r="DU28" i="9" s="1"/>
  <c r="EA28" i="9" a="1"/>
  <c r="EA28" i="9" s="1"/>
  <c r="BL28" i="9" a="1"/>
  <c r="BL28" i="9" s="1"/>
  <c r="Y28" i="9" a="1"/>
  <c r="Y28" i="9" s="1"/>
  <c r="CA28" i="9" a="1"/>
  <c r="CA28" i="9" s="1"/>
  <c r="DR28" i="9" a="1"/>
  <c r="DR28" i="9" s="1"/>
  <c r="AH28" i="9" a="1"/>
  <c r="AH28" i="9" s="1"/>
  <c r="DI28" i="9" a="1"/>
  <c r="DI28" i="9" s="1"/>
  <c r="BU28" i="9" a="1"/>
  <c r="BU28" i="9" s="1"/>
  <c r="AB28" i="9" a="1"/>
  <c r="AB28" i="9" s="1"/>
  <c r="V97" i="9" a="1"/>
  <c r="V97" i="9" s="1"/>
  <c r="M97" i="9" a="1"/>
  <c r="M97" i="9" s="1"/>
  <c r="DF97" i="9" a="1"/>
  <c r="DF97" i="9" s="1"/>
  <c r="DO97" i="9" a="1"/>
  <c r="DO97" i="9" s="1"/>
  <c r="BR97" i="9" a="1"/>
  <c r="BR97" i="9" s="1"/>
  <c r="BI97" i="9" a="1"/>
  <c r="BI97" i="9" s="1"/>
  <c r="CH84" i="9" a="1"/>
  <c r="CH84" i="9" s="1"/>
  <c r="EE84" i="9" a="1"/>
  <c r="EE84" i="9" s="1"/>
  <c r="AL84" i="9" a="1"/>
  <c r="AL84" i="9" s="1"/>
  <c r="EE32" i="9" a="1"/>
  <c r="EE32" i="9" s="1"/>
  <c r="CH32" i="9" a="1"/>
  <c r="CH32" i="9" s="1"/>
  <c r="AL32" i="9" a="1"/>
  <c r="AL32" i="9" s="1"/>
  <c r="CZ92" i="9"/>
  <c r="BC92" i="9"/>
  <c r="G92" i="9"/>
  <c r="G82" i="9"/>
  <c r="G30" i="9"/>
  <c r="CZ40" i="9"/>
  <c r="G40" i="9"/>
  <c r="BC82" i="9"/>
  <c r="BC30" i="9"/>
  <c r="CZ82" i="9"/>
  <c r="BC40" i="9"/>
  <c r="DO92" i="9" a="1"/>
  <c r="DO92" i="9" s="1"/>
  <c r="BI92" i="9" a="1"/>
  <c r="BI92" i="9" s="1"/>
  <c r="BR92" i="9" a="1"/>
  <c r="BR92" i="9" s="1"/>
  <c r="DF92" i="9" a="1"/>
  <c r="DF92" i="9" s="1"/>
  <c r="M92" i="9" a="1"/>
  <c r="M92" i="9" s="1"/>
  <c r="V92" i="9" a="1"/>
  <c r="V92" i="9" s="1"/>
  <c r="DU92" i="9" a="1"/>
  <c r="DU92" i="9" s="1"/>
  <c r="DI92" i="9" a="1"/>
  <c r="DI92" i="9" s="1"/>
  <c r="BL92" i="9" a="1"/>
  <c r="BL92" i="9" s="1"/>
  <c r="CD92" i="9" a="1"/>
  <c r="CD92" i="9" s="1"/>
  <c r="DR92" i="9" a="1"/>
  <c r="DR92" i="9" s="1"/>
  <c r="BU92" i="9" a="1"/>
  <c r="BU92" i="9" s="1"/>
  <c r="CA92" i="9" a="1"/>
  <c r="CA92" i="9" s="1"/>
  <c r="BX92" i="9" a="1"/>
  <c r="BX92" i="9" s="1"/>
  <c r="AE92" i="9" a="1"/>
  <c r="AE92" i="9" s="1"/>
  <c r="Y92" i="9" a="1"/>
  <c r="Y92" i="9" s="1"/>
  <c r="P92" i="9" a="1"/>
  <c r="P92" i="9" s="1"/>
  <c r="AH92" i="9" a="1"/>
  <c r="AH92" i="9" s="1"/>
  <c r="AB92" i="9" a="1"/>
  <c r="AB92" i="9" s="1"/>
  <c r="DX92" i="9" a="1"/>
  <c r="DX92" i="9" s="1"/>
  <c r="EA92" i="9" a="1"/>
  <c r="EA92" i="9" s="1"/>
  <c r="Y82" i="9" a="1"/>
  <c r="Y82" i="9" s="1"/>
  <c r="CD82" i="9" a="1"/>
  <c r="CD82" i="9" s="1"/>
  <c r="EA82" i="9" a="1"/>
  <c r="EA82" i="9" s="1"/>
  <c r="DR82" i="9" a="1"/>
  <c r="DR82" i="9" s="1"/>
  <c r="AH82" i="9" a="1"/>
  <c r="AH82" i="9" s="1"/>
  <c r="AE82" i="9" a="1"/>
  <c r="AE82" i="9" s="1"/>
  <c r="BL82" i="9" a="1"/>
  <c r="BL82" i="9" s="1"/>
  <c r="P82" i="9" a="1"/>
  <c r="P82" i="9" s="1"/>
  <c r="DU82" i="9" a="1"/>
  <c r="DU82" i="9" s="1"/>
  <c r="DI82" i="9" a="1"/>
  <c r="DI82" i="9" s="1"/>
  <c r="DX82" i="9" a="1"/>
  <c r="DX82" i="9" s="1"/>
  <c r="CA82" i="9" a="1"/>
  <c r="CA82" i="9" s="1"/>
  <c r="AB82" i="9" a="1"/>
  <c r="AB82" i="9" s="1"/>
  <c r="BX82" i="9" a="1"/>
  <c r="BX82" i="9" s="1"/>
  <c r="BU82" i="9" a="1"/>
  <c r="BU82" i="9" s="1"/>
  <c r="Y30" i="9" a="1"/>
  <c r="Y30" i="9" s="1"/>
  <c r="P30" i="9" a="1"/>
  <c r="P30" i="9" s="1"/>
  <c r="AB30" i="9" a="1"/>
  <c r="AB30" i="9" s="1"/>
  <c r="DX30" i="9" a="1"/>
  <c r="DX30" i="9" s="1"/>
  <c r="DU30" i="9" a="1"/>
  <c r="DU30" i="9" s="1"/>
  <c r="DR30" i="9" a="1"/>
  <c r="DR30" i="9" s="1"/>
  <c r="EA30" i="9" a="1"/>
  <c r="EA30" i="9" s="1"/>
  <c r="BX30" i="9" a="1"/>
  <c r="BX30" i="9" s="1"/>
  <c r="DI30" i="9" a="1"/>
  <c r="DI30" i="9" s="1"/>
  <c r="CA30" i="9" a="1"/>
  <c r="CA30" i="9" s="1"/>
  <c r="CD30" i="9" a="1"/>
  <c r="CD30" i="9" s="1"/>
  <c r="BL30" i="9" a="1"/>
  <c r="BL30" i="9" s="1"/>
  <c r="AE30" i="9" a="1"/>
  <c r="AE30" i="9" s="1"/>
  <c r="BU30" i="9" a="1"/>
  <c r="BU30" i="9" s="1"/>
  <c r="AH30" i="9" a="1"/>
  <c r="AH30" i="9" s="1"/>
  <c r="DI40" i="9" a="1"/>
  <c r="DI40" i="9" s="1"/>
  <c r="AE40" i="9" a="1"/>
  <c r="AE40" i="9" s="1"/>
  <c r="BX40" i="9" a="1"/>
  <c r="BX40" i="9" s="1"/>
  <c r="CA40" i="9" a="1"/>
  <c r="CA40" i="9" s="1"/>
  <c r="CD40" i="9" a="1"/>
  <c r="CD40" i="9" s="1"/>
  <c r="AH40" i="9" a="1"/>
  <c r="AH40" i="9" s="1"/>
  <c r="DX40" i="9" a="1"/>
  <c r="DX40" i="9" s="1"/>
  <c r="BU40" i="9" a="1"/>
  <c r="BU40" i="9" s="1"/>
  <c r="BL40" i="9" a="1"/>
  <c r="BL40" i="9" s="1"/>
  <c r="Y40" i="9" a="1"/>
  <c r="Y40" i="9" s="1"/>
  <c r="DR40" i="9" a="1"/>
  <c r="DR40" i="9" s="1"/>
  <c r="DU40" i="9" a="1"/>
  <c r="DU40" i="9" s="1"/>
  <c r="AB40" i="9" a="1"/>
  <c r="AB40" i="9" s="1"/>
  <c r="P40" i="9" a="1"/>
  <c r="P40" i="9" s="1"/>
  <c r="EA40" i="9" a="1"/>
  <c r="EA40" i="9" s="1"/>
  <c r="BI82" i="9" a="1"/>
  <c r="BI82" i="9" s="1"/>
  <c r="M82" i="9" a="1"/>
  <c r="M82" i="9" s="1"/>
  <c r="DF82" i="9" a="1"/>
  <c r="DF82" i="9" s="1"/>
  <c r="V82" i="9" a="1"/>
  <c r="V82" i="9" s="1"/>
  <c r="BR82" i="9" a="1"/>
  <c r="BR82" i="9" s="1"/>
  <c r="DO82" i="9" a="1"/>
  <c r="DO82" i="9" s="1"/>
  <c r="DF30" i="9" a="1"/>
  <c r="DF30" i="9" s="1"/>
  <c r="BI30" i="9" a="1"/>
  <c r="BI30" i="9" s="1"/>
  <c r="BR30" i="9" a="1"/>
  <c r="BR30" i="9" s="1"/>
  <c r="DO30" i="9" a="1"/>
  <c r="DO30" i="9" s="1"/>
  <c r="M30" i="9" a="1"/>
  <c r="M30" i="9" s="1"/>
  <c r="V30" i="9" a="1"/>
  <c r="V30" i="9" s="1"/>
  <c r="DF40" i="9" a="1"/>
  <c r="DF40" i="9" s="1"/>
  <c r="DO40" i="9" a="1"/>
  <c r="DO40" i="9" s="1"/>
  <c r="BI40" i="9" a="1"/>
  <c r="BI40" i="9" s="1"/>
  <c r="V40" i="9" a="1"/>
  <c r="V40" i="9" s="1"/>
  <c r="M40" i="9" a="1"/>
  <c r="M40" i="9" s="1"/>
  <c r="BR40" i="9" a="1"/>
  <c r="BR40" i="9" s="1"/>
  <c r="CZ17" i="9"/>
  <c r="CZ69" i="9"/>
  <c r="CZ36" i="9"/>
  <c r="G87" i="9"/>
  <c r="BC75" i="9"/>
  <c r="G75" i="9"/>
  <c r="BC74" i="9"/>
  <c r="G49" i="9"/>
  <c r="CZ68" i="9"/>
  <c r="G69" i="9"/>
  <c r="BC93" i="9"/>
  <c r="G93" i="9"/>
  <c r="BC48" i="9"/>
  <c r="G23" i="9"/>
  <c r="BC17" i="9"/>
  <c r="G17" i="9"/>
  <c r="CZ101" i="9"/>
  <c r="CZ93" i="9"/>
  <c r="CZ49" i="9"/>
  <c r="G31" i="9"/>
  <c r="BC36" i="9"/>
  <c r="G36" i="9"/>
  <c r="CZ100" i="9"/>
  <c r="G100" i="9"/>
  <c r="BC41" i="9"/>
  <c r="CZ23" i="9"/>
  <c r="BC23" i="9"/>
  <c r="CZ31" i="9"/>
  <c r="CZ22" i="9"/>
  <c r="CZ88" i="9"/>
  <c r="G22" i="9"/>
  <c r="BC22" i="9"/>
  <c r="BC88" i="9"/>
  <c r="G74" i="9"/>
  <c r="BC49" i="9"/>
  <c r="CZ41" i="9"/>
  <c r="G16" i="9"/>
  <c r="BC16" i="9"/>
  <c r="BC69" i="9"/>
  <c r="G48" i="9"/>
  <c r="BC68" i="9"/>
  <c r="G68" i="9"/>
  <c r="BC35" i="9"/>
  <c r="CZ75" i="9"/>
  <c r="CZ35" i="9"/>
  <c r="BC87" i="9"/>
  <c r="BC31" i="9"/>
  <c r="BC101" i="9"/>
  <c r="G101" i="9"/>
  <c r="BC100" i="9"/>
  <c r="G88" i="9"/>
  <c r="G41" i="9"/>
  <c r="CZ83" i="9"/>
  <c r="G83" i="9"/>
  <c r="BC83" i="9"/>
  <c r="G35" i="9"/>
  <c r="Y87" i="9" a="1"/>
  <c r="Y87" i="9" s="1"/>
  <c r="P87" i="9" a="1"/>
  <c r="P87" i="9" s="1"/>
  <c r="DR87" i="9" a="1"/>
  <c r="DR87" i="9" s="1"/>
  <c r="DI87" i="9" a="1"/>
  <c r="DI87" i="9" s="1"/>
  <c r="BU87" i="9" a="1"/>
  <c r="BU87" i="9" s="1"/>
  <c r="DU87" i="9" a="1"/>
  <c r="DU87" i="9" s="1"/>
  <c r="AE87" i="9" a="1"/>
  <c r="AE87" i="9" s="1"/>
  <c r="AH87" i="9" a="1"/>
  <c r="AH87" i="9" s="1"/>
  <c r="EA87" i="9" a="1"/>
  <c r="EA87" i="9" s="1"/>
  <c r="AB87" i="9" a="1"/>
  <c r="AB87" i="9" s="1"/>
  <c r="DX87" i="9" a="1"/>
  <c r="DX87" i="9" s="1"/>
  <c r="CA87" i="9" a="1"/>
  <c r="CA87" i="9" s="1"/>
  <c r="BL87" i="9" a="1"/>
  <c r="BL87" i="9" s="1"/>
  <c r="BX87" i="9" a="1"/>
  <c r="BX87" i="9" s="1"/>
  <c r="CD87" i="9" a="1"/>
  <c r="CD87" i="9" s="1"/>
  <c r="BR75" i="9" a="1"/>
  <c r="BR75" i="9" s="1"/>
  <c r="M75" i="9" a="1"/>
  <c r="M75" i="9" s="1"/>
  <c r="DF75" i="9" a="1"/>
  <c r="DF75" i="9" s="1"/>
  <c r="DO75" i="9" a="1"/>
  <c r="DO75" i="9" s="1"/>
  <c r="V75" i="9" a="1"/>
  <c r="V75" i="9" s="1"/>
  <c r="BI75" i="9" a="1"/>
  <c r="BI75" i="9" s="1"/>
  <c r="EA75" i="9" a="1"/>
  <c r="EA75" i="9" s="1"/>
  <c r="Y75" i="9" a="1"/>
  <c r="Y75" i="9" s="1"/>
  <c r="DX75" i="9" a="1"/>
  <c r="DX75" i="9" s="1"/>
  <c r="CA75" i="9" a="1"/>
  <c r="CA75" i="9" s="1"/>
  <c r="BX75" i="9" a="1"/>
  <c r="BX75" i="9" s="1"/>
  <c r="AH75" i="9" a="1"/>
  <c r="AH75" i="9" s="1"/>
  <c r="CD75" i="9" a="1"/>
  <c r="CD75" i="9" s="1"/>
  <c r="BL75" i="9" a="1"/>
  <c r="BL75" i="9" s="1"/>
  <c r="DR75" i="9" a="1"/>
  <c r="DR75" i="9" s="1"/>
  <c r="BU75" i="9" a="1"/>
  <c r="BU75" i="9" s="1"/>
  <c r="DU75" i="9" a="1"/>
  <c r="DU75" i="9" s="1"/>
  <c r="DI75" i="9" a="1"/>
  <c r="DI75" i="9" s="1"/>
  <c r="AE75" i="9" a="1"/>
  <c r="AE75" i="9" s="1"/>
  <c r="P75" i="9" a="1"/>
  <c r="P75" i="9" s="1"/>
  <c r="AB75" i="9" a="1"/>
  <c r="AB75" i="9" s="1"/>
  <c r="M74" i="9" a="1"/>
  <c r="M74" i="9" s="1"/>
  <c r="BI74" i="9" a="1"/>
  <c r="BI74" i="9" s="1"/>
  <c r="DF74" i="9" a="1"/>
  <c r="DF74" i="9" s="1"/>
  <c r="DO74" i="9" a="1"/>
  <c r="DO74" i="9" s="1"/>
  <c r="V74" i="9" a="1"/>
  <c r="V74" i="9" s="1"/>
  <c r="BR74" i="9" a="1"/>
  <c r="BR74" i="9" s="1"/>
  <c r="Y49" i="9" a="1"/>
  <c r="Y49" i="9" s="1"/>
  <c r="DI49" i="9" a="1"/>
  <c r="DI49" i="9" s="1"/>
  <c r="AH49" i="9" a="1"/>
  <c r="AH49" i="9" s="1"/>
  <c r="CA49" i="9" a="1"/>
  <c r="CA49" i="9" s="1"/>
  <c r="AB49" i="9" a="1"/>
  <c r="AB49" i="9" s="1"/>
  <c r="BL49" i="9" a="1"/>
  <c r="BL49" i="9" s="1"/>
  <c r="AE49" i="9" a="1"/>
  <c r="AE49" i="9" s="1"/>
  <c r="BX49" i="9" a="1"/>
  <c r="BX49" i="9" s="1"/>
  <c r="DR49" i="9" a="1"/>
  <c r="DR49" i="9" s="1"/>
  <c r="EA49" i="9" a="1"/>
  <c r="EA49" i="9" s="1"/>
  <c r="P49" i="9" a="1"/>
  <c r="P49" i="9" s="1"/>
  <c r="DX49" i="9" a="1"/>
  <c r="DX49" i="9" s="1"/>
  <c r="CD49" i="9" a="1"/>
  <c r="CD49" i="9" s="1"/>
  <c r="DU49" i="9" a="1"/>
  <c r="DU49" i="9" s="1"/>
  <c r="BU49" i="9" a="1"/>
  <c r="BU49" i="9" s="1"/>
  <c r="CA69" i="9" a="1"/>
  <c r="CA69" i="9" s="1"/>
  <c r="BU69" i="9" a="1"/>
  <c r="BU69" i="9" s="1"/>
  <c r="P69" i="9" a="1"/>
  <c r="P69" i="9" s="1"/>
  <c r="DI69" i="9" a="1"/>
  <c r="DI69" i="9" s="1"/>
  <c r="Y69" i="9" a="1"/>
  <c r="Y69" i="9" s="1"/>
  <c r="EA69" i="9" a="1"/>
  <c r="EA69" i="9" s="1"/>
  <c r="AE69" i="9" a="1"/>
  <c r="AE69" i="9" s="1"/>
  <c r="DU69" i="9" a="1"/>
  <c r="DU69" i="9" s="1"/>
  <c r="CD69" i="9" a="1"/>
  <c r="CD69" i="9" s="1"/>
  <c r="DX69" i="9" a="1"/>
  <c r="DX69" i="9" s="1"/>
  <c r="BL69" i="9" a="1"/>
  <c r="BL69" i="9" s="1"/>
  <c r="BX69" i="9" a="1"/>
  <c r="BX69" i="9" s="1"/>
  <c r="DR69" i="9" a="1"/>
  <c r="DR69" i="9" s="1"/>
  <c r="AB69" i="9" a="1"/>
  <c r="AB69" i="9" s="1"/>
  <c r="AH69" i="9" a="1"/>
  <c r="AH69" i="9" s="1"/>
  <c r="BI93" i="9" a="1"/>
  <c r="BI93" i="9" s="1"/>
  <c r="DF93" i="9" a="1"/>
  <c r="DF93" i="9" s="1"/>
  <c r="BR93" i="9" a="1"/>
  <c r="BR93" i="9" s="1"/>
  <c r="V93" i="9" a="1"/>
  <c r="V93" i="9" s="1"/>
  <c r="DO93" i="9" a="1"/>
  <c r="DO93" i="9" s="1"/>
  <c r="M93" i="9" a="1"/>
  <c r="M93" i="9" s="1"/>
  <c r="EA93" i="9" a="1"/>
  <c r="EA93" i="9" s="1"/>
  <c r="DU93" i="9" a="1"/>
  <c r="DU93" i="9" s="1"/>
  <c r="CD93" i="9" a="1"/>
  <c r="CD93" i="9" s="1"/>
  <c r="BL93" i="9" a="1"/>
  <c r="BL93" i="9" s="1"/>
  <c r="AB93" i="9" a="1"/>
  <c r="AB93" i="9" s="1"/>
  <c r="DX93" i="9" a="1"/>
  <c r="DX93" i="9" s="1"/>
  <c r="CA93" i="9" a="1"/>
  <c r="CA93" i="9" s="1"/>
  <c r="DI93" i="9" a="1"/>
  <c r="DI93" i="9" s="1"/>
  <c r="BU93" i="9" a="1"/>
  <c r="BU93" i="9" s="1"/>
  <c r="BX93" i="9" a="1"/>
  <c r="BX93" i="9" s="1"/>
  <c r="Y93" i="9" a="1"/>
  <c r="Y93" i="9" s="1"/>
  <c r="P93" i="9" a="1"/>
  <c r="P93" i="9" s="1"/>
  <c r="DR93" i="9" a="1"/>
  <c r="DR93" i="9" s="1"/>
  <c r="AH93" i="9" a="1"/>
  <c r="AH93" i="9" s="1"/>
  <c r="AE93" i="9" a="1"/>
  <c r="AE93" i="9" s="1"/>
  <c r="DF48" i="9" a="1"/>
  <c r="DF48" i="9" s="1"/>
  <c r="BI48" i="9" a="1"/>
  <c r="BI48" i="9" s="1"/>
  <c r="V48" i="9" a="1"/>
  <c r="V48" i="9" s="1"/>
  <c r="M48" i="9" a="1"/>
  <c r="M48" i="9" s="1"/>
  <c r="DO48" i="9" a="1"/>
  <c r="DO48" i="9" s="1"/>
  <c r="BR48" i="9" a="1"/>
  <c r="BR48" i="9" s="1"/>
  <c r="CD23" i="9" a="1"/>
  <c r="CD23" i="9" s="1"/>
  <c r="Y23" i="9" a="1"/>
  <c r="Y23" i="9" s="1"/>
  <c r="DU23" i="9" a="1"/>
  <c r="DU23" i="9" s="1"/>
  <c r="AB23" i="9" a="1"/>
  <c r="AB23" i="9" s="1"/>
  <c r="BL23" i="9" a="1"/>
  <c r="BL23" i="9" s="1"/>
  <c r="DI23" i="9" a="1"/>
  <c r="DI23" i="9" s="1"/>
  <c r="DX23" i="9" a="1"/>
  <c r="DX23" i="9" s="1"/>
  <c r="BX23" i="9" a="1"/>
  <c r="BX23" i="9" s="1"/>
  <c r="AE23" i="9" a="1"/>
  <c r="AE23" i="9" s="1"/>
  <c r="CA23" i="9" a="1"/>
  <c r="CA23" i="9" s="1"/>
  <c r="DR23" i="9" a="1"/>
  <c r="DR23" i="9" s="1"/>
  <c r="P23" i="9" a="1"/>
  <c r="P23" i="9" s="1"/>
  <c r="EA23" i="9" a="1"/>
  <c r="EA23" i="9" s="1"/>
  <c r="BU23" i="9" a="1"/>
  <c r="BU23" i="9" s="1"/>
  <c r="AH23" i="9" a="1"/>
  <c r="AH23" i="9" s="1"/>
  <c r="BR17" i="9" a="1"/>
  <c r="BR17" i="9" s="1"/>
  <c r="M17" i="9" a="1"/>
  <c r="M17" i="9" s="1"/>
  <c r="V17" i="9" a="1"/>
  <c r="V17" i="9" s="1"/>
  <c r="DF17" i="9" a="1"/>
  <c r="DF17" i="9" s="1"/>
  <c r="BI17" i="9" a="1"/>
  <c r="BI17" i="9" s="1"/>
  <c r="DO17" i="9" a="1"/>
  <c r="DO17" i="9" s="1"/>
  <c r="DU17" i="9" a="1"/>
  <c r="DU17" i="9" s="1"/>
  <c r="DX17" i="9" a="1"/>
  <c r="DX17" i="9" s="1"/>
  <c r="BL17" i="9" a="1"/>
  <c r="BL17" i="9" s="1"/>
  <c r="BX17" i="9" a="1"/>
  <c r="BX17" i="9" s="1"/>
  <c r="BU17" i="9" a="1"/>
  <c r="BU17" i="9" s="1"/>
  <c r="CD17" i="9" a="1"/>
  <c r="CD17" i="9" s="1"/>
  <c r="DI17" i="9" a="1"/>
  <c r="DI17" i="9" s="1"/>
  <c r="AH17" i="9" a="1"/>
  <c r="AH17" i="9" s="1"/>
  <c r="AE17" i="9" a="1"/>
  <c r="AE17" i="9" s="1"/>
  <c r="Y17" i="9" a="1"/>
  <c r="Y17" i="9" s="1"/>
  <c r="P17" i="9" a="1"/>
  <c r="P17" i="9" s="1"/>
  <c r="EA17" i="9" a="1"/>
  <c r="EA17" i="9" s="1"/>
  <c r="CA17" i="9" a="1"/>
  <c r="CA17" i="9" s="1"/>
  <c r="DR17" i="9" a="1"/>
  <c r="DR17" i="9" s="1"/>
  <c r="AB17" i="9" a="1"/>
  <c r="AB17" i="9" s="1"/>
  <c r="AH31" i="9" a="1"/>
  <c r="AH31" i="9" s="1"/>
  <c r="DI31" i="9" a="1"/>
  <c r="DI31" i="9" s="1"/>
  <c r="DU31" i="9" a="1"/>
  <c r="DU31" i="9" s="1"/>
  <c r="BX31" i="9" a="1"/>
  <c r="BX31" i="9" s="1"/>
  <c r="EA31" i="9" a="1"/>
  <c r="EA31" i="9" s="1"/>
  <c r="Y31" i="9" a="1"/>
  <c r="Y31" i="9" s="1"/>
  <c r="AE31" i="9" a="1"/>
  <c r="AE31" i="9" s="1"/>
  <c r="CA31" i="9" a="1"/>
  <c r="CA31" i="9" s="1"/>
  <c r="BL31" i="9" a="1"/>
  <c r="BL31" i="9" s="1"/>
  <c r="CD31" i="9" a="1"/>
  <c r="CD31" i="9" s="1"/>
  <c r="DR31" i="9" a="1"/>
  <c r="DR31" i="9" s="1"/>
  <c r="DX31" i="9" a="1"/>
  <c r="DX31" i="9" s="1"/>
  <c r="P31" i="9" a="1"/>
  <c r="P31" i="9" s="1"/>
  <c r="BU31" i="9" a="1"/>
  <c r="BU31" i="9" s="1"/>
  <c r="AB31" i="9" a="1"/>
  <c r="AB31" i="9" s="1"/>
  <c r="BR36" i="9" a="1"/>
  <c r="BR36" i="9" s="1"/>
  <c r="M36" i="9" a="1"/>
  <c r="M36" i="9" s="1"/>
  <c r="DO36" i="9" a="1"/>
  <c r="DO36" i="9" s="1"/>
  <c r="V36" i="9" a="1"/>
  <c r="V36" i="9" s="1"/>
  <c r="DF36" i="9" a="1"/>
  <c r="DF36" i="9" s="1"/>
  <c r="BI36" i="9" a="1"/>
  <c r="BI36" i="9" s="1"/>
  <c r="EA36" i="9" a="1"/>
  <c r="EA36" i="9" s="1"/>
  <c r="CA36" i="9" a="1"/>
  <c r="CA36" i="9" s="1"/>
  <c r="DX36" i="9" a="1"/>
  <c r="DX36" i="9" s="1"/>
  <c r="Y36" i="9" a="1"/>
  <c r="Y36" i="9" s="1"/>
  <c r="CD36" i="9" a="1"/>
  <c r="CD36" i="9" s="1"/>
  <c r="AE36" i="9" a="1"/>
  <c r="AE36" i="9" s="1"/>
  <c r="BX36" i="9" a="1"/>
  <c r="BX36" i="9" s="1"/>
  <c r="AB36" i="9" a="1"/>
  <c r="AB36" i="9" s="1"/>
  <c r="P36" i="9" a="1"/>
  <c r="P36" i="9" s="1"/>
  <c r="DR36" i="9" a="1"/>
  <c r="DR36" i="9" s="1"/>
  <c r="DU36" i="9" a="1"/>
  <c r="DU36" i="9" s="1"/>
  <c r="AH36" i="9" a="1"/>
  <c r="AH36" i="9" s="1"/>
  <c r="BL36" i="9" a="1"/>
  <c r="BL36" i="9" s="1"/>
  <c r="DI36" i="9" a="1"/>
  <c r="DI36" i="9" s="1"/>
  <c r="BU36" i="9" a="1"/>
  <c r="BU36" i="9" s="1"/>
  <c r="DI100" i="9" a="1"/>
  <c r="DI100" i="9" s="1"/>
  <c r="BU100" i="9" a="1"/>
  <c r="BU100" i="9" s="1"/>
  <c r="BL100" i="9" a="1"/>
  <c r="BL100" i="9" s="1"/>
  <c r="AB100" i="9" a="1"/>
  <c r="AB100" i="9" s="1"/>
  <c r="CA100" i="9" a="1"/>
  <c r="CA100" i="9" s="1"/>
  <c r="DU100" i="9" a="1"/>
  <c r="DU100" i="9" s="1"/>
  <c r="DR100" i="9" a="1"/>
  <c r="DR100" i="9" s="1"/>
  <c r="BX100" i="9" a="1"/>
  <c r="BX100" i="9" s="1"/>
  <c r="P100" i="9" a="1"/>
  <c r="P100" i="9" s="1"/>
  <c r="AH100" i="9" a="1"/>
  <c r="AH100" i="9" s="1"/>
  <c r="Y100" i="9" a="1"/>
  <c r="Y100" i="9" s="1"/>
  <c r="DX100" i="9" a="1"/>
  <c r="DX100" i="9" s="1"/>
  <c r="AE100" i="9" a="1"/>
  <c r="AE100" i="9" s="1"/>
  <c r="CD100" i="9" a="1"/>
  <c r="CD100" i="9" s="1"/>
  <c r="EA100" i="9" a="1"/>
  <c r="EA100" i="9" s="1"/>
  <c r="DF41" i="9" a="1"/>
  <c r="DF41" i="9" s="1"/>
  <c r="V41" i="9" a="1"/>
  <c r="V41" i="9" s="1"/>
  <c r="DO41" i="9" a="1"/>
  <c r="DO41" i="9" s="1"/>
  <c r="BR41" i="9" a="1"/>
  <c r="BR41" i="9" s="1"/>
  <c r="BI41" i="9" a="1"/>
  <c r="BI41" i="9" s="1"/>
  <c r="M41" i="9" a="1"/>
  <c r="M41" i="9" s="1"/>
  <c r="BI23" i="9" a="1"/>
  <c r="BI23" i="9" s="1"/>
  <c r="DO23" i="9" a="1"/>
  <c r="DO23" i="9" s="1"/>
  <c r="DF23" i="9" a="1"/>
  <c r="DF23" i="9" s="1"/>
  <c r="V23" i="9" a="1"/>
  <c r="V23" i="9" s="1"/>
  <c r="BR23" i="9" a="1"/>
  <c r="BR23" i="9" s="1"/>
  <c r="M23" i="9" a="1"/>
  <c r="M23" i="9" s="1"/>
  <c r="P22" i="9" a="1"/>
  <c r="P22" i="9" s="1"/>
  <c r="AB22" i="9" a="1"/>
  <c r="AB22" i="9" s="1"/>
  <c r="DI22" i="9" a="1"/>
  <c r="DI22" i="9" s="1"/>
  <c r="DR22" i="9" a="1"/>
  <c r="DR22" i="9" s="1"/>
  <c r="BL22" i="9" a="1"/>
  <c r="BL22" i="9" s="1"/>
  <c r="EA22" i="9" a="1"/>
  <c r="EA22" i="9" s="1"/>
  <c r="Y22" i="9" a="1"/>
  <c r="Y22" i="9" s="1"/>
  <c r="AH22" i="9" a="1"/>
  <c r="AH22" i="9" s="1"/>
  <c r="AE22" i="9" a="1"/>
  <c r="AE22" i="9" s="1"/>
  <c r="DU22" i="9" a="1"/>
  <c r="DU22" i="9" s="1"/>
  <c r="CA22" i="9" a="1"/>
  <c r="CA22" i="9" s="1"/>
  <c r="BU22" i="9" a="1"/>
  <c r="BU22" i="9" s="1"/>
  <c r="BX22" i="9" a="1"/>
  <c r="BX22" i="9" s="1"/>
  <c r="CD22" i="9" a="1"/>
  <c r="CD22" i="9" s="1"/>
  <c r="DX22" i="9" a="1"/>
  <c r="DX22" i="9" s="1"/>
  <c r="BI22" i="9" a="1"/>
  <c r="BI22" i="9" s="1"/>
  <c r="DF22" i="9" a="1"/>
  <c r="DF22" i="9" s="1"/>
  <c r="DO22" i="9" a="1"/>
  <c r="DO22" i="9" s="1"/>
  <c r="V22" i="9" a="1"/>
  <c r="V22" i="9" s="1"/>
  <c r="BR22" i="9" a="1"/>
  <c r="BR22" i="9" s="1"/>
  <c r="M22" i="9" a="1"/>
  <c r="M22" i="9" s="1"/>
  <c r="M88" i="9" a="1"/>
  <c r="M88" i="9" s="1"/>
  <c r="BI88" i="9" a="1"/>
  <c r="BI88" i="9" s="1"/>
  <c r="BR88" i="9" a="1"/>
  <c r="BR88" i="9" s="1"/>
  <c r="V88" i="9" a="1"/>
  <c r="V88" i="9" s="1"/>
  <c r="DO88" i="9" a="1"/>
  <c r="DO88" i="9" s="1"/>
  <c r="DF88" i="9" a="1"/>
  <c r="DF88" i="9" s="1"/>
  <c r="P74" i="9" a="1"/>
  <c r="P74" i="9" s="1"/>
  <c r="BL74" i="9" a="1"/>
  <c r="BL74" i="9" s="1"/>
  <c r="AH74" i="9" a="1"/>
  <c r="AH74" i="9" s="1"/>
  <c r="DU74" i="9" a="1"/>
  <c r="DU74" i="9" s="1"/>
  <c r="DR74" i="9" a="1"/>
  <c r="DR74" i="9" s="1"/>
  <c r="EA74" i="9" a="1"/>
  <c r="EA74" i="9" s="1"/>
  <c r="AE74" i="9" a="1"/>
  <c r="AE74" i="9" s="1"/>
  <c r="BX74" i="9" a="1"/>
  <c r="BX74" i="9" s="1"/>
  <c r="AB74" i="9" a="1"/>
  <c r="AB74" i="9" s="1"/>
  <c r="DI74" i="9" a="1"/>
  <c r="DI74" i="9" s="1"/>
  <c r="BU74" i="9" a="1"/>
  <c r="BU74" i="9" s="1"/>
  <c r="Y74" i="9" a="1"/>
  <c r="Y74" i="9" s="1"/>
  <c r="CA74" i="9" a="1"/>
  <c r="CA74" i="9" s="1"/>
  <c r="DX74" i="9" a="1"/>
  <c r="DX74" i="9" s="1"/>
  <c r="CD74" i="9" a="1"/>
  <c r="CD74" i="9" s="1"/>
  <c r="V49" i="9" a="1"/>
  <c r="V49" i="9" s="1"/>
  <c r="DF49" i="9" a="1"/>
  <c r="DF49" i="9" s="1"/>
  <c r="DO49" i="9" a="1"/>
  <c r="DO49" i="9" s="1"/>
  <c r="M49" i="9" a="1"/>
  <c r="M49" i="9" s="1"/>
  <c r="BI49" i="9" a="1"/>
  <c r="BI49" i="9" s="1"/>
  <c r="BR49" i="9" a="1"/>
  <c r="BR49" i="9" s="1"/>
  <c r="DX16" i="9" a="1"/>
  <c r="DX16" i="9" s="1"/>
  <c r="EA16" i="9" a="1"/>
  <c r="EA16" i="9" s="1"/>
  <c r="BX16" i="9" a="1"/>
  <c r="BX16" i="9" s="1"/>
  <c r="AH16" i="9" a="1"/>
  <c r="AH16" i="9" s="1"/>
  <c r="CD16" i="9" a="1"/>
  <c r="CD16" i="9" s="1"/>
  <c r="BU16" i="9" a="1"/>
  <c r="BU16" i="9" s="1"/>
  <c r="BL16" i="9" a="1"/>
  <c r="BL16" i="9" s="1"/>
  <c r="AB16" i="9" a="1"/>
  <c r="AB16" i="9" s="1"/>
  <c r="DI16" i="9" a="1"/>
  <c r="DI16" i="9" s="1"/>
  <c r="AE16" i="9" a="1"/>
  <c r="AE16" i="9" s="1"/>
  <c r="CA16" i="9" a="1"/>
  <c r="CA16" i="9" s="1"/>
  <c r="P16" i="9" a="1"/>
  <c r="P16" i="9" s="1"/>
  <c r="DR16" i="9" a="1"/>
  <c r="DR16" i="9" s="1"/>
  <c r="Y16" i="9" a="1"/>
  <c r="Y16" i="9" s="1"/>
  <c r="DU16" i="9" a="1"/>
  <c r="DU16" i="9" s="1"/>
  <c r="BR16" i="9" a="1"/>
  <c r="BR16" i="9" s="1"/>
  <c r="BI16" i="9" a="1"/>
  <c r="BI16" i="9" s="1"/>
  <c r="DO16" i="9" a="1"/>
  <c r="DO16" i="9" s="1"/>
  <c r="DF16" i="9" a="1"/>
  <c r="DF16" i="9" s="1"/>
  <c r="V16" i="9" a="1"/>
  <c r="V16" i="9" s="1"/>
  <c r="BR69" i="9" a="1"/>
  <c r="BR69" i="9" s="1"/>
  <c r="M69" i="9" a="1"/>
  <c r="M69" i="9" s="1"/>
  <c r="BI69" i="9" a="1"/>
  <c r="BI69" i="9" s="1"/>
  <c r="V69" i="9" a="1"/>
  <c r="V69" i="9" s="1"/>
  <c r="DF69" i="9" a="1"/>
  <c r="DF69" i="9" s="1"/>
  <c r="DO69" i="9" a="1"/>
  <c r="DO69" i="9" s="1"/>
  <c r="DR48" i="9" a="1"/>
  <c r="DR48" i="9" s="1"/>
  <c r="DI48" i="9" a="1"/>
  <c r="DI48" i="9" s="1"/>
  <c r="EA48" i="9" a="1"/>
  <c r="EA48" i="9" s="1"/>
  <c r="P48" i="9" a="1"/>
  <c r="P48" i="9" s="1"/>
  <c r="CD48" i="9" a="1"/>
  <c r="CD48" i="9" s="1"/>
  <c r="CA48" i="9" a="1"/>
  <c r="CA48" i="9" s="1"/>
  <c r="Y48" i="9" a="1"/>
  <c r="Y48" i="9" s="1"/>
  <c r="DX48" i="9" a="1"/>
  <c r="DX48" i="9" s="1"/>
  <c r="BX48" i="9" a="1"/>
  <c r="BX48" i="9" s="1"/>
  <c r="AB48" i="9" a="1"/>
  <c r="AB48" i="9" s="1"/>
  <c r="DU48" i="9" a="1"/>
  <c r="DU48" i="9" s="1"/>
  <c r="AH48" i="9" a="1"/>
  <c r="AH48" i="9" s="1"/>
  <c r="BL48" i="9" a="1"/>
  <c r="BL48" i="9" s="1"/>
  <c r="BU48" i="9" a="1"/>
  <c r="BU48" i="9" s="1"/>
  <c r="AE48" i="9" a="1"/>
  <c r="AE48" i="9" s="1"/>
  <c r="V68" i="9" a="1"/>
  <c r="V68" i="9" s="1"/>
  <c r="DO68" i="9" a="1"/>
  <c r="DO68" i="9" s="1"/>
  <c r="BR68" i="9" a="1"/>
  <c r="BR68" i="9" s="1"/>
  <c r="DF68" i="9" a="1"/>
  <c r="DF68" i="9" s="1"/>
  <c r="BI68" i="9" a="1"/>
  <c r="BI68" i="9" s="1"/>
  <c r="M68" i="9" a="1"/>
  <c r="M68" i="9" s="1"/>
  <c r="BX68" i="9" a="1"/>
  <c r="BX68" i="9" s="1"/>
  <c r="EA68" i="9" a="1"/>
  <c r="EA68" i="9" s="1"/>
  <c r="AH68" i="9" a="1"/>
  <c r="AH68" i="9" s="1"/>
  <c r="DI68" i="9" a="1"/>
  <c r="DI68" i="9" s="1"/>
  <c r="DX68" i="9" a="1"/>
  <c r="DX68" i="9" s="1"/>
  <c r="P68" i="9" a="1"/>
  <c r="P68" i="9" s="1"/>
  <c r="DU68" i="9" a="1"/>
  <c r="DU68" i="9" s="1"/>
  <c r="CD68" i="9" a="1"/>
  <c r="CD68" i="9" s="1"/>
  <c r="BL68" i="9" a="1"/>
  <c r="BL68" i="9" s="1"/>
  <c r="Y68" i="9" a="1"/>
  <c r="Y68" i="9" s="1"/>
  <c r="AE68" i="9" a="1"/>
  <c r="AE68" i="9" s="1"/>
  <c r="BU68" i="9" a="1"/>
  <c r="BU68" i="9" s="1"/>
  <c r="AB68" i="9" a="1"/>
  <c r="AB68" i="9" s="1"/>
  <c r="CA68" i="9" a="1"/>
  <c r="CA68" i="9" s="1"/>
  <c r="DR68" i="9" a="1"/>
  <c r="DR68" i="9" s="1"/>
  <c r="BI35" i="9" a="1"/>
  <c r="BI35" i="9" s="1"/>
  <c r="BR35" i="9" a="1"/>
  <c r="BR35" i="9" s="1"/>
  <c r="M35" i="9" a="1"/>
  <c r="M35" i="9" s="1"/>
  <c r="DF35" i="9" a="1"/>
  <c r="DF35" i="9" s="1"/>
  <c r="DO35" i="9" a="1"/>
  <c r="DO35" i="9" s="1"/>
  <c r="V35" i="9" a="1"/>
  <c r="V35" i="9" s="1"/>
  <c r="M87" i="9" a="1"/>
  <c r="M87" i="9" s="1"/>
  <c r="DO87" i="9" a="1"/>
  <c r="DO87" i="9" s="1"/>
  <c r="DF87" i="9" a="1"/>
  <c r="DF87" i="9" s="1"/>
  <c r="V87" i="9" a="1"/>
  <c r="V87" i="9" s="1"/>
  <c r="BI87" i="9" a="1"/>
  <c r="BI87" i="9" s="1"/>
  <c r="BR87" i="9" a="1"/>
  <c r="BR87" i="9" s="1"/>
  <c r="DO31" i="9" a="1"/>
  <c r="DO31" i="9" s="1"/>
  <c r="BR31" i="9" a="1"/>
  <c r="BR31" i="9" s="1"/>
  <c r="DF31" i="9" a="1"/>
  <c r="DF31" i="9" s="1"/>
  <c r="M31" i="9" a="1"/>
  <c r="M31" i="9" s="1"/>
  <c r="BI31" i="9" a="1"/>
  <c r="BI31" i="9" s="1"/>
  <c r="V31" i="9" a="1"/>
  <c r="V31" i="9" s="1"/>
  <c r="BR101" i="9" a="1"/>
  <c r="BR101" i="9" s="1"/>
  <c r="V101" i="9" a="1"/>
  <c r="V101" i="9" s="1"/>
  <c r="DO101" i="9" a="1"/>
  <c r="DO101" i="9" s="1"/>
  <c r="BI101" i="9" a="1"/>
  <c r="BI101" i="9" s="1"/>
  <c r="M101" i="9" a="1"/>
  <c r="M101" i="9" s="1"/>
  <c r="DF101" i="9" a="1"/>
  <c r="DF101" i="9" s="1"/>
  <c r="AB101" i="9" a="1"/>
  <c r="AB101" i="9" s="1"/>
  <c r="P101" i="9" a="1"/>
  <c r="P101" i="9" s="1"/>
  <c r="DX101" i="9" a="1"/>
  <c r="DX101" i="9" s="1"/>
  <c r="CA101" i="9" a="1"/>
  <c r="CA101" i="9" s="1"/>
  <c r="BU101" i="9" a="1"/>
  <c r="BU101" i="9" s="1"/>
  <c r="DI101" i="9" a="1"/>
  <c r="DI101" i="9" s="1"/>
  <c r="BL101" i="9" a="1"/>
  <c r="BL101" i="9" s="1"/>
  <c r="AH101" i="9" a="1"/>
  <c r="AH101" i="9" s="1"/>
  <c r="Y101" i="9" a="1"/>
  <c r="Y101" i="9" s="1"/>
  <c r="AE101" i="9" a="1"/>
  <c r="AE101" i="9" s="1"/>
  <c r="DR101" i="9" a="1"/>
  <c r="DR101" i="9" s="1"/>
  <c r="CD101" i="9" a="1"/>
  <c r="CD101" i="9" s="1"/>
  <c r="BX101" i="9" a="1"/>
  <c r="BX101" i="9" s="1"/>
  <c r="DU101" i="9" a="1"/>
  <c r="DU101" i="9" s="1"/>
  <c r="EA101" i="9" a="1"/>
  <c r="EA101" i="9" s="1"/>
  <c r="M100" i="9" a="1"/>
  <c r="M100" i="9" s="1"/>
  <c r="BR100" i="9" a="1"/>
  <c r="BR100" i="9" s="1"/>
  <c r="V100" i="9" a="1"/>
  <c r="V100" i="9" s="1"/>
  <c r="DO100" i="9" a="1"/>
  <c r="DO100" i="9" s="1"/>
  <c r="BI100" i="9" a="1"/>
  <c r="BI100" i="9" s="1"/>
  <c r="DF100" i="9" a="1"/>
  <c r="DF100" i="9" s="1"/>
  <c r="P88" i="9" a="1"/>
  <c r="P88" i="9" s="1"/>
  <c r="DI88" i="9" a="1"/>
  <c r="DI88" i="9" s="1"/>
  <c r="BU88" i="9" a="1"/>
  <c r="BU88" i="9" s="1"/>
  <c r="AB88" i="9" a="1"/>
  <c r="AB88" i="9" s="1"/>
  <c r="CD88" i="9" a="1"/>
  <c r="CD88" i="9" s="1"/>
  <c r="DU88" i="9" a="1"/>
  <c r="DU88" i="9" s="1"/>
  <c r="AE88" i="9" a="1"/>
  <c r="AE88" i="9" s="1"/>
  <c r="AH88" i="9" a="1"/>
  <c r="AH88" i="9" s="1"/>
  <c r="EA88" i="9" a="1"/>
  <c r="EA88" i="9" s="1"/>
  <c r="BL88" i="9" a="1"/>
  <c r="BL88" i="9" s="1"/>
  <c r="CA88" i="9" a="1"/>
  <c r="CA88" i="9" s="1"/>
  <c r="DR88" i="9" a="1"/>
  <c r="DR88" i="9" s="1"/>
  <c r="DX88" i="9" a="1"/>
  <c r="DX88" i="9" s="1"/>
  <c r="BX88" i="9" a="1"/>
  <c r="BX88" i="9" s="1"/>
  <c r="Y88" i="9" a="1"/>
  <c r="Y88" i="9" s="1"/>
  <c r="AB41" i="9" a="1"/>
  <c r="AB41" i="9" s="1"/>
  <c r="AH41" i="9" a="1"/>
  <c r="AH41" i="9" s="1"/>
  <c r="P41" i="9" a="1"/>
  <c r="P41" i="9" s="1"/>
  <c r="DX41" i="9" a="1"/>
  <c r="DX41" i="9" s="1"/>
  <c r="DU41" i="9" a="1"/>
  <c r="DU41" i="9" s="1"/>
  <c r="EA41" i="9" a="1"/>
  <c r="EA41" i="9" s="1"/>
  <c r="DI41" i="9" a="1"/>
  <c r="DI41" i="9" s="1"/>
  <c r="CD41" i="9" a="1"/>
  <c r="CD41" i="9" s="1"/>
  <c r="CA41" i="9" a="1"/>
  <c r="CA41" i="9" s="1"/>
  <c r="DR41" i="9" a="1"/>
  <c r="DR41" i="9" s="1"/>
  <c r="BL41" i="9" a="1"/>
  <c r="BL41" i="9" s="1"/>
  <c r="BX41" i="9" a="1"/>
  <c r="BX41" i="9" s="1"/>
  <c r="BU41" i="9" a="1"/>
  <c r="BU41" i="9" s="1"/>
  <c r="AE41" i="9" a="1"/>
  <c r="AE41" i="9" s="1"/>
  <c r="Y41" i="9" a="1"/>
  <c r="Y41" i="9" s="1"/>
  <c r="DI83" i="9" a="1"/>
  <c r="DI83" i="9" s="1"/>
  <c r="AE83" i="9" a="1"/>
  <c r="AE83" i="9" s="1"/>
  <c r="BU83" i="9" a="1"/>
  <c r="BU83" i="9" s="1"/>
  <c r="DR83" i="9" a="1"/>
  <c r="DR83" i="9" s="1"/>
  <c r="AB83" i="9" a="1"/>
  <c r="AB83" i="9" s="1"/>
  <c r="BL83" i="9" a="1"/>
  <c r="BL83" i="9" s="1"/>
  <c r="AH83" i="9" a="1"/>
  <c r="AH83" i="9" s="1"/>
  <c r="CA83" i="9" a="1"/>
  <c r="CA83" i="9" s="1"/>
  <c r="DX83" i="9" a="1"/>
  <c r="DX83" i="9" s="1"/>
  <c r="Y83" i="9" a="1"/>
  <c r="Y83" i="9" s="1"/>
  <c r="BX83" i="9" a="1"/>
  <c r="BX83" i="9" s="1"/>
  <c r="DU83" i="9" a="1"/>
  <c r="DU83" i="9" s="1"/>
  <c r="CD83" i="9" a="1"/>
  <c r="CD83" i="9" s="1"/>
  <c r="EA83" i="9" a="1"/>
  <c r="EA83" i="9" s="1"/>
  <c r="P83" i="9" a="1"/>
  <c r="P83" i="9" s="1"/>
  <c r="BR83" i="9" a="1"/>
  <c r="BR83" i="9" s="1"/>
  <c r="M83" i="9" a="1"/>
  <c r="M83" i="9" s="1"/>
  <c r="BI83" i="9" a="1"/>
  <c r="BI83" i="9" s="1"/>
  <c r="DF83" i="9" a="1"/>
  <c r="DF83" i="9" s="1"/>
  <c r="DO83" i="9" a="1"/>
  <c r="DO83" i="9" s="1"/>
  <c r="V83" i="9" a="1"/>
  <c r="V83" i="9" s="1"/>
  <c r="DR35" i="9" a="1"/>
  <c r="DR35" i="9" s="1"/>
  <c r="DX35" i="9" a="1"/>
  <c r="DX35" i="9" s="1"/>
  <c r="EA35" i="9" a="1"/>
  <c r="EA35" i="9" s="1"/>
  <c r="CA35" i="9" a="1"/>
  <c r="CA35" i="9" s="1"/>
  <c r="BX35" i="9" a="1"/>
  <c r="BX35" i="9" s="1"/>
  <c r="CD35" i="9" a="1"/>
  <c r="CD35" i="9" s="1"/>
  <c r="DI35" i="9" a="1"/>
  <c r="DI35" i="9" s="1"/>
  <c r="P35" i="9" a="1"/>
  <c r="P35" i="9" s="1"/>
  <c r="BL35" i="9" a="1"/>
  <c r="BL35" i="9" s="1"/>
  <c r="AE35" i="9" a="1"/>
  <c r="AE35" i="9" s="1"/>
  <c r="Y35" i="9" a="1"/>
  <c r="Y35" i="9" s="1"/>
  <c r="BU35" i="9" a="1"/>
  <c r="BU35" i="9" s="1"/>
  <c r="AH35" i="9" a="1"/>
  <c r="AH35" i="9" s="1"/>
  <c r="AB35" i="9" a="1"/>
  <c r="AB35" i="9" s="1"/>
  <c r="DU35" i="9" a="1"/>
  <c r="DU35" i="9" s="1"/>
  <c r="BL62" i="9" a="1"/>
  <c r="BL62" i="9" s="1"/>
  <c r="P62" i="9" a="1"/>
  <c r="P62" i="9" s="1"/>
  <c r="DI62" i="9" a="1"/>
  <c r="DI62" i="9" s="1"/>
  <c r="DR62" i="9" a="1"/>
  <c r="DR62" i="9" s="1"/>
  <c r="G62" i="9" a="1"/>
  <c r="CZ62" i="9" a="1"/>
  <c r="BC62" i="9" a="1"/>
  <c r="CD62" i="9" l="1" a="1"/>
  <c r="CD62" i="9" s="1"/>
  <c r="EA62" i="9" a="1"/>
  <c r="EA62" i="9" s="1"/>
  <c r="AH62" i="9" a="1"/>
  <c r="AH62" i="9" s="1"/>
  <c r="CA62" i="9" a="1"/>
  <c r="CA62" i="9" s="1"/>
  <c r="DX62" i="9" a="1"/>
  <c r="DX62" i="9" s="1"/>
  <c r="G62" i="9"/>
  <c r="AE62" i="9" a="1"/>
  <c r="AE62" i="9" s="1"/>
  <c r="EL24" i="9"/>
  <c r="EL32" i="9"/>
  <c r="F187" i="10" s="1"/>
  <c r="CO32" i="9"/>
  <c r="E187" i="10" s="1"/>
  <c r="AS32" i="9"/>
  <c r="D187" i="10" s="1"/>
  <c r="EL28" i="9"/>
  <c r="EL19" i="9"/>
  <c r="EL52" i="9"/>
  <c r="EL60" i="9"/>
  <c r="EL53" i="9"/>
  <c r="EL58" i="9"/>
  <c r="CO50" i="9"/>
  <c r="AS60" i="9"/>
  <c r="C164" i="10" s="1"/>
  <c r="CO19" i="9"/>
  <c r="AS45" i="9"/>
  <c r="EL42" i="9"/>
  <c r="CO18" i="9"/>
  <c r="CO38" i="9"/>
  <c r="E191" i="10" s="1"/>
  <c r="AS43" i="9"/>
  <c r="EL44" i="9"/>
  <c r="EL18" i="9"/>
  <c r="AS55" i="9"/>
  <c r="D197" i="10" s="1"/>
  <c r="AS54" i="9"/>
  <c r="CO44" i="9"/>
  <c r="EL50" i="9"/>
  <c r="EL51" i="9"/>
  <c r="CO58" i="9"/>
  <c r="CO28" i="9"/>
  <c r="AS27" i="9"/>
  <c r="CO43" i="9"/>
  <c r="CO57" i="9"/>
  <c r="E199" i="10" s="1"/>
  <c r="CO54" i="9"/>
  <c r="CO45" i="9"/>
  <c r="CO37" i="9"/>
  <c r="E190" i="10" s="1"/>
  <c r="CO53" i="9"/>
  <c r="EL54" i="9"/>
  <c r="AS26" i="9"/>
  <c r="CO42" i="9"/>
  <c r="EL38" i="9"/>
  <c r="F191" i="10" s="1"/>
  <c r="CO60" i="9"/>
  <c r="D164" i="10" s="1"/>
  <c r="CO27" i="9"/>
  <c r="EL37" i="9"/>
  <c r="F190" i="10" s="1"/>
  <c r="EL26" i="9"/>
  <c r="AS37" i="9"/>
  <c r="D190" i="10" s="1"/>
  <c r="AS28" i="9"/>
  <c r="AS51" i="9"/>
  <c r="AS25" i="9"/>
  <c r="CO26" i="9"/>
  <c r="AS52" i="9"/>
  <c r="AS58" i="9"/>
  <c r="CO56" i="9"/>
  <c r="E198" i="10" s="1"/>
  <c r="EL57" i="9"/>
  <c r="F199" i="10" s="1"/>
  <c r="CO24" i="9"/>
  <c r="AS18" i="9"/>
  <c r="AS56" i="9"/>
  <c r="D198" i="10" s="1"/>
  <c r="EL59" i="9"/>
  <c r="F200" i="10" s="1"/>
  <c r="AS57" i="9"/>
  <c r="D199" i="10" s="1"/>
  <c r="CO52" i="9"/>
  <c r="AS38" i="9"/>
  <c r="D191" i="10" s="1"/>
  <c r="EL56" i="9"/>
  <c r="F198" i="10" s="1"/>
  <c r="EL25" i="9"/>
  <c r="CO55" i="9"/>
  <c r="E197" i="10" s="1"/>
  <c r="AS44" i="9"/>
  <c r="AS42" i="9"/>
  <c r="CO59" i="9"/>
  <c r="E200" i="10" s="1"/>
  <c r="EL55" i="9"/>
  <c r="F197" i="10" s="1"/>
  <c r="EL27" i="9"/>
  <c r="CO51" i="9"/>
  <c r="AS19" i="9"/>
  <c r="CO25" i="9"/>
  <c r="EL45" i="9"/>
  <c r="AS53" i="9"/>
  <c r="AS59" i="9"/>
  <c r="D200" i="10" s="1"/>
  <c r="AS50" i="9"/>
  <c r="AS24" i="9"/>
  <c r="EL43" i="9"/>
  <c r="EE31" i="9" a="1"/>
  <c r="EE31" i="9" s="1"/>
  <c r="AL31" i="9" a="1"/>
  <c r="AL31" i="9" s="1"/>
  <c r="AK31" i="9" a="1"/>
  <c r="AK31" i="9" s="1"/>
  <c r="CG31" i="9" a="1"/>
  <c r="CG31" i="9" s="1"/>
  <c r="ED31" i="9" a="1"/>
  <c r="ED31" i="9" s="1"/>
  <c r="CH31" i="9" a="1"/>
  <c r="CH31" i="9" s="1"/>
  <c r="CG30" i="9" a="1"/>
  <c r="CG30" i="9" s="1"/>
  <c r="CH30" i="9" a="1"/>
  <c r="CH30" i="9" s="1"/>
  <c r="ED30" i="9" a="1"/>
  <c r="ED30" i="9" s="1"/>
  <c r="EE30" i="9" a="1"/>
  <c r="EE30" i="9" s="1"/>
  <c r="AL30" i="9" a="1"/>
  <c r="AL30" i="9" s="1"/>
  <c r="AK30" i="9" a="1"/>
  <c r="AK30" i="9" s="1"/>
  <c r="CH83" i="9" a="1"/>
  <c r="CH83" i="9" s="1"/>
  <c r="AL83" i="9" a="1"/>
  <c r="AL83" i="9" s="1"/>
  <c r="EE83" i="9" a="1"/>
  <c r="EE83" i="9" s="1"/>
  <c r="CH82" i="9" a="1"/>
  <c r="CH82" i="9" s="1"/>
  <c r="EE82" i="9" a="1"/>
  <c r="EE82" i="9" s="1"/>
  <c r="AL82" i="9" a="1"/>
  <c r="AL82" i="9" s="1"/>
  <c r="EL16" i="9"/>
  <c r="EL48" i="9"/>
  <c r="F196" i="10" s="1"/>
  <c r="CO40" i="9"/>
  <c r="D165" i="10" s="1"/>
  <c r="AS40" i="9"/>
  <c r="C165" i="10" s="1"/>
  <c r="EL40" i="9"/>
  <c r="AS35" i="9"/>
  <c r="AS41" i="9"/>
  <c r="D193" i="10" s="1"/>
  <c r="AS48" i="9"/>
  <c r="D196" i="10" s="1"/>
  <c r="EL41" i="9"/>
  <c r="F193" i="10" s="1"/>
  <c r="CO22" i="9"/>
  <c r="AS17" i="9"/>
  <c r="AS49" i="9"/>
  <c r="CO35" i="9"/>
  <c r="CO49" i="9"/>
  <c r="AS22" i="9"/>
  <c r="CO23" i="9"/>
  <c r="EL49" i="9"/>
  <c r="CO17" i="9"/>
  <c r="EL36" i="9"/>
  <c r="F189" i="10" s="1"/>
  <c r="CO16" i="9"/>
  <c r="EL23" i="9"/>
  <c r="AS36" i="9"/>
  <c r="D189" i="10" s="1"/>
  <c r="AS23" i="9"/>
  <c r="EL35" i="9"/>
  <c r="AS16" i="9"/>
  <c r="EL22" i="9"/>
  <c r="CO41" i="9"/>
  <c r="E193" i="10" s="1"/>
  <c r="CO36" i="9"/>
  <c r="E189" i="10" s="1"/>
  <c r="CO48" i="9"/>
  <c r="E196" i="10" s="1"/>
  <c r="EL17" i="9"/>
  <c r="AB62" i="9" a="1"/>
  <c r="AB62" i="9" s="1"/>
  <c r="DU62" i="9" a="1"/>
  <c r="DU62" i="9" s="1"/>
  <c r="CZ62" i="9"/>
  <c r="BC62" i="9"/>
  <c r="BX62" i="9" a="1"/>
  <c r="BX62" i="9" s="1"/>
  <c r="BI62" i="9" a="1"/>
  <c r="BI62" i="9" s="1"/>
  <c r="M62" i="9" a="1"/>
  <c r="M62" i="9" s="1"/>
  <c r="V62" i="9" a="1"/>
  <c r="V62" i="9" s="1"/>
  <c r="DF62" i="9" a="1"/>
  <c r="DF62" i="9" s="1"/>
  <c r="DO62" i="9" a="1"/>
  <c r="DO62" i="9" s="1"/>
  <c r="BR62" i="9" a="1"/>
  <c r="BR62" i="9" s="1"/>
  <c r="Y62" i="9" a="1"/>
  <c r="Y62" i="9" s="1"/>
  <c r="BU62" i="9" a="1"/>
  <c r="BU62" i="9" s="1"/>
  <c r="AS31" i="9" l="1"/>
  <c r="D186" i="10" s="1"/>
  <c r="EL31" i="9"/>
  <c r="F186" i="10" s="1"/>
  <c r="CO31" i="9"/>
  <c r="E186" i="10" s="1"/>
  <c r="EL30" i="9"/>
  <c r="F185" i="10" s="1"/>
  <c r="AS30" i="9"/>
  <c r="D185" i="10" s="1"/>
  <c r="CO30" i="9"/>
  <c r="E185" i="10" s="1"/>
  <c r="BC64" i="9" a="1"/>
  <c r="G64" i="9" a="1"/>
  <c r="CZ64" i="9" a="1"/>
  <c r="CZ64" i="9" l="1"/>
  <c r="G64" i="9"/>
  <c r="BC64" i="9"/>
  <c r="DI64" i="9" a="1"/>
  <c r="DI64" i="9" s="1"/>
  <c r="CD64" i="9" a="1"/>
  <c r="CD64" i="9" s="1"/>
  <c r="DR64" i="9" a="1"/>
  <c r="DR64" i="9" s="1"/>
  <c r="BU64" i="9" a="1"/>
  <c r="BU64" i="9" s="1"/>
  <c r="DU64" i="9" a="1"/>
  <c r="DU64" i="9" s="1"/>
  <c r="AB64" i="9" a="1"/>
  <c r="AB64" i="9" s="1"/>
  <c r="P64" i="9" a="1"/>
  <c r="P64" i="9" s="1"/>
  <c r="DX64" i="9" a="1"/>
  <c r="DX64" i="9" s="1"/>
  <c r="Y64" i="9" a="1"/>
  <c r="Y64" i="9" s="1"/>
  <c r="CA64" i="9" a="1"/>
  <c r="CA64" i="9" s="1"/>
  <c r="BX64" i="9" a="1"/>
  <c r="BX64" i="9" s="1"/>
  <c r="AH64" i="9" a="1"/>
  <c r="AH64" i="9" s="1"/>
  <c r="EA64" i="9" a="1"/>
  <c r="EA64" i="9" s="1"/>
  <c r="BL64" i="9" a="1"/>
  <c r="BL64" i="9" s="1"/>
  <c r="AE64" i="9" a="1"/>
  <c r="AE64" i="9" s="1"/>
  <c r="M64" i="9" a="1"/>
  <c r="M64" i="9" s="1"/>
  <c r="BR64" i="9" a="1"/>
  <c r="BR64" i="9" s="1"/>
  <c r="BI64" i="9" a="1"/>
  <c r="BI64" i="9" s="1"/>
  <c r="DO64" i="9" a="1"/>
  <c r="DO64" i="9" s="1"/>
  <c r="DF64" i="9" a="1"/>
  <c r="DF64" i="9" s="1"/>
  <c r="V64" i="9" a="1"/>
  <c r="V64" i="9" s="1"/>
  <c r="G91" i="9" a="1"/>
  <c r="BC91" i="9" a="1"/>
  <c r="CZ91" i="9" a="1"/>
  <c r="CZ91" i="9" l="1"/>
  <c r="BC91" i="9"/>
  <c r="G91" i="9"/>
  <c r="BI91" i="9" a="1"/>
  <c r="BI91" i="9" s="1"/>
  <c r="BR91" i="9" a="1"/>
  <c r="BR91" i="9" s="1"/>
  <c r="V91" i="9" a="1"/>
  <c r="V91" i="9" s="1"/>
  <c r="DF91" i="9" a="1"/>
  <c r="DF91" i="9" s="1"/>
  <c r="M91" i="9" a="1"/>
  <c r="M91" i="9" s="1"/>
  <c r="DO91" i="9" a="1"/>
  <c r="DO91" i="9" s="1"/>
  <c r="DI91" i="9" a="1"/>
  <c r="DI91" i="9" s="1"/>
  <c r="CD91" i="9" a="1"/>
  <c r="CD91" i="9" s="1"/>
  <c r="CA91" i="9" a="1"/>
  <c r="CA91" i="9" s="1"/>
  <c r="DX91" i="9" a="1"/>
  <c r="DX91" i="9" s="1"/>
  <c r="Y91" i="9" a="1"/>
  <c r="Y91" i="9" s="1"/>
  <c r="AH91" i="9" a="1"/>
  <c r="AH91" i="9" s="1"/>
  <c r="AB91" i="9" a="1"/>
  <c r="AB91" i="9" s="1"/>
  <c r="EA91" i="9" a="1"/>
  <c r="EA91" i="9" s="1"/>
  <c r="DU91" i="9" a="1"/>
  <c r="DU91" i="9" s="1"/>
  <c r="DR91" i="9" a="1"/>
  <c r="DR91" i="9" s="1"/>
  <c r="AE91" i="9" a="1"/>
  <c r="AE91" i="9" s="1"/>
  <c r="BL91" i="9" a="1"/>
  <c r="BL91" i="9" s="1"/>
  <c r="BX91" i="9" a="1"/>
  <c r="BX91" i="9" s="1"/>
  <c r="P91" i="9" a="1"/>
  <c r="P91" i="9" s="1"/>
  <c r="BU91" i="9" a="1"/>
  <c r="BU91" i="9" s="1"/>
  <c r="CZ98" i="9" a="1"/>
  <c r="BC98" i="9" a="1"/>
  <c r="G98" i="9" a="1"/>
  <c r="BC98" i="9" l="1"/>
  <c r="G98" i="9"/>
  <c r="CZ98" i="9"/>
  <c r="DF98" i="9" a="1"/>
  <c r="DF98" i="9" s="1"/>
  <c r="M98" i="9" a="1"/>
  <c r="M98" i="9" s="1"/>
  <c r="DO98" i="9" a="1"/>
  <c r="DO98" i="9" s="1"/>
  <c r="BR98" i="9" a="1"/>
  <c r="BR98" i="9" s="1"/>
  <c r="BI98" i="9" a="1"/>
  <c r="BI98" i="9" s="1"/>
  <c r="V98" i="9" a="1"/>
  <c r="V98" i="9" s="1"/>
  <c r="BL98" i="9" a="1"/>
  <c r="BL98" i="9" s="1"/>
  <c r="DX98" i="9" a="1"/>
  <c r="DX98" i="9" s="1"/>
  <c r="BU98" i="9" a="1"/>
  <c r="BU98" i="9" s="1"/>
  <c r="CD98" i="9" a="1"/>
  <c r="CD98" i="9" s="1"/>
  <c r="DU98" i="9" a="1"/>
  <c r="DU98" i="9" s="1"/>
  <c r="DR98" i="9" a="1"/>
  <c r="DR98" i="9" s="1"/>
  <c r="AH98" i="9" a="1"/>
  <c r="AH98" i="9" s="1"/>
  <c r="EA98" i="9" a="1"/>
  <c r="EA98" i="9" s="1"/>
  <c r="Y98" i="9" a="1"/>
  <c r="Y98" i="9" s="1"/>
  <c r="BX98" i="9" a="1"/>
  <c r="BX98" i="9" s="1"/>
  <c r="CA98" i="9" a="1"/>
  <c r="CA98" i="9" s="1"/>
  <c r="AE98" i="9" a="1"/>
  <c r="AE98" i="9" s="1"/>
  <c r="AB98" i="9" a="1"/>
  <c r="AB98" i="9" s="1"/>
  <c r="DI98" i="9" a="1"/>
  <c r="DI98" i="9" s="1"/>
  <c r="P98" i="9" a="1"/>
  <c r="P98" i="9" s="1"/>
  <c r="G13" i="9" a="1"/>
  <c r="CZ13" i="9" a="1"/>
  <c r="BC13" i="9" a="1"/>
  <c r="CZ13" i="9" l="1"/>
  <c r="G13" i="9"/>
  <c r="BC13" i="9"/>
  <c r="P13" i="9" a="1"/>
  <c r="P13" i="9" s="1"/>
  <c r="AE13" i="9" a="1"/>
  <c r="AE13" i="9" s="1"/>
  <c r="Y13" i="9" a="1"/>
  <c r="Y13" i="9" s="1"/>
  <c r="AB13" i="9" a="1"/>
  <c r="AB13" i="9" s="1"/>
  <c r="BL13" i="9" a="1"/>
  <c r="BL13" i="9" s="1"/>
  <c r="CA13" i="9" a="1"/>
  <c r="CA13" i="9" s="1"/>
  <c r="DR13" i="9" a="1"/>
  <c r="DR13" i="9" s="1"/>
  <c r="AH13" i="9" a="1"/>
  <c r="AH13" i="9" s="1"/>
  <c r="CD13" i="9" a="1"/>
  <c r="CD13" i="9" s="1"/>
  <c r="DU13" i="9" a="1"/>
  <c r="DU13" i="9" s="1"/>
  <c r="BX13" i="9" a="1"/>
  <c r="BX13" i="9" s="1"/>
  <c r="DX13" i="9" a="1"/>
  <c r="DX13" i="9" s="1"/>
  <c r="DI13" i="9" a="1"/>
  <c r="DI13" i="9" s="1"/>
  <c r="BU13" i="9" a="1"/>
  <c r="BU13" i="9" s="1"/>
  <c r="EA13" i="9" a="1"/>
  <c r="EA13" i="9" s="1"/>
  <c r="BI13" i="9" a="1"/>
  <c r="BI13" i="9" s="1"/>
  <c r="BR13" i="9" a="1"/>
  <c r="BR13" i="9" s="1"/>
  <c r="DO13" i="9" a="1"/>
  <c r="DO13" i="9" s="1"/>
  <c r="M13" i="9" a="1"/>
  <c r="M13" i="9" s="1"/>
  <c r="V13" i="9" a="1"/>
  <c r="V13" i="9" s="1"/>
  <c r="DF13" i="9" a="1"/>
  <c r="DF13" i="9" s="1"/>
  <c r="EL13" i="9" l="1"/>
  <c r="M81" i="9" a="1"/>
  <c r="M81" i="9" s="1"/>
  <c r="BI81" i="9" a="1"/>
  <c r="BI81" i="9" s="1"/>
  <c r="DF81" i="9" a="1"/>
  <c r="DF81" i="9" s="1"/>
  <c r="CO13" i="9"/>
  <c r="DO81" i="9" a="1"/>
  <c r="DO81" i="9" s="1"/>
  <c r="AS13" i="9"/>
  <c r="BC81" i="9" a="1"/>
  <c r="CZ81" i="9" a="1"/>
  <c r="G81" i="9" a="1"/>
  <c r="BR81" i="9" l="1" a="1"/>
  <c r="BR81" i="9" s="1"/>
  <c r="V81" i="9" a="1"/>
  <c r="V81" i="9" s="1"/>
  <c r="BC81" i="9"/>
  <c r="G81" i="9"/>
  <c r="CZ81" i="9"/>
  <c r="DU81" i="9" a="1"/>
  <c r="DU81" i="9" s="1"/>
  <c r="DX81" i="9" a="1"/>
  <c r="DX81" i="9" s="1"/>
  <c r="AB81" i="9" a="1"/>
  <c r="AB81" i="9" s="1"/>
  <c r="P81" i="9" a="1"/>
  <c r="P81" i="9" s="1"/>
  <c r="Y81" i="9" a="1"/>
  <c r="Y81" i="9" s="1"/>
  <c r="AE81" i="9" a="1"/>
  <c r="AE81" i="9" s="1"/>
  <c r="DI81" i="9" a="1"/>
  <c r="DI81" i="9" s="1"/>
  <c r="BX81" i="9" a="1"/>
  <c r="BX81" i="9" s="1"/>
  <c r="BU81" i="9" a="1"/>
  <c r="BU81" i="9" s="1"/>
  <c r="EA81" i="9" a="1"/>
  <c r="EA81" i="9" s="1"/>
  <c r="CA81" i="9" a="1"/>
  <c r="CA81" i="9" s="1"/>
  <c r="DR81" i="9" a="1"/>
  <c r="DR81" i="9" s="1"/>
  <c r="CD81" i="9" a="1"/>
  <c r="CD81" i="9" s="1"/>
  <c r="AH81" i="9" a="1"/>
  <c r="AH81" i="9" s="1"/>
  <c r="BL81" i="9" a="1"/>
  <c r="BL81" i="9" s="1"/>
  <c r="DI34" i="9" l="1" a="1"/>
  <c r="DI34" i="9" s="1"/>
  <c r="BL34" i="9" a="1"/>
  <c r="BL34" i="9" s="1"/>
  <c r="P34" i="9" a="1"/>
  <c r="P34" i="9" s="1"/>
  <c r="BU34" i="9" a="1"/>
  <c r="BU34" i="9" s="1"/>
  <c r="CZ34" i="9" a="1"/>
  <c r="G34" i="9" a="1"/>
  <c r="BC34" i="9" a="1"/>
  <c r="AH34" i="9" l="1" a="1"/>
  <c r="AH34" i="9" s="1"/>
  <c r="CD34" i="9" a="1"/>
  <c r="CD34" i="9" s="1"/>
  <c r="EA34" i="9" a="1"/>
  <c r="EA34" i="9" s="1"/>
  <c r="AE34" i="9" a="1"/>
  <c r="AE34" i="9" s="1"/>
  <c r="CA34" i="9" a="1"/>
  <c r="CA34" i="9" s="1"/>
  <c r="G34" i="9"/>
  <c r="DX34" i="9" a="1"/>
  <c r="DX34" i="9" s="1"/>
  <c r="BX34" i="9" a="1"/>
  <c r="BX34" i="9" s="1"/>
  <c r="CZ34" i="9"/>
  <c r="BC34" i="9"/>
  <c r="BL33" i="9" a="1"/>
  <c r="BL33" i="9" s="1"/>
  <c r="DI33" i="9" a="1"/>
  <c r="DI33" i="9" s="1"/>
  <c r="P33" i="9" a="1"/>
  <c r="P33" i="9" s="1"/>
  <c r="AB34" i="9" a="1"/>
  <c r="AB34" i="9" s="1"/>
  <c r="BU33" i="9" a="1"/>
  <c r="BU33" i="9" s="1"/>
  <c r="DU34" i="9" a="1"/>
  <c r="DU34" i="9" s="1"/>
  <c r="Y34" i="9" a="1"/>
  <c r="Y34" i="9" s="1"/>
  <c r="DO34" i="9" a="1"/>
  <c r="DO34" i="9" s="1"/>
  <c r="BR34" i="9" a="1"/>
  <c r="BR34" i="9" s="1"/>
  <c r="BI34" i="9" a="1"/>
  <c r="BI34" i="9" s="1"/>
  <c r="DF34" i="9" a="1"/>
  <c r="DF34" i="9" s="1"/>
  <c r="M34" i="9" a="1"/>
  <c r="M34" i="9" s="1"/>
  <c r="V34" i="9" a="1"/>
  <c r="V34" i="9" s="1"/>
  <c r="DR34" i="9" a="1"/>
  <c r="DR34" i="9" s="1"/>
  <c r="G33" i="9" a="1"/>
  <c r="CZ33" i="9" a="1"/>
  <c r="BC33" i="9" a="1"/>
  <c r="AH33" i="9" l="1" a="1"/>
  <c r="AH33" i="9" s="1"/>
  <c r="EA33" i="9" a="1"/>
  <c r="EA33" i="9" s="1"/>
  <c r="CD33" i="9" a="1"/>
  <c r="CD33" i="9" s="1"/>
  <c r="AE33" i="9" a="1"/>
  <c r="AE33" i="9" s="1"/>
  <c r="DX33" i="9" a="1"/>
  <c r="DX33" i="9" s="1"/>
  <c r="G33" i="9"/>
  <c r="CA33" i="9" a="1"/>
  <c r="CA33" i="9" s="1"/>
  <c r="AS34" i="9"/>
  <c r="D188" i="10" s="1"/>
  <c r="DR33" i="9" a="1"/>
  <c r="DR33" i="9" s="1"/>
  <c r="AB33" i="9" a="1"/>
  <c r="AB33" i="9" s="1"/>
  <c r="BX33" i="9" a="1"/>
  <c r="BX33" i="9" s="1"/>
  <c r="BC33" i="9"/>
  <c r="CZ33" i="9"/>
  <c r="DO33" i="9" a="1"/>
  <c r="DO33" i="9" s="1"/>
  <c r="M33" i="9" a="1"/>
  <c r="M33" i="9" s="1"/>
  <c r="BI33" i="9" a="1"/>
  <c r="BI33" i="9" s="1"/>
  <c r="BR33" i="9" a="1"/>
  <c r="BR33" i="9" s="1"/>
  <c r="V33" i="9" a="1"/>
  <c r="V33" i="9" s="1"/>
  <c r="DF33" i="9" a="1"/>
  <c r="DF33" i="9" s="1"/>
  <c r="CO34" i="9"/>
  <c r="E188" i="10" s="1"/>
  <c r="DU33" i="9" a="1"/>
  <c r="DU33" i="9" s="1"/>
  <c r="Y33" i="9" a="1"/>
  <c r="Y33" i="9" s="1"/>
  <c r="EL34" i="9"/>
  <c r="F188" i="10" s="1"/>
  <c r="CZ86" i="9" a="1"/>
  <c r="BC86" i="9" a="1"/>
  <c r="G86" i="9" a="1"/>
  <c r="G86" i="9" l="1"/>
  <c r="CZ86" i="9"/>
  <c r="BC86" i="9"/>
  <c r="BL86" i="9" a="1"/>
  <c r="BL86" i="9" s="1"/>
  <c r="BX86" i="9" a="1"/>
  <c r="BX86" i="9" s="1"/>
  <c r="AE86" i="9" a="1"/>
  <c r="AE86" i="9" s="1"/>
  <c r="BU86" i="9" a="1"/>
  <c r="BU86" i="9" s="1"/>
  <c r="AB86" i="9" a="1"/>
  <c r="AB86" i="9" s="1"/>
  <c r="AH86" i="9" a="1"/>
  <c r="AH86" i="9" s="1"/>
  <c r="Y86" i="9" a="1"/>
  <c r="Y86" i="9" s="1"/>
  <c r="P86" i="9" a="1"/>
  <c r="P86" i="9" s="1"/>
  <c r="DR86" i="9" a="1"/>
  <c r="DR86" i="9" s="1"/>
  <c r="CA86" i="9" a="1"/>
  <c r="CA86" i="9" s="1"/>
  <c r="CD86" i="9" a="1"/>
  <c r="CD86" i="9" s="1"/>
  <c r="DI86" i="9" a="1"/>
  <c r="DI86" i="9" s="1"/>
  <c r="DU86" i="9" a="1"/>
  <c r="DU86" i="9" s="1"/>
  <c r="DX86" i="9" a="1"/>
  <c r="DX86" i="9" s="1"/>
  <c r="EA86" i="9" a="1"/>
  <c r="EA86" i="9" s="1"/>
  <c r="DF86" i="9" a="1"/>
  <c r="DF86" i="9" s="1"/>
  <c r="V86" i="9" a="1"/>
  <c r="V86" i="9" s="1"/>
  <c r="DO86" i="9" a="1"/>
  <c r="DO86" i="9" s="1"/>
  <c r="BI86" i="9" a="1"/>
  <c r="BI86" i="9" s="1"/>
  <c r="M86" i="9" a="1"/>
  <c r="M86" i="9" s="1"/>
  <c r="BR86" i="9" a="1"/>
  <c r="BR86" i="9" s="1"/>
  <c r="G10" i="9" a="1"/>
  <c r="CZ10" i="9" a="1"/>
  <c r="BC10" i="9" a="1"/>
  <c r="BC10" i="9" l="1"/>
  <c r="G10" i="9"/>
  <c r="CZ10" i="9"/>
  <c r="DF10" i="9" a="1"/>
  <c r="DF10" i="9" s="1"/>
  <c r="M10" i="9" a="1"/>
  <c r="M10" i="9" s="1"/>
  <c r="V10" i="9" a="1"/>
  <c r="V10" i="9" s="1"/>
  <c r="BR10" i="9" a="1"/>
  <c r="BR10" i="9" s="1"/>
  <c r="BI10" i="9" a="1"/>
  <c r="BI10" i="9" s="1"/>
  <c r="DO10" i="9" a="1"/>
  <c r="DO10" i="9" s="1"/>
  <c r="BX10" i="9" a="1"/>
  <c r="BX10" i="9" s="1"/>
  <c r="BL10" i="9" a="1"/>
  <c r="BL10" i="9" s="1"/>
  <c r="DR10" i="9" a="1"/>
  <c r="DR10" i="9" s="1"/>
  <c r="BU10" i="9" a="1"/>
  <c r="BU10" i="9" s="1"/>
  <c r="AB10" i="9" a="1"/>
  <c r="AB10" i="9" s="1"/>
  <c r="DX10" i="9" a="1"/>
  <c r="DX10" i="9" s="1"/>
  <c r="P10" i="9" a="1"/>
  <c r="P10" i="9" s="1"/>
  <c r="AH10" i="9" a="1"/>
  <c r="AH10" i="9" s="1"/>
  <c r="CD10" i="9" a="1"/>
  <c r="CD10" i="9" s="1"/>
  <c r="AE10" i="9" a="1"/>
  <c r="AE10" i="9" s="1"/>
  <c r="CA10" i="9" a="1"/>
  <c r="CA10" i="9" s="1"/>
  <c r="EA10" i="9" a="1"/>
  <c r="EA10" i="9" s="1"/>
  <c r="DI10" i="9" a="1"/>
  <c r="DI10" i="9" s="1"/>
  <c r="DU10" i="9" a="1"/>
  <c r="DU10" i="9" s="1"/>
  <c r="Y10" i="9" a="1"/>
  <c r="Y10" i="9" s="1"/>
  <c r="EL10" i="9" l="1"/>
  <c r="AS10" i="9"/>
  <c r="CO10" i="9"/>
  <c r="G66" i="9" a="1"/>
  <c r="BC66" i="9" a="1"/>
  <c r="CZ66" i="9" a="1"/>
  <c r="CZ66" i="9" l="1"/>
  <c r="BC66" i="9"/>
  <c r="G66" i="9"/>
  <c r="DF66" i="9" a="1"/>
  <c r="DF66" i="9" s="1"/>
  <c r="BR66" i="9" a="1"/>
  <c r="BR66" i="9" s="1"/>
  <c r="DO66" i="9" a="1"/>
  <c r="DO66" i="9" s="1"/>
  <c r="M66" i="9" a="1"/>
  <c r="M66" i="9" s="1"/>
  <c r="V66" i="9" a="1"/>
  <c r="V66" i="9" s="1"/>
  <c r="BI66" i="9" a="1"/>
  <c r="BI66" i="9" s="1"/>
  <c r="BL66" i="9" a="1"/>
  <c r="BL66" i="9" s="1"/>
  <c r="BU66" i="9" a="1"/>
  <c r="BU66" i="9" s="1"/>
  <c r="AE66" i="9" a="1"/>
  <c r="AE66" i="9" s="1"/>
  <c r="BX66" i="9" a="1"/>
  <c r="BX66" i="9" s="1"/>
  <c r="Y66" i="9" a="1"/>
  <c r="Y66" i="9" s="1"/>
  <c r="AH66" i="9" a="1"/>
  <c r="AH66" i="9" s="1"/>
  <c r="AB66" i="9" a="1"/>
  <c r="AB66" i="9" s="1"/>
  <c r="DU66" i="9" a="1"/>
  <c r="DU66" i="9" s="1"/>
  <c r="CA66" i="9" a="1"/>
  <c r="CA66" i="9" s="1"/>
  <c r="DR66" i="9" a="1"/>
  <c r="DR66" i="9" s="1"/>
  <c r="CD66" i="9" a="1"/>
  <c r="CD66" i="9" s="1"/>
  <c r="P66" i="9" a="1"/>
  <c r="P66" i="9" s="1"/>
  <c r="DI66" i="9" a="1"/>
  <c r="DI66" i="9" s="1"/>
  <c r="DX66" i="9" a="1"/>
  <c r="DX66" i="9" s="1"/>
  <c r="EA66" i="9" a="1"/>
  <c r="EA66" i="9" s="1"/>
  <c r="BC12" i="9" a="1"/>
  <c r="G12" i="9" a="1"/>
  <c r="CZ12" i="9" a="1"/>
  <c r="CZ12" i="9" l="1"/>
  <c r="G12" i="9"/>
  <c r="BC12" i="9"/>
  <c r="BL12" i="9" a="1"/>
  <c r="BL12" i="9" s="1"/>
  <c r="P12" i="9" a="1"/>
  <c r="P12" i="9" s="1"/>
  <c r="AH12" i="9" a="1"/>
  <c r="AH12" i="9" s="1"/>
  <c r="AB12" i="9" a="1"/>
  <c r="AB12" i="9" s="1"/>
  <c r="DR12" i="9" a="1"/>
  <c r="DR12" i="9" s="1"/>
  <c r="DU12" i="9" a="1"/>
  <c r="DU12" i="9" s="1"/>
  <c r="EA12" i="9" a="1"/>
  <c r="EA12" i="9" s="1"/>
  <c r="BX12" i="9" a="1"/>
  <c r="BX12" i="9" s="1"/>
  <c r="AE12" i="9" a="1"/>
  <c r="AE12" i="9" s="1"/>
  <c r="CA12" i="9" a="1"/>
  <c r="CA12" i="9" s="1"/>
  <c r="Y12" i="9" a="1"/>
  <c r="Y12" i="9" s="1"/>
  <c r="BU12" i="9" a="1"/>
  <c r="BU12" i="9" s="1"/>
  <c r="DX12" i="9" a="1"/>
  <c r="DX12" i="9" s="1"/>
  <c r="CD12" i="9" a="1"/>
  <c r="CD12" i="9" s="1"/>
  <c r="DI12" i="9" a="1"/>
  <c r="DI12" i="9" s="1"/>
  <c r="DO12" i="9" a="1"/>
  <c r="DO12" i="9" s="1"/>
  <c r="BR12" i="9" a="1"/>
  <c r="BR12" i="9" s="1"/>
  <c r="BI12" i="9" a="1"/>
  <c r="BI12" i="9" s="1"/>
  <c r="DF12" i="9" a="1"/>
  <c r="DF12" i="9" s="1"/>
  <c r="V12" i="9" a="1"/>
  <c r="V12" i="9" s="1"/>
  <c r="M12" i="9" a="1"/>
  <c r="M12" i="9" s="1"/>
  <c r="CZ73" i="9" a="1"/>
  <c r="G73" i="9" a="1"/>
  <c r="BC73" i="9" a="1"/>
  <c r="CZ73" i="9" l="1"/>
  <c r="EL12" i="9"/>
  <c r="G73" i="9"/>
  <c r="BC73" i="9"/>
  <c r="EA73" i="9" a="1"/>
  <c r="EA73" i="9" s="1"/>
  <c r="DX73" i="9" a="1"/>
  <c r="DX73" i="9" s="1"/>
  <c r="DU73" i="9" a="1"/>
  <c r="DU73" i="9" s="1"/>
  <c r="CA73" i="9" a="1"/>
  <c r="CA73" i="9" s="1"/>
  <c r="DR73" i="9" a="1"/>
  <c r="DR73" i="9" s="1"/>
  <c r="BU73" i="9" a="1"/>
  <c r="BU73" i="9" s="1"/>
  <c r="P73" i="9" a="1"/>
  <c r="P73" i="9" s="1"/>
  <c r="CD73" i="9" a="1"/>
  <c r="CD73" i="9" s="1"/>
  <c r="AE73" i="9" a="1"/>
  <c r="AE73" i="9" s="1"/>
  <c r="AH73" i="9" a="1"/>
  <c r="AH73" i="9" s="1"/>
  <c r="DI73" i="9" a="1"/>
  <c r="DI73" i="9" s="1"/>
  <c r="BX73" i="9" a="1"/>
  <c r="BX73" i="9" s="1"/>
  <c r="BL73" i="9" a="1"/>
  <c r="BL73" i="9" s="1"/>
  <c r="Y73" i="9" a="1"/>
  <c r="Y73" i="9" s="1"/>
  <c r="AB73" i="9" a="1"/>
  <c r="AB73" i="9" s="1"/>
  <c r="CO12" i="9"/>
  <c r="M73" i="9" a="1"/>
  <c r="M73" i="9" s="1"/>
  <c r="DO73" i="9" a="1"/>
  <c r="DO73" i="9" s="1"/>
  <c r="V73" i="9" a="1"/>
  <c r="V73" i="9" s="1"/>
  <c r="BR73" i="9" a="1"/>
  <c r="BR73" i="9" s="1"/>
  <c r="BI73" i="9" a="1"/>
  <c r="BI73" i="9" s="1"/>
  <c r="DF73" i="9" a="1"/>
  <c r="DF73" i="9" s="1"/>
  <c r="AS12" i="9"/>
  <c r="CZ99" i="9" a="1"/>
  <c r="BC99" i="9" a="1"/>
  <c r="G99" i="9" a="1"/>
  <c r="CZ99" i="9" l="1"/>
  <c r="BC99" i="9"/>
  <c r="G99" i="9"/>
  <c r="M99" i="9" a="1"/>
  <c r="M99" i="9" s="1"/>
  <c r="V99" i="9" a="1"/>
  <c r="V99" i="9" s="1"/>
  <c r="DF99" i="9" a="1"/>
  <c r="DF99" i="9" s="1"/>
  <c r="DO99" i="9" a="1"/>
  <c r="DO99" i="9" s="1"/>
  <c r="BR99" i="9" a="1"/>
  <c r="BR99" i="9" s="1"/>
  <c r="BI99" i="9" a="1"/>
  <c r="BI99" i="9" s="1"/>
  <c r="DX99" i="9" a="1"/>
  <c r="DX99" i="9" s="1"/>
  <c r="CD99" i="9" a="1"/>
  <c r="CD99" i="9" s="1"/>
  <c r="BU99" i="9" a="1"/>
  <c r="BU99" i="9" s="1"/>
  <c r="P99" i="9" a="1"/>
  <c r="P99" i="9" s="1"/>
  <c r="BL99" i="9" a="1"/>
  <c r="BL99" i="9" s="1"/>
  <c r="AE99" i="9" a="1"/>
  <c r="AE99" i="9" s="1"/>
  <c r="Y99" i="9" a="1"/>
  <c r="Y99" i="9" s="1"/>
  <c r="AB99" i="9" a="1"/>
  <c r="AB99" i="9" s="1"/>
  <c r="DR99" i="9" a="1"/>
  <c r="DR99" i="9" s="1"/>
  <c r="CA99" i="9" a="1"/>
  <c r="CA99" i="9" s="1"/>
  <c r="DI99" i="9" a="1"/>
  <c r="DI99" i="9" s="1"/>
  <c r="BX99" i="9" a="1"/>
  <c r="BX99" i="9" s="1"/>
  <c r="AH99" i="9" a="1"/>
  <c r="AH99" i="9" s="1"/>
  <c r="DU99" i="9" a="1"/>
  <c r="DU99" i="9" s="1"/>
  <c r="EA99" i="9" a="1"/>
  <c r="EA99" i="9" s="1"/>
  <c r="DF20" i="9" l="1" a="1"/>
  <c r="DF20" i="9" s="1"/>
  <c r="M20" i="9" a="1"/>
  <c r="M20" i="9" s="1"/>
  <c r="BI20" i="9" a="1"/>
  <c r="BI20" i="9" s="1"/>
  <c r="DO20" i="9" a="1"/>
  <c r="DO20" i="9" s="1"/>
  <c r="BC20" i="9" a="1"/>
  <c r="CZ20" i="9" a="1"/>
  <c r="G20" i="9" a="1"/>
  <c r="BR20" i="9" l="1" a="1"/>
  <c r="BR20" i="9" s="1"/>
  <c r="V20" i="9" a="1"/>
  <c r="V20" i="9" s="1"/>
  <c r="BC20" i="9"/>
  <c r="G20" i="9"/>
  <c r="CZ20" i="9"/>
  <c r="CA20" i="9" a="1"/>
  <c r="CA20" i="9" s="1"/>
  <c r="AH20" i="9" a="1"/>
  <c r="AH20" i="9" s="1"/>
  <c r="DI20" i="9" a="1"/>
  <c r="DI20" i="9" s="1"/>
  <c r="P20" i="9" a="1"/>
  <c r="P20" i="9" s="1"/>
  <c r="DX20" i="9" a="1"/>
  <c r="DX20" i="9" s="1"/>
  <c r="BU20" i="9" a="1"/>
  <c r="BU20" i="9" s="1"/>
  <c r="DR20" i="9" a="1"/>
  <c r="DR20" i="9" s="1"/>
  <c r="CD20" i="9" a="1"/>
  <c r="CD20" i="9" s="1"/>
  <c r="DU20" i="9" a="1"/>
  <c r="DU20" i="9" s="1"/>
  <c r="AE20" i="9" a="1"/>
  <c r="AE20" i="9" s="1"/>
  <c r="BX20" i="9" a="1"/>
  <c r="BX20" i="9" s="1"/>
  <c r="Y20" i="9" a="1"/>
  <c r="Y20" i="9" s="1"/>
  <c r="BL20" i="9" a="1"/>
  <c r="BL20" i="9" s="1"/>
  <c r="AB20" i="9" a="1"/>
  <c r="AB20" i="9" s="1"/>
  <c r="EA20" i="9" a="1"/>
  <c r="EA20" i="9" s="1"/>
  <c r="CO20" i="9" l="1"/>
  <c r="EL20" i="9"/>
  <c r="AS20" i="9"/>
  <c r="CZ11" i="9" a="1"/>
  <c r="G11" i="9" a="1"/>
  <c r="BC11" i="9" a="1"/>
  <c r="BC11" i="9" l="1"/>
  <c r="G11" i="9"/>
  <c r="CZ11" i="9"/>
  <c r="BI11" i="9" a="1"/>
  <c r="BI11" i="9" s="1"/>
  <c r="BR11" i="9" a="1"/>
  <c r="BR11" i="9" s="1"/>
  <c r="DO11" i="9" a="1"/>
  <c r="DO11" i="9" s="1"/>
  <c r="V11" i="9" a="1"/>
  <c r="V11" i="9" s="1"/>
  <c r="DF11" i="9" a="1"/>
  <c r="DF11" i="9" s="1"/>
  <c r="M11" i="9" a="1"/>
  <c r="M11" i="9" s="1"/>
  <c r="AE11" i="9" a="1"/>
  <c r="AE11" i="9" s="1"/>
  <c r="Y11" i="9" a="1"/>
  <c r="Y11" i="9" s="1"/>
  <c r="AB11" i="9" a="1"/>
  <c r="AB11" i="9" s="1"/>
  <c r="CD11" i="9" a="1"/>
  <c r="CD11" i="9" s="1"/>
  <c r="P11" i="9" a="1"/>
  <c r="P11" i="9" s="1"/>
  <c r="DI11" i="9" a="1"/>
  <c r="DI11" i="9" s="1"/>
  <c r="AH11" i="9" a="1"/>
  <c r="AH11" i="9" s="1"/>
  <c r="DU11" i="9" a="1"/>
  <c r="DU11" i="9" s="1"/>
  <c r="DR11" i="9" a="1"/>
  <c r="DR11" i="9" s="1"/>
  <c r="DX11" i="9" a="1"/>
  <c r="DX11" i="9" s="1"/>
  <c r="BL11" i="9" a="1"/>
  <c r="BL11" i="9" s="1"/>
  <c r="BX11" i="9" a="1"/>
  <c r="BX11" i="9" s="1"/>
  <c r="BU11" i="9" a="1"/>
  <c r="BU11" i="9" s="1"/>
  <c r="EA11" i="9" a="1"/>
  <c r="EA11" i="9" s="1"/>
  <c r="CA11" i="9" a="1"/>
  <c r="CA11" i="9" s="1"/>
  <c r="G67" i="9" a="1"/>
  <c r="BC67" i="9" a="1"/>
  <c r="CZ67" i="9" a="1"/>
  <c r="CZ67" i="9" l="1"/>
  <c r="BC67" i="9"/>
  <c r="G67" i="9"/>
  <c r="EL11" i="9"/>
  <c r="AS11" i="9"/>
  <c r="DO67" i="9" a="1"/>
  <c r="DO67" i="9" s="1"/>
  <c r="V67" i="9" a="1"/>
  <c r="V67" i="9" s="1"/>
  <c r="BR67" i="9" a="1"/>
  <c r="BR67" i="9" s="1"/>
  <c r="BI67" i="9" a="1"/>
  <c r="BI67" i="9" s="1"/>
  <c r="M67" i="9" a="1"/>
  <c r="M67" i="9" s="1"/>
  <c r="DF67" i="9" a="1"/>
  <c r="DF67" i="9" s="1"/>
  <c r="CO11" i="9"/>
  <c r="EA67" i="9" a="1"/>
  <c r="EA67" i="9" s="1"/>
  <c r="DU67" i="9" a="1"/>
  <c r="DU67" i="9" s="1"/>
  <c r="DR67" i="9" a="1"/>
  <c r="DR67" i="9" s="1"/>
  <c r="AE67" i="9" a="1"/>
  <c r="AE67" i="9" s="1"/>
  <c r="BL67" i="9" a="1"/>
  <c r="BL67" i="9" s="1"/>
  <c r="DX67" i="9" a="1"/>
  <c r="DX67" i="9" s="1"/>
  <c r="DI67" i="9" a="1"/>
  <c r="DI67" i="9" s="1"/>
  <c r="CA67" i="9" a="1"/>
  <c r="CA67" i="9" s="1"/>
  <c r="AH67" i="9" a="1"/>
  <c r="AH67" i="9" s="1"/>
  <c r="AB67" i="9" a="1"/>
  <c r="AB67" i="9" s="1"/>
  <c r="Y67" i="9" a="1"/>
  <c r="Y67" i="9" s="1"/>
  <c r="BX67" i="9" a="1"/>
  <c r="BX67" i="9" s="1"/>
  <c r="CD67" i="9" a="1"/>
  <c r="CD67" i="9" s="1"/>
  <c r="P67" i="9" a="1"/>
  <c r="P67" i="9" s="1"/>
  <c r="BU67" i="9" a="1"/>
  <c r="BU67" i="9" s="1"/>
  <c r="G61" i="9" a="1"/>
  <c r="CZ61" i="9" a="1"/>
  <c r="BC61" i="9" a="1"/>
  <c r="CZ61" i="9" l="1"/>
  <c r="BC61" i="9"/>
  <c r="G61" i="9"/>
  <c r="V61" i="9" a="1"/>
  <c r="V61" i="9" s="1"/>
  <c r="DF61" i="9" a="1"/>
  <c r="DF61" i="9" s="1"/>
  <c r="M61" i="9" a="1"/>
  <c r="M61" i="9" s="1"/>
  <c r="DO61" i="9" a="1"/>
  <c r="DO61" i="9" s="1"/>
  <c r="BR61" i="9" a="1"/>
  <c r="BR61" i="9" s="1"/>
  <c r="BI61" i="9" a="1"/>
  <c r="BI61" i="9" s="1"/>
  <c r="DI61" i="9" a="1"/>
  <c r="DI61" i="9" s="1"/>
  <c r="BX61" i="9" a="1"/>
  <c r="BX61" i="9" s="1"/>
  <c r="DR61" i="9" a="1"/>
  <c r="DR61" i="9" s="1"/>
  <c r="AB61" i="9" a="1"/>
  <c r="AB61" i="9" s="1"/>
  <c r="AE61" i="9" a="1"/>
  <c r="AE61" i="9" s="1"/>
  <c r="EA61" i="9" a="1"/>
  <c r="EA61" i="9" s="1"/>
  <c r="Y61" i="9" a="1"/>
  <c r="Y61" i="9" s="1"/>
  <c r="CD61" i="9" a="1"/>
  <c r="CD61" i="9" s="1"/>
  <c r="AH61" i="9" a="1"/>
  <c r="AH61" i="9" s="1"/>
  <c r="P61" i="9" a="1"/>
  <c r="P61" i="9" s="1"/>
  <c r="DU61" i="9" a="1"/>
  <c r="DU61" i="9" s="1"/>
  <c r="DX61" i="9" a="1"/>
  <c r="DX61" i="9" s="1"/>
  <c r="BL61" i="9" a="1"/>
  <c r="BL61" i="9" s="1"/>
  <c r="CA61" i="9" a="1"/>
  <c r="CA61" i="9" s="1"/>
  <c r="BU61" i="9" a="1"/>
  <c r="BU61" i="9" s="1"/>
  <c r="DF21" i="9" l="1" a="1"/>
  <c r="DF21" i="9" s="1"/>
  <c r="M21" i="9" a="1"/>
  <c r="M21" i="9" s="1"/>
  <c r="BI21" i="9" a="1"/>
  <c r="BI21" i="9" s="1"/>
  <c r="BR21" i="9" a="1"/>
  <c r="BR21" i="9" s="1"/>
  <c r="CZ21" i="9" a="1"/>
  <c r="BC21" i="9" a="1"/>
  <c r="G21" i="9" a="1"/>
  <c r="V21" i="9" l="1" a="1"/>
  <c r="V21" i="9" s="1"/>
  <c r="DO21" i="9" a="1"/>
  <c r="DO21" i="9" s="1"/>
  <c r="BC21" i="9"/>
  <c r="G21" i="9"/>
  <c r="CZ21" i="9"/>
  <c r="M85" i="9" a="1"/>
  <c r="M85" i="9" s="1"/>
  <c r="BI85" i="9" a="1"/>
  <c r="BI85" i="9" s="1"/>
  <c r="DF85" i="9" a="1"/>
  <c r="DF85" i="9" s="1"/>
  <c r="DR21" i="9" a="1"/>
  <c r="DR21" i="9" s="1"/>
  <c r="DI21" i="9" a="1"/>
  <c r="DI21" i="9" s="1"/>
  <c r="CA21" i="9" a="1"/>
  <c r="CA21" i="9" s="1"/>
  <c r="BL21" i="9" a="1"/>
  <c r="BL21" i="9" s="1"/>
  <c r="AB21" i="9" a="1"/>
  <c r="AB21" i="9" s="1"/>
  <c r="DU21" i="9" a="1"/>
  <c r="DU21" i="9" s="1"/>
  <c r="DX21" i="9" a="1"/>
  <c r="DX21" i="9" s="1"/>
  <c r="BU21" i="9" a="1"/>
  <c r="BU21" i="9" s="1"/>
  <c r="EA21" i="9" a="1"/>
  <c r="EA21" i="9" s="1"/>
  <c r="BX21" i="9" a="1"/>
  <c r="BX21" i="9" s="1"/>
  <c r="CD21" i="9" a="1"/>
  <c r="CD21" i="9" s="1"/>
  <c r="Y21" i="9" a="1"/>
  <c r="Y21" i="9" s="1"/>
  <c r="P21" i="9" a="1"/>
  <c r="P21" i="9" s="1"/>
  <c r="AE21" i="9" a="1"/>
  <c r="AE21" i="9" s="1"/>
  <c r="AH21" i="9" a="1"/>
  <c r="AH21" i="9" s="1"/>
  <c r="DO85" i="9" a="1"/>
  <c r="DO85" i="9" s="1"/>
  <c r="BC85" i="9" a="1"/>
  <c r="G85" i="9" a="1"/>
  <c r="CZ85" i="9" a="1"/>
  <c r="BR85" i="9" l="1" a="1"/>
  <c r="BR85" i="9" s="1"/>
  <c r="V85" i="9" a="1"/>
  <c r="V85" i="9" s="1"/>
  <c r="BC85" i="9"/>
  <c r="CO21" i="9"/>
  <c r="CZ85" i="9"/>
  <c r="G85" i="9"/>
  <c r="EL21" i="9"/>
  <c r="D65" i="5" a="1"/>
  <c r="D65" i="5" s="1"/>
  <c r="EA85" i="9" a="1"/>
  <c r="EA85" i="9" s="1"/>
  <c r="DU85" i="9" a="1"/>
  <c r="DU85" i="9" s="1"/>
  <c r="DX85" i="9" a="1"/>
  <c r="DX85" i="9" s="1"/>
  <c r="AB85" i="9" a="1"/>
  <c r="AB85" i="9" s="1"/>
  <c r="CA85" i="9" a="1"/>
  <c r="CA85" i="9" s="1"/>
  <c r="P85" i="9" a="1"/>
  <c r="P85" i="9" s="1"/>
  <c r="DI85" i="9" a="1"/>
  <c r="DI85" i="9" s="1"/>
  <c r="BL85" i="9" a="1"/>
  <c r="BL85" i="9" s="1"/>
  <c r="DR85" i="9" a="1"/>
  <c r="DR85" i="9" s="1"/>
  <c r="CD85" i="9" a="1"/>
  <c r="CD85" i="9" s="1"/>
  <c r="AH85" i="9" a="1"/>
  <c r="AH85" i="9" s="1"/>
  <c r="Y85" i="9" a="1"/>
  <c r="Y85" i="9" s="1"/>
  <c r="BX85" i="9" a="1"/>
  <c r="BX85" i="9" s="1"/>
  <c r="BU85" i="9" a="1"/>
  <c r="BU85" i="9" s="1"/>
  <c r="AE85" i="9" a="1"/>
  <c r="AE85" i="9" s="1"/>
  <c r="AS21" i="9"/>
  <c r="BC9" i="9" a="1"/>
  <c r="G9" i="9" a="1"/>
  <c r="G72" i="9" a="1"/>
  <c r="CZ9" i="9" a="1"/>
  <c r="CZ72" i="9" a="1"/>
  <c r="BC72" i="9" a="1"/>
  <c r="J65" i="5" l="1" a="1"/>
  <c r="J65" i="5" s="1"/>
  <c r="J89" i="5" a="1"/>
  <c r="J89" i="5" s="1"/>
  <c r="J77" i="5" a="1"/>
  <c r="J77" i="5" s="1"/>
  <c r="G9" i="9"/>
  <c r="EE85" i="9" a="1"/>
  <c r="EE85" i="9" s="1"/>
  <c r="CH85" i="9" a="1"/>
  <c r="CH85" i="9" s="1"/>
  <c r="AL85" i="9" a="1"/>
  <c r="AL85" i="9" s="1"/>
  <c r="EE33" i="9" a="1"/>
  <c r="EE33" i="9" s="1"/>
  <c r="CH33" i="9" a="1"/>
  <c r="CH33" i="9" s="1"/>
  <c r="AL33" i="9" a="1"/>
  <c r="AL33" i="9" s="1"/>
  <c r="ED33" i="9" a="1"/>
  <c r="ED33" i="9" s="1"/>
  <c r="AK33" i="9" a="1"/>
  <c r="AK33" i="9" s="1"/>
  <c r="CG33" i="9" a="1"/>
  <c r="CG33" i="9" s="1"/>
  <c r="CZ72" i="9"/>
  <c r="BC72" i="9"/>
  <c r="CZ9" i="9"/>
  <c r="BC9" i="9"/>
  <c r="G72" i="9"/>
  <c r="P47" i="9" a="1"/>
  <c r="P47" i="9" s="1"/>
  <c r="BL47" i="9" a="1"/>
  <c r="BL47" i="9" s="1"/>
  <c r="DI47" i="9" a="1"/>
  <c r="DI47" i="9" s="1"/>
  <c r="M72" i="9" a="1"/>
  <c r="M72" i="9" s="1"/>
  <c r="V72" i="9" a="1"/>
  <c r="V72" i="9" s="1"/>
  <c r="DO72" i="9" a="1"/>
  <c r="DO72" i="9" s="1"/>
  <c r="BI72" i="9" a="1"/>
  <c r="BI72" i="9" s="1"/>
  <c r="DF72" i="9" a="1"/>
  <c r="DF72" i="9" s="1"/>
  <c r="BR72" i="9" a="1"/>
  <c r="BR72" i="9" s="1"/>
  <c r="AB47" i="9" a="1"/>
  <c r="AB47" i="9" s="1"/>
  <c r="AE9" i="9" a="1"/>
  <c r="AE9" i="9" s="1"/>
  <c r="DU9" i="9" a="1"/>
  <c r="DU9" i="9" s="1"/>
  <c r="CA9" i="9" a="1"/>
  <c r="CA9" i="9" s="1"/>
  <c r="BL9" i="9" a="1"/>
  <c r="BL9" i="9" s="1"/>
  <c r="BU9" i="9" a="1"/>
  <c r="BU9" i="9" s="1"/>
  <c r="EA9" i="9" a="1"/>
  <c r="EA9" i="9" s="1"/>
  <c r="DI9" i="9" a="1"/>
  <c r="DI9" i="9" s="1"/>
  <c r="AH9" i="9" a="1"/>
  <c r="AH9" i="9" s="1"/>
  <c r="AB9" i="9" a="1"/>
  <c r="AB9" i="9" s="1"/>
  <c r="P9" i="9" a="1"/>
  <c r="P9" i="9" s="1"/>
  <c r="Y9" i="9" a="1"/>
  <c r="Y9" i="9" s="1"/>
  <c r="BX9" i="9" a="1"/>
  <c r="BX9" i="9" s="1"/>
  <c r="DR9" i="9" a="1"/>
  <c r="DR9" i="9" s="1"/>
  <c r="DX9" i="9" a="1"/>
  <c r="DX9" i="9" s="1"/>
  <c r="CD9" i="9" a="1"/>
  <c r="CD9" i="9" s="1"/>
  <c r="V9" i="9" a="1"/>
  <c r="V9" i="9" s="1"/>
  <c r="DO9" i="9" a="1"/>
  <c r="DO9" i="9" s="1"/>
  <c r="DF9" i="9" a="1"/>
  <c r="DF9" i="9" s="1"/>
  <c r="BR9" i="9" a="1"/>
  <c r="BR9" i="9" s="1"/>
  <c r="BI9" i="9" a="1"/>
  <c r="BI9" i="9" s="1"/>
  <c r="CA72" i="9" a="1"/>
  <c r="CA72" i="9" s="1"/>
  <c r="BU72" i="9" a="1"/>
  <c r="BU72" i="9" s="1"/>
  <c r="EA72" i="9" a="1"/>
  <c r="EA72" i="9" s="1"/>
  <c r="BL72" i="9" a="1"/>
  <c r="BL72" i="9" s="1"/>
  <c r="DI72" i="9" a="1"/>
  <c r="DI72" i="9" s="1"/>
  <c r="CD72" i="9" a="1"/>
  <c r="CD72" i="9" s="1"/>
  <c r="DX72" i="9" a="1"/>
  <c r="DX72" i="9" s="1"/>
  <c r="AH72" i="9" a="1"/>
  <c r="AH72" i="9" s="1"/>
  <c r="DU72" i="9" a="1"/>
  <c r="DU72" i="9" s="1"/>
  <c r="BX72" i="9" a="1"/>
  <c r="BX72" i="9" s="1"/>
  <c r="DR72" i="9" a="1"/>
  <c r="DR72" i="9" s="1"/>
  <c r="P72" i="9" a="1"/>
  <c r="P72" i="9" s="1"/>
  <c r="AE72" i="9" a="1"/>
  <c r="AE72" i="9" s="1"/>
  <c r="Y72" i="9" a="1"/>
  <c r="Y72" i="9" s="1"/>
  <c r="AB72" i="9" a="1"/>
  <c r="AB72" i="9" s="1"/>
  <c r="BC47" i="9" a="1"/>
  <c r="G47" i="9" a="1"/>
  <c r="CZ47" i="9" a="1"/>
  <c r="EA47" i="9" l="1" a="1"/>
  <c r="EA47" i="9" s="1"/>
  <c r="CD47" i="9" a="1"/>
  <c r="CD47" i="9" s="1"/>
  <c r="AH47" i="9" a="1"/>
  <c r="AH47" i="9" s="1"/>
  <c r="AE47" i="9" a="1"/>
  <c r="AE47" i="9" s="1"/>
  <c r="G47" i="9"/>
  <c r="CA47" i="9" a="1"/>
  <c r="CA47" i="9" s="1"/>
  <c r="DX47" i="9" a="1"/>
  <c r="DX47" i="9" s="1"/>
  <c r="CO33" i="9"/>
  <c r="E184" i="10" s="1"/>
  <c r="EL33" i="9"/>
  <c r="F184" i="10" s="1"/>
  <c r="AS33" i="9"/>
  <c r="D184" i="10" s="1"/>
  <c r="ED9" i="9" a="1"/>
  <c r="ED9" i="9" s="1"/>
  <c r="AL9" i="9" a="1"/>
  <c r="AL9" i="9" s="1"/>
  <c r="CH9" i="9" a="1"/>
  <c r="CH9" i="9" s="1"/>
  <c r="AK9" i="9" a="1"/>
  <c r="AK9" i="9" s="1"/>
  <c r="CG9" i="9" a="1"/>
  <c r="CG9" i="9" s="1"/>
  <c r="EE9" i="9" a="1"/>
  <c r="EE9" i="9" s="1"/>
  <c r="B78" i="16" a="1"/>
  <c r="B78" i="16" s="1"/>
  <c r="A22" i="7" a="1"/>
  <c r="A22" i="7" s="1"/>
  <c r="A51" i="7" a="1"/>
  <c r="A51" i="7" s="1"/>
  <c r="A60" i="7" s="1"/>
  <c r="C118" i="10" s="1"/>
  <c r="A41" i="7" a="1"/>
  <c r="A41" i="7" s="1"/>
  <c r="B82" i="16" a="1"/>
  <c r="B82" i="16" s="1"/>
  <c r="CH113" i="9" a="1"/>
  <c r="CH113" i="9" s="1"/>
  <c r="AK114" i="9" a="1"/>
  <c r="AK114" i="9" s="1"/>
  <c r="CH65" i="9" a="1"/>
  <c r="CH65" i="9" s="1"/>
  <c r="ED61" i="9" a="1"/>
  <c r="ED61" i="9" s="1"/>
  <c r="EL61" i="9" s="1"/>
  <c r="ED80" i="9" a="1"/>
  <c r="ED80" i="9" s="1"/>
  <c r="EL80" i="9" s="1"/>
  <c r="AK69" i="9" a="1"/>
  <c r="AK69" i="9" s="1"/>
  <c r="AS69" i="9" s="1"/>
  <c r="AK70" i="9" a="1"/>
  <c r="AK70" i="9" s="1"/>
  <c r="AS70" i="9" s="1"/>
  <c r="AK93" i="9" a="1"/>
  <c r="AK93" i="9" s="1"/>
  <c r="AS93" i="9" s="1"/>
  <c r="AK94" i="9" a="1"/>
  <c r="AK94" i="9" s="1"/>
  <c r="AS94" i="9" s="1"/>
  <c r="ED84" i="9" a="1"/>
  <c r="ED84" i="9" s="1"/>
  <c r="EL84" i="9" s="1"/>
  <c r="AK101" i="9" a="1"/>
  <c r="AK101" i="9" s="1"/>
  <c r="AS101" i="9" s="1"/>
  <c r="CG102" i="9" a="1"/>
  <c r="CG102" i="9" s="1"/>
  <c r="CO102" i="9" s="1"/>
  <c r="AK112" i="9" a="1"/>
  <c r="AK112" i="9" s="1"/>
  <c r="AS112" i="9" s="1"/>
  <c r="AK62" i="9" a="1"/>
  <c r="AK62" i="9" s="1"/>
  <c r="AS62" i="9" s="1"/>
  <c r="ED62" i="9" a="1"/>
  <c r="ED62" i="9" s="1"/>
  <c r="EL62" i="9" s="1"/>
  <c r="AK63" i="9" a="1"/>
  <c r="AK63" i="9" s="1"/>
  <c r="ED69" i="9" a="1"/>
  <c r="ED69" i="9" s="1"/>
  <c r="EL69" i="9" s="1"/>
  <c r="CG71" i="9" a="1"/>
  <c r="CG71" i="9" s="1"/>
  <c r="CO71" i="9" s="1"/>
  <c r="ED97" i="9" a="1"/>
  <c r="ED97" i="9" s="1"/>
  <c r="EL97" i="9" s="1"/>
  <c r="CG96" i="9" a="1"/>
  <c r="CG96" i="9" s="1"/>
  <c r="CO96" i="9" s="1"/>
  <c r="ED85" i="9" a="1"/>
  <c r="ED85" i="9" s="1"/>
  <c r="EL85" i="9" s="1"/>
  <c r="AK102" i="9" a="1"/>
  <c r="AK102" i="9" s="1"/>
  <c r="AS102" i="9" s="1"/>
  <c r="ED103" i="9" a="1"/>
  <c r="ED103" i="9" s="1"/>
  <c r="EL103" i="9" s="1"/>
  <c r="ED99" i="9" a="1"/>
  <c r="ED99" i="9" s="1"/>
  <c r="EL99" i="9" s="1"/>
  <c r="AK64" i="9" a="1"/>
  <c r="AK64" i="9" s="1"/>
  <c r="AS64" i="9" s="1"/>
  <c r="CG65" i="9" a="1"/>
  <c r="CG65" i="9" s="1"/>
  <c r="AK71" i="9" a="1"/>
  <c r="AK71" i="9" s="1"/>
  <c r="AS71" i="9" s="1"/>
  <c r="CG73" i="9" a="1"/>
  <c r="CG73" i="9" s="1"/>
  <c r="CO73" i="9" s="1"/>
  <c r="CG98" i="9" a="1"/>
  <c r="CG98" i="9" s="1"/>
  <c r="CO98" i="9" s="1"/>
  <c r="CG97" i="9" a="1"/>
  <c r="CG97" i="9" s="1"/>
  <c r="CO97" i="9" s="1"/>
  <c r="ED86" i="9" a="1"/>
  <c r="ED86" i="9" s="1"/>
  <c r="EL86" i="9" s="1"/>
  <c r="CG103" i="9" a="1"/>
  <c r="CG103" i="9" s="1"/>
  <c r="CO103" i="9" s="1"/>
  <c r="ED105" i="9" a="1"/>
  <c r="ED105" i="9" s="1"/>
  <c r="EL105" i="9" s="1"/>
  <c r="ED100" i="9" a="1"/>
  <c r="ED100" i="9" s="1"/>
  <c r="EL100" i="9" s="1"/>
  <c r="AK61" i="9" a="1"/>
  <c r="AK61" i="9" s="1"/>
  <c r="AS61" i="9" s="1"/>
  <c r="AK68" i="9" a="1"/>
  <c r="AK68" i="9" s="1"/>
  <c r="AS68" i="9" s="1"/>
  <c r="ED83" i="9" a="1"/>
  <c r="ED83" i="9" s="1"/>
  <c r="EL83" i="9" s="1"/>
  <c r="AK110" i="9" a="1"/>
  <c r="AK110" i="9" s="1"/>
  <c r="AS110" i="9" s="1"/>
  <c r="CG67" i="9" a="1"/>
  <c r="CG67" i="9" s="1"/>
  <c r="CO67" i="9" s="1"/>
  <c r="CG74" i="9" a="1"/>
  <c r="CG74" i="9" s="1"/>
  <c r="CO74" i="9" s="1"/>
  <c r="CG84" i="9" a="1"/>
  <c r="CG84" i="9" s="1"/>
  <c r="CO84" i="9" s="1"/>
  <c r="ED109" i="9" a="1"/>
  <c r="ED109" i="9" s="1"/>
  <c r="EL109" i="9" s="1"/>
  <c r="CG68" i="9" a="1"/>
  <c r="CG68" i="9" s="1"/>
  <c r="CO68" i="9" s="1"/>
  <c r="CG82" i="9" a="1"/>
  <c r="CG82" i="9" s="1"/>
  <c r="CO82" i="9" s="1"/>
  <c r="AK111" i="9" a="1"/>
  <c r="AK111" i="9" s="1"/>
  <c r="AS111" i="9" s="1"/>
  <c r="AK65" i="9" a="1"/>
  <c r="AK65" i="9" s="1"/>
  <c r="CG99" i="9" a="1"/>
  <c r="CG99" i="9" s="1"/>
  <c r="CO99" i="9" s="1"/>
  <c r="AK103" i="9" a="1"/>
  <c r="AK103" i="9" s="1"/>
  <c r="AS103" i="9" s="1"/>
  <c r="A58" i="7" a="1"/>
  <c r="A58" i="7" s="1"/>
  <c r="EE114" i="9" a="1"/>
  <c r="EE114" i="9" s="1"/>
  <c r="EL114" i="9" s="1"/>
  <c r="E169" i="10" s="1"/>
  <c r="AK113" i="9" a="1"/>
  <c r="AK113" i="9" s="1"/>
  <c r="CG66" i="9" a="1"/>
  <c r="CG66" i="9" s="1"/>
  <c r="CO66" i="9" s="1"/>
  <c r="ED68" i="9" a="1"/>
  <c r="ED68" i="9" s="1"/>
  <c r="EL68" i="9" s="1"/>
  <c r="AK73" i="9" a="1"/>
  <c r="AK73" i="9" s="1"/>
  <c r="AS73" i="9" s="1"/>
  <c r="ED76" i="9" a="1"/>
  <c r="ED76" i="9" s="1"/>
  <c r="EL76" i="9" s="1"/>
  <c r="AK79" i="9" a="1"/>
  <c r="AK79" i="9" s="1"/>
  <c r="AS79" i="9" s="1"/>
  <c r="ED82" i="9" a="1"/>
  <c r="ED82" i="9" s="1"/>
  <c r="EL82" i="9" s="1"/>
  <c r="ED88" i="9" a="1"/>
  <c r="ED88" i="9" s="1"/>
  <c r="EL88" i="9" s="1"/>
  <c r="CG105" i="9" a="1"/>
  <c r="CG105" i="9" s="1"/>
  <c r="CO105" i="9" s="1"/>
  <c r="AK108" i="9" a="1"/>
  <c r="AK108" i="9" s="1"/>
  <c r="AS108" i="9" s="1"/>
  <c r="AK104" i="9" a="1"/>
  <c r="AK104" i="9" s="1"/>
  <c r="AS104" i="9" s="1"/>
  <c r="ED107" i="9" a="1"/>
  <c r="ED107" i="9" s="1"/>
  <c r="EL107" i="9" s="1"/>
  <c r="CG77" i="9" a="1"/>
  <c r="CG77" i="9" s="1"/>
  <c r="CO77" i="9" s="1"/>
  <c r="ED90" i="9" a="1"/>
  <c r="ED90" i="9" s="1"/>
  <c r="EL90" i="9" s="1"/>
  <c r="AK72" i="9" a="1"/>
  <c r="AK72" i="9" s="1"/>
  <c r="AS72" i="9" s="1"/>
  <c r="CG104" i="9" a="1"/>
  <c r="CG104" i="9" s="1"/>
  <c r="CO104" i="9" s="1"/>
  <c r="B94" i="16" a="1"/>
  <c r="B94" i="16" s="1"/>
  <c r="EE113" i="9" a="1"/>
  <c r="EE113" i="9" s="1"/>
  <c r="EL113" i="9" s="1"/>
  <c r="AL113" i="9" a="1"/>
  <c r="AL113" i="9" s="1"/>
  <c r="AL65" i="9" a="1"/>
  <c r="AL65" i="9" s="1"/>
  <c r="CG70" i="9" a="1"/>
  <c r="CG70" i="9" s="1"/>
  <c r="CO70" i="9" s="1"/>
  <c r="AK76" i="9" a="1"/>
  <c r="AK76" i="9" s="1"/>
  <c r="AS76" i="9" s="1"/>
  <c r="CG79" i="9" a="1"/>
  <c r="CG79" i="9" s="1"/>
  <c r="CO79" i="9" s="1"/>
  <c r="AK80" i="9" a="1"/>
  <c r="AK80" i="9" s="1"/>
  <c r="AS80" i="9" s="1"/>
  <c r="AK85" i="9" a="1"/>
  <c r="AK85" i="9" s="1"/>
  <c r="AS85" i="9" s="1"/>
  <c r="CG90" i="9" a="1"/>
  <c r="CG90" i="9" s="1"/>
  <c r="CO90" i="9" s="1"/>
  <c r="ED92" i="9" a="1"/>
  <c r="ED92" i="9" s="1"/>
  <c r="EL92" i="9" s="1"/>
  <c r="ED110" i="9" a="1"/>
  <c r="ED110" i="9" s="1"/>
  <c r="EL110" i="9" s="1"/>
  <c r="ED101" i="9" a="1"/>
  <c r="ED101" i="9" s="1"/>
  <c r="EL101" i="9" s="1"/>
  <c r="CG110" i="9" a="1"/>
  <c r="CG110" i="9" s="1"/>
  <c r="CO110" i="9" s="1"/>
  <c r="ED71" i="9" a="1"/>
  <c r="ED71" i="9" s="1"/>
  <c r="EL71" i="9" s="1"/>
  <c r="ED79" i="9" a="1"/>
  <c r="ED79" i="9" s="1"/>
  <c r="EL79" i="9" s="1"/>
  <c r="ED81" i="9" a="1"/>
  <c r="ED81" i="9" s="1"/>
  <c r="EL81" i="9" s="1"/>
  <c r="CG81" i="9" a="1"/>
  <c r="CG81" i="9" s="1"/>
  <c r="CO81" i="9" s="1"/>
  <c r="CG86" i="9" a="1"/>
  <c r="CG86" i="9" s="1"/>
  <c r="CO86" i="9" s="1"/>
  <c r="CG92" i="9" a="1"/>
  <c r="CG92" i="9" s="1"/>
  <c r="CO92" i="9" s="1"/>
  <c r="ED93" i="9" a="1"/>
  <c r="ED93" i="9" s="1"/>
  <c r="EL93" i="9" s="1"/>
  <c r="ED111" i="9" a="1"/>
  <c r="ED111" i="9" s="1"/>
  <c r="EL111" i="9" s="1"/>
  <c r="ED102" i="9" a="1"/>
  <c r="ED102" i="9" s="1"/>
  <c r="EL102" i="9" s="1"/>
  <c r="CG111" i="9" a="1"/>
  <c r="CG111" i="9" s="1"/>
  <c r="CO111" i="9" s="1"/>
  <c r="CG72" i="9" a="1"/>
  <c r="CG72" i="9" s="1"/>
  <c r="CO72" i="9" s="1"/>
  <c r="CG62" i="9" a="1"/>
  <c r="CG62" i="9" s="1"/>
  <c r="CO62" i="9" s="1"/>
  <c r="AK83" i="9" a="1"/>
  <c r="AK83" i="9" s="1"/>
  <c r="AS83" i="9" s="1"/>
  <c r="AK87" i="9" a="1"/>
  <c r="AK87" i="9" s="1"/>
  <c r="AS87" i="9" s="1"/>
  <c r="CG93" i="9" a="1"/>
  <c r="CG93" i="9" s="1"/>
  <c r="CO93" i="9" s="1"/>
  <c r="ED98" i="9" a="1"/>
  <c r="ED98" i="9" s="1"/>
  <c r="EL98" i="9" s="1"/>
  <c r="AK95" i="9" a="1"/>
  <c r="AK95" i="9" s="1"/>
  <c r="AS95" i="9" s="1"/>
  <c r="ED104" i="9" a="1"/>
  <c r="ED104" i="9" s="1"/>
  <c r="EL104" i="9" s="1"/>
  <c r="CG112" i="9" a="1"/>
  <c r="CG112" i="9" s="1"/>
  <c r="CO112" i="9" s="1"/>
  <c r="CG69" i="9" a="1"/>
  <c r="CG69" i="9" s="1"/>
  <c r="CO69" i="9" s="1"/>
  <c r="AK74" i="9" a="1"/>
  <c r="AK74" i="9" s="1"/>
  <c r="AS74" i="9" s="1"/>
  <c r="CG76" i="9" a="1"/>
  <c r="CG76" i="9" s="1"/>
  <c r="CO76" i="9" s="1"/>
  <c r="ED78" i="9" a="1"/>
  <c r="ED78" i="9" s="1"/>
  <c r="EL78" i="9" s="1"/>
  <c r="CG83" i="9" a="1"/>
  <c r="CG83" i="9" s="1"/>
  <c r="CO83" i="9" s="1"/>
  <c r="CG88" i="9" a="1"/>
  <c r="CG88" i="9" s="1"/>
  <c r="CO88" i="9" s="1"/>
  <c r="ED91" i="9" a="1"/>
  <c r="ED91" i="9" s="1"/>
  <c r="EL91" i="9" s="1"/>
  <c r="CG109" i="9" a="1"/>
  <c r="CG109" i="9" s="1"/>
  <c r="CO109" i="9" s="1"/>
  <c r="ED112" i="9" a="1"/>
  <c r="ED112" i="9" s="1"/>
  <c r="EL112" i="9" s="1"/>
  <c r="CG107" i="9" a="1"/>
  <c r="CG107" i="9" s="1"/>
  <c r="CO107" i="9" s="1"/>
  <c r="AK98" i="9" a="1"/>
  <c r="AK98" i="9" s="1"/>
  <c r="AS98" i="9" s="1"/>
  <c r="AK77" i="9" a="1"/>
  <c r="AK77" i="9" s="1"/>
  <c r="AS77" i="9" s="1"/>
  <c r="AK67" i="9" a="1"/>
  <c r="AK67" i="9" s="1"/>
  <c r="AS67" i="9" s="1"/>
  <c r="CG91" i="9" a="1"/>
  <c r="CG91" i="9" s="1"/>
  <c r="CO91" i="9" s="1"/>
  <c r="AK99" i="9" a="1"/>
  <c r="AK99" i="9" s="1"/>
  <c r="AS99" i="9" s="1"/>
  <c r="AK109" i="9" a="1"/>
  <c r="AK109" i="9" s="1"/>
  <c r="AS109" i="9" s="1"/>
  <c r="ED73" i="9" a="1"/>
  <c r="ED73" i="9" s="1"/>
  <c r="EL73" i="9" s="1"/>
  <c r="ED63" i="9" a="1"/>
  <c r="ED63" i="9" s="1"/>
  <c r="AK88" i="9" a="1"/>
  <c r="AK88" i="9" s="1"/>
  <c r="AS88" i="9" s="1"/>
  <c r="ED94" i="9" a="1"/>
  <c r="ED94" i="9" s="1"/>
  <c r="EL94" i="9" s="1"/>
  <c r="AK106" i="9" a="1"/>
  <c r="AK106" i="9" s="1"/>
  <c r="AS106" i="9" s="1"/>
  <c r="ED67" i="9" a="1"/>
  <c r="ED67" i="9" s="1"/>
  <c r="EL67" i="9" s="1"/>
  <c r="AK92" i="9" a="1"/>
  <c r="AK92" i="9" s="1"/>
  <c r="AS92" i="9" s="1"/>
  <c r="CG101" i="9" a="1"/>
  <c r="CG101" i="9" s="1"/>
  <c r="CO101" i="9" s="1"/>
  <c r="CG78" i="9" a="1"/>
  <c r="CG78" i="9" s="1"/>
  <c r="CO78" i="9" s="1"/>
  <c r="CG89" i="9" a="1"/>
  <c r="CG89" i="9" s="1"/>
  <c r="CO89" i="9" s="1"/>
  <c r="AK75" i="9" a="1"/>
  <c r="AK75" i="9" s="1"/>
  <c r="AS75" i="9" s="1"/>
  <c r="ED108" i="9" a="1"/>
  <c r="ED108" i="9" s="1"/>
  <c r="EL108" i="9" s="1"/>
  <c r="CG75" i="9" a="1"/>
  <c r="CG75" i="9" s="1"/>
  <c r="CO75" i="9" s="1"/>
  <c r="CG87" i="9" a="1"/>
  <c r="CG87" i="9" s="1"/>
  <c r="CO87" i="9" s="1"/>
  <c r="B93" i="16" a="1"/>
  <c r="B93" i="16" s="1"/>
  <c r="CH114" i="9" a="1"/>
  <c r="CH114" i="9" s="1"/>
  <c r="AL114" i="9" a="1"/>
  <c r="AL114" i="9" s="1"/>
  <c r="EE65" i="9" a="1"/>
  <c r="EE65" i="9" s="1"/>
  <c r="ED74" i="9" a="1"/>
  <c r="ED74" i="9" s="1"/>
  <c r="EL74" i="9" s="1"/>
  <c r="CG63" i="9" a="1"/>
  <c r="CG63" i="9" s="1"/>
  <c r="ED64" i="9" a="1"/>
  <c r="ED64" i="9" s="1"/>
  <c r="EL64" i="9" s="1"/>
  <c r="AK86" i="9" a="1"/>
  <c r="AK86" i="9" s="1"/>
  <c r="AS86" i="9" s="1"/>
  <c r="AK89" i="9" a="1"/>
  <c r="AK89" i="9" s="1"/>
  <c r="AS89" i="9" s="1"/>
  <c r="CG95" i="9" a="1"/>
  <c r="CG95" i="9" s="1"/>
  <c r="CO95" i="9" s="1"/>
  <c r="ED95" i="9" a="1"/>
  <c r="ED95" i="9" s="1"/>
  <c r="EL95" i="9" s="1"/>
  <c r="AK97" i="9" a="1"/>
  <c r="AK97" i="9" s="1"/>
  <c r="AS97" i="9" s="1"/>
  <c r="AK107" i="9" a="1"/>
  <c r="AK107" i="9" s="1"/>
  <c r="AS107" i="9" s="1"/>
  <c r="ED75" i="9" a="1"/>
  <c r="ED75" i="9" s="1"/>
  <c r="EL75" i="9" s="1"/>
  <c r="CG64" i="9" a="1"/>
  <c r="CG64" i="9" s="1"/>
  <c r="CO64" i="9" s="1"/>
  <c r="AK66" i="9" a="1"/>
  <c r="AK66" i="9" s="1"/>
  <c r="AS66" i="9" s="1"/>
  <c r="ED87" i="9" a="1"/>
  <c r="ED87" i="9" s="1"/>
  <c r="EL87" i="9" s="1"/>
  <c r="AK90" i="9" a="1"/>
  <c r="AK90" i="9" s="1"/>
  <c r="AS90" i="9" s="1"/>
  <c r="AK81" i="9" a="1"/>
  <c r="AK81" i="9" s="1"/>
  <c r="AS81" i="9" s="1"/>
  <c r="ED96" i="9" a="1"/>
  <c r="ED96" i="9" s="1"/>
  <c r="EL96" i="9" s="1"/>
  <c r="CG108" i="9" a="1"/>
  <c r="CG108" i="9" s="1"/>
  <c r="CO108" i="9" s="1"/>
  <c r="ED65" i="9" a="1"/>
  <c r="ED65" i="9" s="1"/>
  <c r="ED89" i="9" a="1"/>
  <c r="ED89" i="9" s="1"/>
  <c r="EL89" i="9" s="1"/>
  <c r="AK82" i="9" a="1"/>
  <c r="AK82" i="9" s="1"/>
  <c r="AS82" i="9" s="1"/>
  <c r="CG100" i="9" a="1"/>
  <c r="CG100" i="9" s="1"/>
  <c r="CO100" i="9" s="1"/>
  <c r="CG61" i="9" a="1"/>
  <c r="CG61" i="9" s="1"/>
  <c r="CO61" i="9" s="1"/>
  <c r="AK84" i="9" a="1"/>
  <c r="AK84" i="9" s="1"/>
  <c r="AS84" i="9" s="1"/>
  <c r="CG94" i="9" a="1"/>
  <c r="CG94" i="9" s="1"/>
  <c r="CO94" i="9" s="1"/>
  <c r="AK96" i="9" a="1"/>
  <c r="AK96" i="9" s="1"/>
  <c r="AS96" i="9" s="1"/>
  <c r="AK78" i="9" a="1"/>
  <c r="AK78" i="9" s="1"/>
  <c r="AS78" i="9" s="1"/>
  <c r="AK91" i="9" a="1"/>
  <c r="AK91" i="9" s="1"/>
  <c r="AS91" i="9" s="1"/>
  <c r="AK100" i="9" a="1"/>
  <c r="AK100" i="9" s="1"/>
  <c r="AS100" i="9" s="1"/>
  <c r="ED70" i="9" a="1"/>
  <c r="ED70" i="9" s="1"/>
  <c r="EL70" i="9" s="1"/>
  <c r="CG80" i="9" a="1"/>
  <c r="CG80" i="9" s="1"/>
  <c r="CO80" i="9" s="1"/>
  <c r="AK105" i="9" a="1"/>
  <c r="AK105" i="9" s="1"/>
  <c r="AS105" i="9" s="1"/>
  <c r="ED72" i="9" a="1"/>
  <c r="ED72" i="9" s="1"/>
  <c r="EL72" i="9" s="1"/>
  <c r="CG85" i="9" a="1"/>
  <c r="CG85" i="9" s="1"/>
  <c r="CO85" i="9" s="1"/>
  <c r="CG106" i="9" a="1"/>
  <c r="CG106" i="9" s="1"/>
  <c r="CO106" i="9" s="1"/>
  <c r="ED66" i="9" a="1"/>
  <c r="ED66" i="9" s="1"/>
  <c r="EL66" i="9" s="1"/>
  <c r="ED77" i="9" a="1"/>
  <c r="ED77" i="9" s="1"/>
  <c r="EL77" i="9" s="1"/>
  <c r="ED106" i="9" a="1"/>
  <c r="ED106" i="9" s="1"/>
  <c r="EL106" i="9" s="1"/>
  <c r="CZ47" i="9"/>
  <c r="BC47" i="9"/>
  <c r="BL15" i="9" a="1"/>
  <c r="BL15" i="9" s="1"/>
  <c r="P15" i="9" a="1"/>
  <c r="P15" i="9" s="1"/>
  <c r="DI15" i="9" a="1"/>
  <c r="DI15" i="9" s="1"/>
  <c r="BU47" i="9" a="1"/>
  <c r="BU47" i="9" s="1"/>
  <c r="BX47" i="9" a="1"/>
  <c r="BX47" i="9" s="1"/>
  <c r="DR47" i="9" a="1"/>
  <c r="DR47" i="9" s="1"/>
  <c r="Y47" i="9" a="1"/>
  <c r="Y47" i="9" s="1"/>
  <c r="DU47" i="9" a="1"/>
  <c r="DU47" i="9" s="1"/>
  <c r="DR15" i="9" a="1"/>
  <c r="DR15" i="9" s="1"/>
  <c r="DO47" i="9" a="1"/>
  <c r="DO47" i="9" s="1"/>
  <c r="V47" i="9" a="1"/>
  <c r="V47" i="9" s="1"/>
  <c r="M47" i="9" a="1"/>
  <c r="M47" i="9" s="1"/>
  <c r="BR47" i="9" a="1"/>
  <c r="BR47" i="9" s="1"/>
  <c r="BI47" i="9" a="1"/>
  <c r="BI47" i="9" s="1"/>
  <c r="DF47" i="9" a="1"/>
  <c r="DF47" i="9" s="1"/>
  <c r="BC15" i="9" a="1"/>
  <c r="G15" i="9" a="1"/>
  <c r="CZ15" i="9" a="1"/>
  <c r="EA15" i="9" l="1" a="1"/>
  <c r="EA15" i="9" s="1"/>
  <c r="CD15" i="9" a="1"/>
  <c r="CD15" i="9" s="1"/>
  <c r="AH15" i="9" a="1"/>
  <c r="AH15" i="9" s="1"/>
  <c r="G15" i="9"/>
  <c r="DX15" i="9" a="1"/>
  <c r="DX15" i="9" s="1"/>
  <c r="AE15" i="9" a="1"/>
  <c r="AE15" i="9" s="1"/>
  <c r="CA15" i="9" a="1"/>
  <c r="CA15" i="9" s="1"/>
  <c r="EL9" i="9"/>
  <c r="AS9" i="9"/>
  <c r="CO9" i="9"/>
  <c r="AM116" i="9"/>
  <c r="AL116" i="9"/>
  <c r="CO113" i="9"/>
  <c r="CP113" i="9"/>
  <c r="CO114" i="9"/>
  <c r="D169" i="10" s="1"/>
  <c r="CP114" i="9"/>
  <c r="B63" i="7"/>
  <c r="E118" i="10"/>
  <c r="A63" i="7"/>
  <c r="D118" i="10"/>
  <c r="AS47" i="9"/>
  <c r="D195" i="10" s="1"/>
  <c r="CZ15" i="9"/>
  <c r="BC15" i="9"/>
  <c r="DU15" i="9" a="1"/>
  <c r="DU15" i="9" s="1"/>
  <c r="AB15" i="9" a="1"/>
  <c r="AB15" i="9" s="1"/>
  <c r="CO47" i="9"/>
  <c r="E195" i="10" s="1"/>
  <c r="BU15" i="9" a="1"/>
  <c r="BU15" i="9" s="1"/>
  <c r="BX15" i="9" a="1"/>
  <c r="BX15" i="9" s="1"/>
  <c r="EL47" i="9"/>
  <c r="F195" i="10" s="1"/>
  <c r="M15" i="9" a="1"/>
  <c r="M15" i="9" s="1"/>
  <c r="V15" i="9" a="1"/>
  <c r="V15" i="9" s="1"/>
  <c r="BR15" i="9" a="1"/>
  <c r="BR15" i="9" s="1"/>
  <c r="DO15" i="9" a="1"/>
  <c r="DO15" i="9" s="1"/>
  <c r="DF15" i="9" a="1"/>
  <c r="DF15" i="9" s="1"/>
  <c r="BI15" i="9" a="1"/>
  <c r="BI15" i="9" s="1"/>
  <c r="Y15" i="9" a="1"/>
  <c r="Y15" i="9" s="1"/>
  <c r="G14" i="9" a="1"/>
  <c r="BC14" i="9" a="1"/>
  <c r="CZ14" i="9" a="1"/>
  <c r="AK2" i="9" l="1"/>
  <c r="AK3" i="9" s="1"/>
  <c r="F26" i="10"/>
  <c r="C26" i="10"/>
  <c r="E26" i="10"/>
  <c r="H26" i="10"/>
  <c r="AK4" i="9"/>
  <c r="D26" i="10"/>
  <c r="G26" i="10"/>
  <c r="G14" i="9"/>
  <c r="CZ14" i="9"/>
  <c r="BC14" i="9"/>
  <c r="AS15" i="9"/>
  <c r="CA14" i="9" a="1"/>
  <c r="CA14" i="9" s="1"/>
  <c r="Y14" i="9" a="1"/>
  <c r="Y14" i="9" s="1"/>
  <c r="BX14" i="9" a="1"/>
  <c r="BX14" i="9" s="1"/>
  <c r="DR14" i="9" a="1"/>
  <c r="DR14" i="9" s="1"/>
  <c r="BL14" i="9" a="1"/>
  <c r="BL14" i="9" s="1"/>
  <c r="DI14" i="9" a="1"/>
  <c r="DI14" i="9" s="1"/>
  <c r="DU14" i="9" a="1"/>
  <c r="DU14" i="9" s="1"/>
  <c r="DX14" i="9" a="1"/>
  <c r="DX14" i="9" s="1"/>
  <c r="EA14" i="9" a="1"/>
  <c r="EA14" i="9" s="1"/>
  <c r="BU14" i="9" a="1"/>
  <c r="BU14" i="9" s="1"/>
  <c r="P14" i="9" a="1"/>
  <c r="P14" i="9" s="1"/>
  <c r="AE14" i="9" a="1"/>
  <c r="AE14" i="9" s="1"/>
  <c r="AB14" i="9" a="1"/>
  <c r="AB14" i="9" s="1"/>
  <c r="AH14" i="9" a="1"/>
  <c r="AH14" i="9" s="1"/>
  <c r="CD14" i="9" a="1"/>
  <c r="CD14" i="9" s="1"/>
  <c r="BR14" i="9" a="1"/>
  <c r="BR14" i="9" s="1"/>
  <c r="BI14" i="9" a="1"/>
  <c r="BI14" i="9" s="1"/>
  <c r="V14" i="9" a="1"/>
  <c r="V14" i="9" s="1"/>
  <c r="DF14" i="9" a="1"/>
  <c r="DF14" i="9" s="1"/>
  <c r="M14" i="9" a="1"/>
  <c r="M14" i="9" s="1"/>
  <c r="DO14" i="9" a="1"/>
  <c r="DO14" i="9" s="1"/>
  <c r="CO15" i="9"/>
  <c r="EL15" i="9"/>
  <c r="BC39" i="9" a="1"/>
  <c r="CZ39" i="9" a="1"/>
  <c r="G39" i="9" a="1"/>
  <c r="CZ39" i="9" l="1"/>
  <c r="G39" i="9"/>
  <c r="BC39" i="9"/>
  <c r="CO14" i="9"/>
  <c r="EL14" i="9"/>
  <c r="CD39" i="9" a="1"/>
  <c r="CD39" i="9" s="1"/>
  <c r="DU39" i="9" a="1"/>
  <c r="DU39" i="9" s="1"/>
  <c r="EA39" i="9" a="1"/>
  <c r="EA39" i="9" s="1"/>
  <c r="Y39" i="9" a="1"/>
  <c r="Y39" i="9" s="1"/>
  <c r="AB39" i="9" a="1"/>
  <c r="AB39" i="9" s="1"/>
  <c r="AH39" i="9" a="1"/>
  <c r="AH39" i="9" s="1"/>
  <c r="P39" i="9" a="1"/>
  <c r="P39" i="9" s="1"/>
  <c r="DR39" i="9" a="1"/>
  <c r="DR39" i="9" s="1"/>
  <c r="DX39" i="9" a="1"/>
  <c r="DX39" i="9" s="1"/>
  <c r="BU39" i="9" a="1"/>
  <c r="BU39" i="9" s="1"/>
  <c r="CA39" i="9" a="1"/>
  <c r="CA39" i="9" s="1"/>
  <c r="DI39" i="9" a="1"/>
  <c r="DI39" i="9" s="1"/>
  <c r="BL39" i="9" a="1"/>
  <c r="BL39" i="9" s="1"/>
  <c r="AE39" i="9" a="1"/>
  <c r="AE39" i="9" s="1"/>
  <c r="BX39" i="9" a="1"/>
  <c r="BX39" i="9" s="1"/>
  <c r="AS14" i="9"/>
  <c r="DF39" i="9" a="1"/>
  <c r="DF39" i="9" s="1"/>
  <c r="M39" i="9" a="1"/>
  <c r="M39" i="9" s="1"/>
  <c r="V39" i="9" a="1"/>
  <c r="V39" i="9" s="1"/>
  <c r="BI39" i="9" a="1"/>
  <c r="BI39" i="9" s="1"/>
  <c r="DO39" i="9" a="1"/>
  <c r="DO39" i="9" s="1"/>
  <c r="BR39" i="9" a="1"/>
  <c r="BR39" i="9" s="1"/>
  <c r="EL39" i="9" l="1"/>
  <c r="F192" i="10" s="1"/>
  <c r="CO39" i="9"/>
  <c r="E192" i="10" s="1"/>
  <c r="AS39" i="9"/>
  <c r="D192" i="10" s="1"/>
  <c r="G63" i="9" a="1"/>
  <c r="CZ63" i="9" a="1"/>
  <c r="BC63" i="9" a="1"/>
  <c r="G63" i="9" l="1"/>
  <c r="EA63" i="9" a="1"/>
  <c r="EA63" i="9" s="1"/>
  <c r="BL63" i="9" a="1"/>
  <c r="BL63" i="9" s="1"/>
  <c r="DX63" i="9" a="1"/>
  <c r="DX63" i="9" s="1"/>
  <c r="DI63" i="9" a="1"/>
  <c r="DI63" i="9" s="1"/>
  <c r="AE63" i="9" a="1"/>
  <c r="AE63" i="9" s="1"/>
  <c r="CA63" i="9" a="1"/>
  <c r="CA63" i="9" s="1"/>
  <c r="AH63" i="9" a="1"/>
  <c r="AH63" i="9" s="1"/>
  <c r="CD63" i="9" a="1"/>
  <c r="CD63" i="9" s="1"/>
  <c r="P63" i="9" a="1"/>
  <c r="P63" i="9" s="1"/>
  <c r="BX63" i="9" a="1"/>
  <c r="BX63" i="9" s="1"/>
  <c r="CZ63" i="9"/>
  <c r="BC63" i="9"/>
  <c r="P46" i="9" a="1"/>
  <c r="P46" i="9" s="1"/>
  <c r="DI46" i="9" a="1"/>
  <c r="DI46" i="9" s="1"/>
  <c r="BL46" i="9" a="1"/>
  <c r="BL46" i="9" s="1"/>
  <c r="Y46" i="9" a="1"/>
  <c r="Y46" i="9" s="1"/>
  <c r="BU63" i="9" a="1"/>
  <c r="BU63" i="9" s="1"/>
  <c r="DU63" i="9" a="1"/>
  <c r="DU63" i="9" s="1"/>
  <c r="DR63" i="9" a="1"/>
  <c r="DR63" i="9" s="1"/>
  <c r="DF63" i="9" a="1"/>
  <c r="DF63" i="9" s="1"/>
  <c r="BR63" i="9" a="1"/>
  <c r="BR63" i="9" s="1"/>
  <c r="V63" i="9" a="1"/>
  <c r="V63" i="9" s="1"/>
  <c r="M63" i="9" a="1"/>
  <c r="M63" i="9" s="1"/>
  <c r="DO63" i="9" a="1"/>
  <c r="DO63" i="9" s="1"/>
  <c r="BI63" i="9" a="1"/>
  <c r="BI63" i="9" s="1"/>
  <c r="Y63" i="9" a="1"/>
  <c r="Y63" i="9" s="1"/>
  <c r="AB63" i="9" a="1"/>
  <c r="AB63" i="9" s="1"/>
  <c r="CZ46" i="9" a="1"/>
  <c r="BC46" i="9" a="1"/>
  <c r="G46" i="9" a="1"/>
  <c r="AH46" i="9" l="1" a="1"/>
  <c r="AH46" i="9" s="1"/>
  <c r="CD46" i="9" a="1"/>
  <c r="CD46" i="9" s="1"/>
  <c r="EA46" i="9" a="1"/>
  <c r="EA46" i="9" s="1"/>
  <c r="AE46" i="9" a="1"/>
  <c r="AE46" i="9" s="1"/>
  <c r="DX46" i="9" a="1"/>
  <c r="DX46" i="9" s="1"/>
  <c r="G46" i="9"/>
  <c r="CA46" i="9" a="1"/>
  <c r="CA46" i="9" s="1"/>
  <c r="CZ46" i="9"/>
  <c r="BC46" i="9"/>
  <c r="P29" i="9" a="1"/>
  <c r="P29" i="9" s="1"/>
  <c r="DI29" i="9" a="1"/>
  <c r="DI29" i="9" s="1"/>
  <c r="BL29" i="9" a="1"/>
  <c r="BL29" i="9" s="1"/>
  <c r="BU46" i="9" a="1"/>
  <c r="BU46" i="9" s="1"/>
  <c r="AS63" i="9"/>
  <c r="BI46" i="9" a="1"/>
  <c r="BI46" i="9" s="1"/>
  <c r="M46" i="9" a="1"/>
  <c r="M46" i="9" s="1"/>
  <c r="DF46" i="9" a="1"/>
  <c r="DF46" i="9" s="1"/>
  <c r="V46" i="9" a="1"/>
  <c r="V46" i="9" s="1"/>
  <c r="DO46" i="9" a="1"/>
  <c r="DO46" i="9" s="1"/>
  <c r="BR46" i="9" a="1"/>
  <c r="BR46" i="9" s="1"/>
  <c r="DR46" i="9" a="1"/>
  <c r="DR46" i="9" s="1"/>
  <c r="CO63" i="9"/>
  <c r="BX46" i="9" a="1"/>
  <c r="BX46" i="9" s="1"/>
  <c r="DU46" i="9" a="1"/>
  <c r="DU46" i="9" s="1"/>
  <c r="EL63" i="9"/>
  <c r="Y29" i="9" a="1"/>
  <c r="Y29" i="9" s="1"/>
  <c r="AB46" i="9" a="1"/>
  <c r="AB46" i="9" s="1"/>
  <c r="CZ29" i="9" a="1"/>
  <c r="BC29" i="9" a="1"/>
  <c r="G29" i="9" a="1"/>
  <c r="CD29" i="9" l="1" a="1"/>
  <c r="CD29" i="9" s="1"/>
  <c r="EA29" i="9" a="1"/>
  <c r="EA29" i="9" s="1"/>
  <c r="AH29" i="9" a="1"/>
  <c r="AH29" i="9" s="1"/>
  <c r="E35" i="10" a="1"/>
  <c r="E35" i="10" s="1"/>
  <c r="CA29" i="9" a="1"/>
  <c r="CA29" i="9" s="1"/>
  <c r="G29" i="9"/>
  <c r="DX29" i="9" a="1"/>
  <c r="DX29" i="9" s="1"/>
  <c r="AE29" i="9" a="1"/>
  <c r="AE29" i="9" s="1"/>
  <c r="E54" i="10"/>
  <c r="J85" i="5" a="1"/>
  <c r="J85" i="5" s="1"/>
  <c r="E73" i="10" s="1"/>
  <c r="J61" i="5" a="1"/>
  <c r="J61" i="5" s="1"/>
  <c r="C73" i="10" s="1"/>
  <c r="CZ29" i="9"/>
  <c r="BC29" i="9"/>
  <c r="J72" i="5" a="1"/>
  <c r="J72" i="5" s="1"/>
  <c r="D68" i="10" s="1"/>
  <c r="J84" i="5" a="1"/>
  <c r="J84" i="5" s="1"/>
  <c r="E68" i="10" s="1"/>
  <c r="J60" i="5" a="1"/>
  <c r="J60" i="5" s="1"/>
  <c r="C68" i="10" s="1"/>
  <c r="D60" i="5" a="1"/>
  <c r="D60" i="5" s="1"/>
  <c r="P65" i="9" a="1"/>
  <c r="P65" i="9" s="1"/>
  <c r="P113" i="9" a="1"/>
  <c r="P113" i="9" s="1"/>
  <c r="D84" i="5" a="1"/>
  <c r="D84" i="5" s="1"/>
  <c r="BL65" i="9" a="1"/>
  <c r="BL65" i="9" s="1"/>
  <c r="D61" i="5" a="1"/>
  <c r="D61" i="5" s="1"/>
  <c r="D73" i="5" a="1"/>
  <c r="D73" i="5" s="1"/>
  <c r="D85" i="5" a="1"/>
  <c r="D85" i="5" s="1"/>
  <c r="DI65" i="9" a="1"/>
  <c r="DI65" i="9" s="1"/>
  <c r="D72" i="5" a="1"/>
  <c r="D72" i="5" s="1"/>
  <c r="P114" i="9" a="1"/>
  <c r="P114" i="9" s="1"/>
  <c r="BU29" i="9" a="1"/>
  <c r="BU29" i="9" s="1"/>
  <c r="AB29" i="9" a="1"/>
  <c r="AB29" i="9" s="1"/>
  <c r="CO46" i="9"/>
  <c r="E194" i="10" s="1"/>
  <c r="AS46" i="9"/>
  <c r="D194" i="10" s="1"/>
  <c r="BX29" i="9" a="1"/>
  <c r="BX29" i="9" s="1"/>
  <c r="DU29" i="9" a="1"/>
  <c r="DU29" i="9" s="1"/>
  <c r="DR29" i="9" a="1"/>
  <c r="DR29" i="9" s="1"/>
  <c r="EL46" i="9"/>
  <c r="F194" i="10" s="1"/>
  <c r="M29" i="9" a="1"/>
  <c r="M29" i="9" s="1"/>
  <c r="V29" i="9" a="1"/>
  <c r="V29" i="9" s="1"/>
  <c r="DF29" i="9" a="1"/>
  <c r="DF29" i="9" s="1"/>
  <c r="BR29" i="9" a="1"/>
  <c r="BR29" i="9" s="1"/>
  <c r="DO29" i="9" a="1"/>
  <c r="DO29" i="9" s="1"/>
  <c r="BI29" i="9" a="1"/>
  <c r="BI29" i="9" s="1"/>
  <c r="CZ65" i="9" a="1"/>
  <c r="J76" i="5" l="1" a="1"/>
  <c r="J76" i="5" s="1"/>
  <c r="D95" i="10" s="1"/>
  <c r="D77" i="5" a="1"/>
  <c r="D77" i="5" s="1"/>
  <c r="D34" i="10"/>
  <c r="D90" i="5" a="1"/>
  <c r="D90" i="5" s="1"/>
  <c r="AH113" i="9" a="1"/>
  <c r="AH113" i="9" s="1"/>
  <c r="D78" i="5" a="1"/>
  <c r="D78" i="5" s="1"/>
  <c r="AH65" i="9" a="1"/>
  <c r="AH65" i="9" s="1"/>
  <c r="J66" i="5" a="1"/>
  <c r="J66" i="5" s="1"/>
  <c r="C106" i="10" s="1"/>
  <c r="AH2" i="9" s="1"/>
  <c r="D66" i="5" a="1"/>
  <c r="D66" i="5" s="1"/>
  <c r="J90" i="5" a="1"/>
  <c r="J90" i="5" s="1"/>
  <c r="E106" i="10" s="1"/>
  <c r="AH114" i="9" a="1"/>
  <c r="AH114" i="9" s="1"/>
  <c r="J78" i="5" a="1"/>
  <c r="J78" i="5" s="1"/>
  <c r="D106" i="10" s="1"/>
  <c r="AH4" i="9" s="1"/>
  <c r="EA65" i="9" a="1"/>
  <c r="EA65" i="9" s="1"/>
  <c r="CD65" i="9" a="1"/>
  <c r="CD65" i="9" s="1"/>
  <c r="C34" i="10"/>
  <c r="C20" i="10" s="1"/>
  <c r="J64" i="5" a="1"/>
  <c r="J64" i="5" s="1"/>
  <c r="C95" i="10" s="1"/>
  <c r="D101" i="10"/>
  <c r="AE65" i="9" a="1"/>
  <c r="AE65" i="9" s="1"/>
  <c r="DX65" i="9" a="1"/>
  <c r="DX65" i="9" s="1"/>
  <c r="E101" i="10"/>
  <c r="CA65" i="9" a="1"/>
  <c r="CA65" i="9" s="1"/>
  <c r="AE114" i="9" a="1"/>
  <c r="AE114" i="9" s="1"/>
  <c r="AE113" i="9" a="1"/>
  <c r="AE113" i="9" s="1"/>
  <c r="J86" i="5" a="1"/>
  <c r="J86" i="5" s="1"/>
  <c r="E84" i="10" s="1"/>
  <c r="D62" i="5" a="1"/>
  <c r="D62" i="5" s="1"/>
  <c r="DO65" i="9" a="1"/>
  <c r="DO65" i="9" s="1"/>
  <c r="CZ65" i="9"/>
  <c r="DF65" i="9" a="1"/>
  <c r="DF65" i="9" s="1"/>
  <c r="BR65" i="9" a="1"/>
  <c r="BR65" i="9" s="1"/>
  <c r="D71" i="5" a="1"/>
  <c r="D71" i="5" s="1"/>
  <c r="J59" i="5" a="1"/>
  <c r="J59" i="5" s="1"/>
  <c r="C63" i="10" s="1"/>
  <c r="C53" i="10" s="1"/>
  <c r="BI65" i="9" a="1"/>
  <c r="BI65" i="9" s="1"/>
  <c r="J71" i="5" a="1"/>
  <c r="J71" i="5" s="1"/>
  <c r="D63" i="10" s="1"/>
  <c r="D53" i="10" s="1"/>
  <c r="D83" i="5" a="1"/>
  <c r="D83" i="5" s="1"/>
  <c r="V65" i="9" a="1"/>
  <c r="V65" i="9" s="1"/>
  <c r="V113" i="9" a="1"/>
  <c r="V113" i="9" s="1"/>
  <c r="J83" i="5" a="1"/>
  <c r="J83" i="5" s="1"/>
  <c r="D86" i="5" a="1"/>
  <c r="D86" i="5" s="1"/>
  <c r="V114" i="9" a="1"/>
  <c r="V114" i="9" s="1"/>
  <c r="D74" i="5" a="1"/>
  <c r="D74" i="5" s="1"/>
  <c r="M65" i="9" a="1"/>
  <c r="M65" i="9" s="1"/>
  <c r="M114" i="9" a="1"/>
  <c r="M114" i="9" s="1"/>
  <c r="D59" i="5" a="1"/>
  <c r="D59" i="5" s="1"/>
  <c r="J62" i="5" a="1"/>
  <c r="J62" i="5" s="1"/>
  <c r="C84" i="10" s="1"/>
  <c r="V2" i="9" s="1"/>
  <c r="M113" i="9" a="1"/>
  <c r="M113" i="9" s="1"/>
  <c r="J74" i="5" a="1"/>
  <c r="J74" i="5" s="1"/>
  <c r="D84" i="10" s="1"/>
  <c r="V4" i="9" s="1"/>
  <c r="AS29" i="9"/>
  <c r="D183" i="10" s="1"/>
  <c r="Y113" i="9" a="1"/>
  <c r="Y113" i="9" s="1"/>
  <c r="D63" i="5" a="1"/>
  <c r="D63" i="5" s="1"/>
  <c r="Y114" i="9" a="1"/>
  <c r="Y114" i="9" s="1"/>
  <c r="D75" i="5" a="1"/>
  <c r="D75" i="5" s="1"/>
  <c r="D88" i="5" a="1"/>
  <c r="D88" i="5" s="1"/>
  <c r="C89" i="10"/>
  <c r="EL29" i="9"/>
  <c r="F183" i="10" s="1"/>
  <c r="DR65" i="9" a="1"/>
  <c r="DR65" i="9" s="1"/>
  <c r="AB114" i="9" a="1"/>
  <c r="AB114" i="9" s="1"/>
  <c r="BX65" i="9" a="1"/>
  <c r="BX65" i="9" s="1"/>
  <c r="J87" i="5" a="1"/>
  <c r="J87" i="5" s="1"/>
  <c r="E89" i="10" s="1"/>
  <c r="AB113" i="9" a="1"/>
  <c r="AB113" i="9" s="1"/>
  <c r="J75" i="5" a="1"/>
  <c r="J75" i="5" s="1"/>
  <c r="D89" i="10" s="1"/>
  <c r="J88" i="5" a="1"/>
  <c r="J88" i="5" s="1"/>
  <c r="E95" i="10" s="1"/>
  <c r="AB65" i="9" a="1"/>
  <c r="AB65" i="9" s="1"/>
  <c r="D87" i="5" a="1"/>
  <c r="D87" i="5" s="1"/>
  <c r="BU65" i="9" a="1"/>
  <c r="BU65" i="9" s="1"/>
  <c r="Y65" i="9" a="1"/>
  <c r="Y65" i="9" s="1"/>
  <c r="DU65" i="9" a="1"/>
  <c r="DU65" i="9" s="1"/>
  <c r="D76" i="5" a="1"/>
  <c r="D76" i="5" s="1"/>
  <c r="CO29" i="9"/>
  <c r="E183" i="10" s="1"/>
  <c r="G65" i="9" a="1"/>
  <c r="BC65" i="9" a="1"/>
  <c r="E63" i="10" l="1"/>
  <c r="E53" i="10" s="1"/>
  <c r="AH3" i="9"/>
  <c r="AI116" i="9"/>
  <c r="W116" i="9"/>
  <c r="M116" i="9"/>
  <c r="C101" i="10"/>
  <c r="AE2" i="9" s="1"/>
  <c r="AE3" i="9" s="1"/>
  <c r="G65" i="9"/>
  <c r="G116" i="9" s="1"/>
  <c r="BC65" i="9"/>
  <c r="CO65" i="9" s="1"/>
  <c r="AE4" i="9"/>
  <c r="AF116" i="9"/>
  <c r="F20" i="10"/>
  <c r="G4" i="9"/>
  <c r="G2" i="9"/>
  <c r="M2" i="9"/>
  <c r="M3" i="9" s="1"/>
  <c r="M4" i="9"/>
  <c r="V3" i="9"/>
  <c r="AS113" i="9"/>
  <c r="D79" i="10"/>
  <c r="D23" i="10" s="1"/>
  <c r="E79" i="10"/>
  <c r="EL65" i="9"/>
  <c r="E34" i="10"/>
  <c r="AT114" i="9"/>
  <c r="AS114" i="9"/>
  <c r="C169" i="10" s="1"/>
  <c r="H20" i="10" l="1"/>
  <c r="E20" i="10"/>
  <c r="E23" i="10"/>
  <c r="C79" i="10"/>
  <c r="C23" i="10" s="1"/>
  <c r="C115" i="10" s="1"/>
  <c r="AT113" i="9"/>
  <c r="AS65" i="9"/>
  <c r="G3" i="9"/>
  <c r="H23" i="10"/>
  <c r="G23" i="10"/>
  <c r="E115" i="10" l="1"/>
  <c r="E25" i="10" s="1"/>
  <c r="E28" i="10" s="1"/>
  <c r="E170" i="10" s="1"/>
  <c r="F23" i="10"/>
  <c r="D20" i="10"/>
  <c r="D115" i="10" s="1"/>
  <c r="G20" i="10"/>
  <c r="H25" i="10" l="1"/>
  <c r="H28" i="10" s="1"/>
  <c r="C25" i="10"/>
  <c r="C28" i="10" s="1"/>
  <c r="C170" i="10" s="1"/>
  <c r="F25" i="10"/>
  <c r="F28" i="10" s="1"/>
  <c r="AL2" i="9"/>
  <c r="AL3" i="9" s="1"/>
  <c r="E2" i="9" s="1"/>
  <c r="D25" i="10" l="1"/>
  <c r="D28" i="10" s="1"/>
  <c r="D170" i="10" s="1"/>
  <c r="AL4" i="9"/>
  <c r="G25" i="10"/>
  <c r="G28"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tc={1A4CD7B4-A4A9-4EC2-B76E-EC3CF05BA9DC}</author>
    <author>tc={B15F5098-1CE2-493F-B0DE-14B835F0BA41}</author>
  </authors>
  <commentList>
    <comment ref="E164" authorId="0" shapeId="0" xr:uid="{1A4CD7B4-A4A9-4EC2-B76E-EC3CF05BA9DC}">
      <text>
        <t>[Threaded comment]
Your version of Excel allows you to read this threaded comment; however, any edits to it will get removed if the file is opened in a newer version of Excel. Learn more: https://go.microsoft.com/fwlink/?linkid=870924
Comment:
    This is color code not considered before and hasn't been characterised</t>
      </text>
    </comment>
    <comment ref="G183" authorId="1" shapeId="0" xr:uid="{B15F5098-1CE2-493F-B0DE-14B835F0BA41}">
      <text>
        <t>[Threaded comment]
Your version of Excel allows you to read this threaded comment; however, any edits to it will get removed if the file is opened in a newer version of Excel. Learn more: https://go.microsoft.com/fwlink/?linkid=870924
Comment:
    The cells below with red writing, mean something special?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Elsen, Luke</author>
  </authors>
  <commentList>
    <comment ref="AW4" authorId="0" shapeId="0" xr:uid="{F7555847-3902-4D26-A27C-D4F0B3840C96}">
      <text>
        <r>
          <rPr>
            <b/>
            <sz val="9"/>
            <color indexed="81"/>
            <rFont val="Tahoma"/>
            <family val="2"/>
          </rPr>
          <t>2.3t/m3 compacted 
1.7t/m3 loose</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<sst xmlns="http://schemas.openxmlformats.org/spreadsheetml/2006/main" count="3536" uniqueCount="1065">
  <si>
    <t>Introduction</t>
  </si>
  <si>
    <t>This life cycle assessment pavements calculator V2 (LCAP V2)  enables users to model the environmental performance of multiple different pavement designs. The four main lifecycles phases include: Construction, Maintenance, Use and End-of-life. 
This tool is intended to help design, development, and supply chain teams to identify key opportunities for increased environmental performance.</t>
  </si>
  <si>
    <t>Getting Started</t>
  </si>
  <si>
    <t>To begin, the following parameters need to be known or able to be reasonably assumed:
• Pavement layer thicknesses and material composition
• Traffic flow volume
• Maintenance schedule
• Intended lifespan
• Intended end-of-life treatment
• Pavement roughness and rigidity (optional)
Information should be entered into the Data entry and Traffic Delay tabs before viewing the results in the Impact Analysis tab.
The remaining tabs are filled with data which do not require user inputs. A further detail of each tab can be found below.</t>
  </si>
  <si>
    <t>Custom materials:
Should information for additional materials be desired or come available they may be entered in the "Materials" tab. Impacts for custom materials can be found documented in environmental product declarations (EPD's) which can be sourced online.</t>
  </si>
  <si>
    <t>Navigation</t>
  </si>
  <si>
    <t>Tab</t>
  </si>
  <si>
    <t>Description</t>
  </si>
  <si>
    <t>Data Entry</t>
  </si>
  <si>
    <t>Where the majority of the user interface and data input occurs. In this tab the user enters information surrounding the pavement composition, maintenance materials, structural pavement parameters and end-of-life treatments.</t>
  </si>
  <si>
    <t>Maintenance &amp; Traffic Delay</t>
  </si>
  <si>
    <t>Information surrounding the maintenance schedule and the subsequent traffic delays.</t>
  </si>
  <si>
    <t>Impact Analysis</t>
  </si>
  <si>
    <t xml:space="preserve">The presentation of results. Global warming potential, the main impact indicator, is summarised for the major pavement life-cycle stages in both a table and graph. Optionally, the impacts can be viewed at each individual process step.
Selected nuisance factors and other impacts indicators are also presented and compared at a project level to allow for a high level trade-off assessment to be made, ensuring any benefits by one environmental indicator are not being transferred to another (e.g. a decrease in global warming potential but a subsequent large increase in eutrophication potential). </t>
  </si>
  <si>
    <t>Additional Impact Indicators</t>
  </si>
  <si>
    <t>No input required. Results of additional indicators are calculated in this tab and are presented within the "Impact Analysis" tab.</t>
  </si>
  <si>
    <t>Materials</t>
  </si>
  <si>
    <t>This is a data tab which outlines the impacts each of the materials available within the tool. Additional materials can be entered in this tab for use throughout the calculator.</t>
  </si>
  <si>
    <t>Dynamic Materials</t>
  </si>
  <si>
    <t>This is a data tab which provides additional attributes of the materials available within the tool</t>
  </si>
  <si>
    <t>Pavement Deflection</t>
  </si>
  <si>
    <t>No input required. This is a calculation sheet which quantifies the additional fuel consumption due to pavement deflection under vehicle loading.</t>
  </si>
  <si>
    <t>Surface Roughness</t>
  </si>
  <si>
    <t>No input required. This is a calculation sheet which quantifies the additional fuel consumption due to the surface roughness of the pavement.</t>
  </si>
  <si>
    <t>Electricity Projections</t>
  </si>
  <si>
    <t>No input required. This is a data tab which outlines projections for the future of New Zealand's electricity grid emission intensity.</t>
  </si>
  <si>
    <t>Fleet Projections</t>
  </si>
  <si>
    <t>Presents projected scaled travel distances of vehicles from Ministry of Transport. Distance travelled by fleet and Composition of fleet by distance travelled for heavy and light vehicles.</t>
  </si>
  <si>
    <t>LookUp Tables</t>
  </si>
  <si>
    <t xml:space="preserve">This tab provides for drop down list used throughout the tool.
	</t>
  </si>
  <si>
    <t>Change Log</t>
  </si>
  <si>
    <t>Record Only - used for tracking changes and updates of the tool over time</t>
  </si>
  <si>
    <t>Project Details</t>
  </si>
  <si>
    <t>Legend</t>
  </si>
  <si>
    <t>Table Heading</t>
  </si>
  <si>
    <t>User Data entry input</t>
  </si>
  <si>
    <t>Calculated Values</t>
  </si>
  <si>
    <t>Industry representative or default data, can be altered if desired</t>
  </si>
  <si>
    <t>Cells require input</t>
  </si>
  <si>
    <t>Explanatory notes or instructions</t>
  </si>
  <si>
    <t>&lt;-- Hidden information which can be viewed</t>
  </si>
  <si>
    <t>Data warning flag, input is outside of expected range</t>
  </si>
  <si>
    <t>Author</t>
  </si>
  <si>
    <t>Date of report</t>
  </si>
  <si>
    <t>Site Name</t>
  </si>
  <si>
    <t>Location</t>
  </si>
  <si>
    <t>Primary Pavement Description</t>
  </si>
  <si>
    <t>The descriptions here are used to specify the scenarios throughout the calculator</t>
  </si>
  <si>
    <t xml:space="preserve">Secondary Pavement Description </t>
  </si>
  <si>
    <t>Tertiary Pavement Description</t>
  </si>
  <si>
    <t>EN 15804 EPD Version</t>
  </si>
  <si>
    <t>A1</t>
  </si>
  <si>
    <t>Do Not Change unless "A2" or "Consequential" is understood.</t>
  </si>
  <si>
    <t>LCA methodology</t>
  </si>
  <si>
    <t>Attributional</t>
  </si>
  <si>
    <t>Traffic Parameters</t>
  </si>
  <si>
    <t>Traffic Flow Rate at time of install [AADT]</t>
  </si>
  <si>
    <r>
      <t xml:space="preserve">Traffic flow rate </t>
    </r>
    <r>
      <rPr>
        <i/>
        <u/>
        <sz val="11"/>
        <color rgb="FF023A5C"/>
        <rFont val="Calibri"/>
        <family val="2"/>
        <scheme val="minor"/>
      </rPr>
      <t xml:space="preserve">per lane </t>
    </r>
  </si>
  <si>
    <t>Speed Limit of Pavement (km/h)</t>
  </si>
  <si>
    <t>Heavy Vehicles (%)</t>
  </si>
  <si>
    <t>Percentage of the fleet which will be heavy class</t>
  </si>
  <si>
    <t>Annual Traffic Growth Rate (%)</t>
  </si>
  <si>
    <t>Increase in driving efficiency of vehicles (%/year)</t>
  </si>
  <si>
    <t>Pavement Parameters</t>
  </si>
  <si>
    <t>Width of Pavement (m)</t>
  </si>
  <si>
    <t>Length of Pavement (m)</t>
  </si>
  <si>
    <r>
      <t>Area of Project (m</t>
    </r>
    <r>
      <rPr>
        <i/>
        <vertAlign val="superscript"/>
        <sz val="11"/>
        <color theme="1"/>
        <rFont val="Calibri"/>
        <family val="2"/>
        <scheme val="minor"/>
      </rPr>
      <t>2</t>
    </r>
    <r>
      <rPr>
        <i/>
        <sz val="11"/>
        <color theme="1"/>
        <rFont val="Calibri"/>
        <family val="2"/>
        <scheme val="minor"/>
      </rPr>
      <t>)</t>
    </r>
  </si>
  <si>
    <t>Primary Scenario Design Life (years)</t>
  </si>
  <si>
    <t>The design life is the time until pavement removal or full replacement, it includes any extension due to maintenance.</t>
  </si>
  <si>
    <t>Secondary Scenario Design Life (years)</t>
  </si>
  <si>
    <t>Tertiary Scenario Design Life (years)</t>
  </si>
  <si>
    <t>OR Primary Design Life (ESA)</t>
  </si>
  <si>
    <t>Leave ESA design life blank if the design life has been entered in years.</t>
  </si>
  <si>
    <t>OR Secondary Design Life (ESA)</t>
  </si>
  <si>
    <t>OR Tertiary Design Life (ESA)</t>
  </si>
  <si>
    <t>Primary - Chosen Design Life (years)</t>
  </si>
  <si>
    <t>Secondary - Chosen Design Life (years)</t>
  </si>
  <si>
    <t>Tertiary - Chosen Design Life (years)</t>
  </si>
  <si>
    <t>Environmental discount rate (%)</t>
  </si>
  <si>
    <t>An environmental discount is applied to the remaining areas of industry to adjust for efficiency improvements</t>
  </si>
  <si>
    <t>Number of pavement lays required to meet desired timespan</t>
  </si>
  <si>
    <t>Area transformation factor</t>
  </si>
  <si>
    <t>Raw Materials</t>
  </si>
  <si>
    <t>Density of Diesel [kg/l)</t>
  </si>
  <si>
    <t>Default upper and lower expected limits are detailed in the hidden cells, below. These may be altered if required.</t>
  </si>
  <si>
    <t>Data entry prompts</t>
  </si>
  <si>
    <t>Minimum Value</t>
  </si>
  <si>
    <t>Maximum Value</t>
  </si>
  <si>
    <t>Unit</t>
  </si>
  <si>
    <t>Material Thickness Prompt Limits</t>
  </si>
  <si>
    <t>mm</t>
  </si>
  <si>
    <t>Recycled Asphalt (RAP)</t>
  </si>
  <si>
    <t>% (by mass)</t>
  </si>
  <si>
    <t>Recycled Asphalt (National Pavements Manager Limit)</t>
  </si>
  <si>
    <t>Recycled crushed concrete</t>
  </si>
  <si>
    <t>Reclaimed glass</t>
  </si>
  <si>
    <t>Wearing course composition</t>
  </si>
  <si>
    <t>Wearing course material compositions are based on the average design mixes approved by Waka Kotahi. Customisation of wearing course mixtures is possible in the hidden cells, below.</t>
  </si>
  <si>
    <t>Customized Wearing Course Compositions</t>
  </si>
  <si>
    <t>Component Trucking Distance to Manufacturer</t>
  </si>
  <si>
    <t>Aggregate (Hard Rock)</t>
  </si>
  <si>
    <t>Aggregate (Alluvial)</t>
  </si>
  <si>
    <t>Aggregate (Dredged)</t>
  </si>
  <si>
    <t>Bitumen</t>
  </si>
  <si>
    <t>Cement</t>
  </si>
  <si>
    <t>Water</t>
  </si>
  <si>
    <t>Steel Reinforcing (Mesh)</t>
  </si>
  <si>
    <t>Epoxy Modified Bitumen</t>
  </si>
  <si>
    <t>km</t>
  </si>
  <si>
    <t>% mass</t>
  </si>
  <si>
    <t>Chip Seal</t>
  </si>
  <si>
    <t>Epoxy Chip Seal</t>
  </si>
  <si>
    <t>Asphalt (SMA)</t>
  </si>
  <si>
    <t>Asphalt (Epoxy SMA)</t>
  </si>
  <si>
    <t>Asphalt (OGPA)</t>
  </si>
  <si>
    <t>Asphalt (EMOGPA)</t>
  </si>
  <si>
    <t>Asphalt (AC)</t>
  </si>
  <si>
    <t>Concrete</t>
  </si>
  <si>
    <t>Slurry</t>
  </si>
  <si>
    <t>Default Wearing Course Compositions</t>
  </si>
  <si>
    <t>Wearing Course</t>
  </si>
  <si>
    <t>Bitumen (mass %)</t>
  </si>
  <si>
    <t>Cement (mass %)</t>
  </si>
  <si>
    <t>Water (mass %)</t>
  </si>
  <si>
    <t>Steel (mass %)</t>
  </si>
  <si>
    <t>Epoxy Modified Bitumen (mass %)</t>
  </si>
  <si>
    <t>tbc</t>
  </si>
  <si>
    <t>&lt;-- Expand to alter wearing course composition (optional)</t>
  </si>
  <si>
    <t>Energy inputs</t>
  </si>
  <si>
    <t xml:space="preserve">Energy inputs for aggregates and recycled materials are based upon industry data. They can be altered in the hidden cells, below, if desired. </t>
  </si>
  <si>
    <t>Recycled Material</t>
  </si>
  <si>
    <t>Electricity</t>
  </si>
  <si>
    <t>Diesel</t>
  </si>
  <si>
    <t>Quarry Consumables (excl energy)</t>
  </si>
  <si>
    <t>MJ/kg</t>
  </si>
  <si>
    <t>litres/kg</t>
  </si>
  <si>
    <t>kg/kg</t>
  </si>
  <si>
    <t>Recycled Crushed Concrete</t>
  </si>
  <si>
    <t>Emissions associated with recycling belong to the original product until the product has economic valuable, therefore this is a zero value.</t>
  </si>
  <si>
    <t>Recycled Asphalt Pavement (RAP)</t>
  </si>
  <si>
    <t>Reclaimed Glass</t>
  </si>
  <si>
    <t>Supplier of Cement</t>
  </si>
  <si>
    <t>Golden Bay Cement</t>
  </si>
  <si>
    <t xml:space="preserve">Two NZ suppliers of cement are available for selection, if required. </t>
  </si>
  <si>
    <t>Supplier of Concrete Steel Reinforcement</t>
  </si>
  <si>
    <t>Pacific Steel</t>
  </si>
  <si>
    <t xml:space="preserve">Two suppliers of concrete reinforcement are available for selection, if required. </t>
  </si>
  <si>
    <t>Asphalt Plant Production Fuel and Temperature</t>
  </si>
  <si>
    <t>Liquid Fuel - Hot</t>
  </si>
  <si>
    <t>&lt;-- Expand to alter energy inputs for recycled materials (optional)</t>
  </si>
  <si>
    <t>Manufacturing Emissions</t>
  </si>
  <si>
    <r>
      <t>Diesel Combusted During Production (litres/m</t>
    </r>
    <r>
      <rPr>
        <vertAlign val="superscript"/>
        <sz val="11"/>
        <color theme="1"/>
        <rFont val="Calibri"/>
        <family val="2"/>
        <scheme val="minor"/>
      </rPr>
      <t>2</t>
    </r>
    <r>
      <rPr>
        <sz val="11"/>
        <color theme="1"/>
        <rFont val="Calibri"/>
        <family val="2"/>
        <scheme val="minor"/>
      </rPr>
      <t>)</t>
    </r>
  </si>
  <si>
    <t>Estimate can be found in Table 1</t>
  </si>
  <si>
    <t>Table 1</t>
  </si>
  <si>
    <t>Pavement</t>
  </si>
  <si>
    <r>
      <t>Diesel Consumption per m</t>
    </r>
    <r>
      <rPr>
        <vertAlign val="superscript"/>
        <sz val="11"/>
        <color theme="1"/>
        <rFont val="Calibri"/>
        <family val="2"/>
        <scheme val="minor"/>
      </rPr>
      <t>2</t>
    </r>
  </si>
  <si>
    <t>Scenario Builder</t>
  </si>
  <si>
    <t>Full depth asphalt</t>
  </si>
  <si>
    <t>Deep strength asphalt</t>
  </si>
  <si>
    <t>2.5.1</t>
  </si>
  <si>
    <t>Warm Mix Asphalt</t>
  </si>
  <si>
    <t>Layer</t>
  </si>
  <si>
    <t>Material</t>
  </si>
  <si>
    <t>Thickness of Layer (mm)</t>
  </si>
  <si>
    <t>Material Delivery Truck</t>
  </si>
  <si>
    <t>Trucking Distance to Site (km)</t>
  </si>
  <si>
    <t>Mass (kg)</t>
  </si>
  <si>
    <t>Chip seal</t>
  </si>
  <si>
    <t>Plain concrete</t>
  </si>
  <si>
    <t>Wearing Course Additive</t>
  </si>
  <si>
    <t>Base Course</t>
  </si>
  <si>
    <t>Reinforced concrete</t>
  </si>
  <si>
    <t>Base Course Additive</t>
  </si>
  <si>
    <t>Upper Sub Base</t>
  </si>
  <si>
    <t>Subgrade Improvement</t>
  </si>
  <si>
    <t>Subgrade</t>
  </si>
  <si>
    <t>The subgrade is assumed to be onsite and unmodified. It is included for completeness.</t>
  </si>
  <si>
    <t>2.5.2</t>
  </si>
  <si>
    <t>2.5.3</t>
  </si>
  <si>
    <t>Maintenance Schedule &amp; Induced Traffic Delay</t>
  </si>
  <si>
    <t>Refer to "Maintenance &amp; Traffic Delay" tab for further inputs</t>
  </si>
  <si>
    <t>Roughness Induced Pavement Vehicle Interactions</t>
  </si>
  <si>
    <t>Pavement Surface Parameters</t>
  </si>
  <si>
    <t>IRI of surface at time of laying (m/km)</t>
  </si>
  <si>
    <t>Deflection Induced Pavement Vehicle Interactions</t>
  </si>
  <si>
    <t>Deflection induced impacts are not accurately modelled when assessing a gravel pavement. The below section should be left blank if gravel pavements are included.</t>
  </si>
  <si>
    <t>Pavement Structural Parameters</t>
  </si>
  <si>
    <t>Elastic Modulus of the top layer of the pavement (MPa)</t>
  </si>
  <si>
    <t>Top Layer Thickness (m)</t>
  </si>
  <si>
    <t>Subgrade Stiffness (MPa/m)</t>
  </si>
  <si>
    <t>Replacement and End of Life Treatment</t>
  </si>
  <si>
    <t>6.1.1</t>
  </si>
  <si>
    <t>Initial Replacement</t>
  </si>
  <si>
    <t>Left Inground</t>
  </si>
  <si>
    <t>6.1.2</t>
  </si>
  <si>
    <t>6.1.3</t>
  </si>
  <si>
    <t>End of Life Treatment</t>
  </si>
  <si>
    <t>Pavement Removal Vehicle</t>
  </si>
  <si>
    <r>
      <t>Diesel Combusted during Pavement Removal (litres/m</t>
    </r>
    <r>
      <rPr>
        <vertAlign val="superscript"/>
        <sz val="11"/>
        <color theme="1"/>
        <rFont val="Calibri"/>
        <family val="2"/>
        <scheme val="minor"/>
      </rPr>
      <t>3</t>
    </r>
    <r>
      <rPr>
        <sz val="11"/>
        <color theme="1"/>
        <rFont val="Calibri"/>
        <family val="2"/>
        <scheme val="minor"/>
      </rPr>
      <t>)</t>
    </r>
  </si>
  <si>
    <t>Value from NZTA Monetising document</t>
  </si>
  <si>
    <t>Percentage of material recycled, remainder sent to landfill (vol %)</t>
  </si>
  <si>
    <t>On site concrete recycling</t>
  </si>
  <si>
    <t>Is any concrete layer crushed on site to produce aggregate for the next pavement?</t>
  </si>
  <si>
    <t>Distance to Recycling Facility (km)</t>
  </si>
  <si>
    <t>Distance to Landfill (km)</t>
  </si>
  <si>
    <t>Refer to "Impact Analysis" tab for the results of the investigation</t>
  </si>
  <si>
    <t>Maintenance and Traffic Delay</t>
  </si>
  <si>
    <t>Assumptions</t>
  </si>
  <si>
    <t xml:space="preserve">Average efficiency of a light ICE engine increases by 1% per year, based off: https://ccc-production-media.s3.ap-southeast-2.amazonaws.com/public/evidence/advice-report-DRAFT-1ST-FEB/ADVICE/CCC-ADVICE-TO-GOVT-31-JAN-2021-pdf.pdf </t>
  </si>
  <si>
    <t>Majority of maintenance will occur in summer when air conditioning within cars will be on, leading to a higher idle consumption rate</t>
  </si>
  <si>
    <t>Current biofuel use assumed to be close to 0% of fleet</t>
  </si>
  <si>
    <t>Daily traffic flow is spread over 12 hours to find average hourly flow rate</t>
  </si>
  <si>
    <t>Limitations</t>
  </si>
  <si>
    <t>Number of TTM events taken from NPV format, what if events are different time lengths?</t>
  </si>
  <si>
    <t>Widespread anti-idling devices have not been accounted for</t>
  </si>
  <si>
    <t>Maintenance Traffic Delay</t>
  </si>
  <si>
    <t>Life Extension CO2 Emissions (kgCO2-eq)</t>
  </si>
  <si>
    <t>Replacement CO2 Emissions (kgCO2-eq)</t>
  </si>
  <si>
    <t>Average hourly traffic flow at time of pavement laying (veh/h)</t>
  </si>
  <si>
    <t>Charging efficiency of EV's</t>
  </si>
  <si>
    <t xml:space="preserve">Default of 89.4% from: https://ieeexplore.ieee.org/document/7046253 </t>
  </si>
  <si>
    <t>Maintenance inputs</t>
  </si>
  <si>
    <t>Material 1</t>
  </si>
  <si>
    <t>Material 2</t>
  </si>
  <si>
    <t>Material 3</t>
  </si>
  <si>
    <t>Material 4</t>
  </si>
  <si>
    <t>Combusted diesel per m2 of maintenance process (l/m2)</t>
  </si>
  <si>
    <t>Transport Distance of Materials to Site (km)</t>
  </si>
  <si>
    <t>Crack Sealing</t>
  </si>
  <si>
    <t>Truck (7.5-16t)</t>
  </si>
  <si>
    <t>thickness (mm)</t>
  </si>
  <si>
    <t>Fill Cracks (Potholes)</t>
  </si>
  <si>
    <t>Surface Defect Repair</t>
  </si>
  <si>
    <t>Shoulder Maintenance</t>
  </si>
  <si>
    <t>Patch Stabilisation</t>
  </si>
  <si>
    <t>Mill and Fill</t>
  </si>
  <si>
    <t>Rip and Remake</t>
  </si>
  <si>
    <t>Dig Out - Primary Scenario</t>
  </si>
  <si>
    <t>Dig Out - Secondary Scenario</t>
  </si>
  <si>
    <t>Dig Out - Tertiary Scenario</t>
  </si>
  <si>
    <t>Lay over</t>
  </si>
  <si>
    <t>Primary</t>
  </si>
  <si>
    <t>raw materials impacts (kg/m2)</t>
  </si>
  <si>
    <t>kg of material/m2</t>
  </si>
  <si>
    <t>Transport emissions per m2 of material</t>
  </si>
  <si>
    <t>Raw Material Impacts</t>
  </si>
  <si>
    <t>Transport Impacts</t>
  </si>
  <si>
    <t>Operational Emissions</t>
  </si>
  <si>
    <t>crack</t>
  </si>
  <si>
    <t>pothole</t>
  </si>
  <si>
    <t>surface</t>
  </si>
  <si>
    <t>shoulder</t>
  </si>
  <si>
    <t>patch</t>
  </si>
  <si>
    <t>mill</t>
  </si>
  <si>
    <t>rip</t>
  </si>
  <si>
    <t>dig</t>
  </si>
  <si>
    <t>Dig Out</t>
  </si>
  <si>
    <t>lay</t>
  </si>
  <si>
    <t>Secondary</t>
  </si>
  <si>
    <t>Tertiary</t>
  </si>
  <si>
    <t>Needs a title added</t>
  </si>
  <si>
    <t>Traffic Delay Inputs</t>
  </si>
  <si>
    <t>The total annual total area of works for the provided maintenance process</t>
  </si>
  <si>
    <t>This is the total length of time for the project where traffic may be disrupted</t>
  </si>
  <si>
    <t>Year</t>
  </si>
  <si>
    <t>Year number</t>
  </si>
  <si>
    <t>Works Description - Primary Scenario</t>
  </si>
  <si>
    <t>Form of Maintenance - Primary Scenario</t>
  </si>
  <si>
    <r>
      <t>Area of Works (m</t>
    </r>
    <r>
      <rPr>
        <vertAlign val="superscript"/>
        <sz val="11"/>
        <color theme="1"/>
        <rFont val="Calibri"/>
        <family val="2"/>
        <scheme val="minor"/>
      </rPr>
      <t>2</t>
    </r>
    <r>
      <rPr>
        <sz val="11"/>
        <color theme="1"/>
        <rFont val="Calibri"/>
        <family val="2"/>
        <scheme val="minor"/>
      </rPr>
      <t>) - Primary Scenario</t>
    </r>
  </si>
  <si>
    <t>Total length of time to implement the maintenance [hrs] - Primary Scenario</t>
  </si>
  <si>
    <t>Average delay per vehicle [mins] - Primary Scenario</t>
  </si>
  <si>
    <t>Consumption of electricity (MJ) - Primary Scenario</t>
  </si>
  <si>
    <t>Consumption of Petrol (kg) - Primary Scenario</t>
  </si>
  <si>
    <t>Consumption of Diesel (kg) - Primary Scenario</t>
  </si>
  <si>
    <t>Consumption of Biodiesel (kg) - Primary Scenario</t>
  </si>
  <si>
    <t>Works Description - Secondary Scenario</t>
  </si>
  <si>
    <t>Form of Maintenance - Secondary Scenario</t>
  </si>
  <si>
    <r>
      <t>Area of Works (m</t>
    </r>
    <r>
      <rPr>
        <vertAlign val="superscript"/>
        <sz val="11"/>
        <color theme="1"/>
        <rFont val="Calibri"/>
        <family val="2"/>
        <scheme val="minor"/>
      </rPr>
      <t>2</t>
    </r>
    <r>
      <rPr>
        <sz val="11"/>
        <color theme="1"/>
        <rFont val="Calibri"/>
        <family val="2"/>
        <scheme val="minor"/>
      </rPr>
      <t>) - Secondary Scenario</t>
    </r>
  </si>
  <si>
    <t>Total length of time to implement the maintenance [hrs] - Secondary Scenario</t>
  </si>
  <si>
    <t>Average delay per vehicle [mins] - Secondary Scenario</t>
  </si>
  <si>
    <t>Consumption of electricity (MJ) - Secondary Scenario</t>
  </si>
  <si>
    <t>Consumption of Petrol (kg) - Secondary Scenario</t>
  </si>
  <si>
    <t>Consumption of Diesel (kg) - Secondary Scenario</t>
  </si>
  <si>
    <t>Consumption of Biodiesel (kg) - Secondary Scenario</t>
  </si>
  <si>
    <t>Works Description - Tertiary Scenario</t>
  </si>
  <si>
    <t>Form of Maintenance - Tertiary Scenario</t>
  </si>
  <si>
    <r>
      <t>Area of Works (m</t>
    </r>
    <r>
      <rPr>
        <vertAlign val="superscript"/>
        <sz val="11"/>
        <color theme="1"/>
        <rFont val="Calibri"/>
        <family val="2"/>
        <scheme val="minor"/>
      </rPr>
      <t>2</t>
    </r>
    <r>
      <rPr>
        <sz val="11"/>
        <color theme="1"/>
        <rFont val="Calibri"/>
        <family val="2"/>
        <scheme val="minor"/>
      </rPr>
      <t>) - Tertiary Scenario</t>
    </r>
  </si>
  <si>
    <t>Total length of time to implement the maintenance [hrs] - Tertiary Scenario</t>
  </si>
  <si>
    <t>Average delay per vehicle [mins] - Tertiary Scenario</t>
  </si>
  <si>
    <t>Consumption of electricity (MJ) - Tertiary Scenario</t>
  </si>
  <si>
    <t>Consumption of Petrol (kg) - Tertiary Scenario</t>
  </si>
  <si>
    <t>Consumption of Diesel (kg) - Tertiary Scenario</t>
  </si>
  <si>
    <t>Consumption of Biodiesel (kg) - Tertiary Scenario</t>
  </si>
  <si>
    <t>Traffic flow [vehs/hr]</t>
  </si>
  <si>
    <t>Environmental Discount (%)</t>
  </si>
  <si>
    <t>AADT</t>
  </si>
  <si>
    <t>Layout of Analysis</t>
  </si>
  <si>
    <t>Desired area for the analysis</t>
  </si>
  <si>
    <t>Entire Project</t>
  </si>
  <si>
    <t>Time horizon of analysis (years)</t>
  </si>
  <si>
    <t>Roughness induced emissions switch</t>
  </si>
  <si>
    <t>Can be used to exclude the resulting impacts</t>
  </si>
  <si>
    <t>Deflection induced emissions switch</t>
  </si>
  <si>
    <t>NOTE: It is not suitable to include deflection induced emissions when a gravel pavement is selected. This is outside the scope of the utilised model.</t>
  </si>
  <si>
    <t>Annualised impacts display the total impacts spread across the respective design lives of the pavements.</t>
  </si>
  <si>
    <t>Production Stage</t>
  </si>
  <si>
    <t>Raw Materials Production</t>
  </si>
  <si>
    <t>Transport Raw Materials</t>
  </si>
  <si>
    <t>Construction</t>
  </si>
  <si>
    <t>Maintenance</t>
  </si>
  <si>
    <t>Maintenance Induced Traffic Delay</t>
  </si>
  <si>
    <t>Roughness Induced Fuel Consumption</t>
  </si>
  <si>
    <t>Deflection Induced Fuel Consumption</t>
  </si>
  <si>
    <t>End of Life Removal and Recycling</t>
  </si>
  <si>
    <t>Total</t>
  </si>
  <si>
    <t>Raw Materials Impacts</t>
  </si>
  <si>
    <t>Raw Materials - Wearing Course</t>
  </si>
  <si>
    <t>Raw Materials - Wearing Course Additive</t>
  </si>
  <si>
    <t>Raw Materials - Base Course</t>
  </si>
  <si>
    <t>Raw Materials - Base Course Additive</t>
  </si>
  <si>
    <t>Raw Materials - Upper Sub Base</t>
  </si>
  <si>
    <t>Raw Materials - Subgrade Improvement</t>
  </si>
  <si>
    <t xml:space="preserve">Raw Materials - Subgrade </t>
  </si>
  <si>
    <t>&lt;--</t>
  </si>
  <si>
    <t>Transport of Raw Materials</t>
  </si>
  <si>
    <t>Transport - Wearing Course</t>
  </si>
  <si>
    <t>Transport - Wearing Course Additive</t>
  </si>
  <si>
    <t>Transport - Base Course</t>
  </si>
  <si>
    <t>Transport - Base Course Additive</t>
  </si>
  <si>
    <t>Transport - Upper Sub Base</t>
  </si>
  <si>
    <t>Transport - Subgrade Improvement</t>
  </si>
  <si>
    <t xml:space="preserve">Transport - Subgrade </t>
  </si>
  <si>
    <t>Paving of Raw Materials</t>
  </si>
  <si>
    <t>Life Extension Maintenance - Total</t>
  </si>
  <si>
    <t>Transport</t>
  </si>
  <si>
    <t>Paving</t>
  </si>
  <si>
    <t>Crack Sealing Impacts</t>
  </si>
  <si>
    <t>On-site Diesel Combustion</t>
  </si>
  <si>
    <t>Pothole Filling Impacts</t>
  </si>
  <si>
    <t xml:space="preserve"> </t>
  </si>
  <si>
    <t>Shoulder Maintenance Repair Impacts</t>
  </si>
  <si>
    <t>Replacement Maintenance - Total</t>
  </si>
  <si>
    <t>Stabilisation Impacts</t>
  </si>
  <si>
    <t>Mill and Fill Impacts</t>
  </si>
  <si>
    <t>Rip and Remake Impacts</t>
  </si>
  <si>
    <t>Dig Out Impacts</t>
  </si>
  <si>
    <t>Layover Impacts</t>
  </si>
  <si>
    <t>Traffic Delay Impacts</t>
  </si>
  <si>
    <t>Time Delay from Life Extension Maintenance</t>
  </si>
  <si>
    <t>Time Delay from Replacement Maintenance</t>
  </si>
  <si>
    <t>Roughness Induced Impacts</t>
  </si>
  <si>
    <t>Roughness induced fuel combustion</t>
  </si>
  <si>
    <t>Deflection Induced Impacts</t>
  </si>
  <si>
    <t>Deflection induced fuel combustion</t>
  </si>
  <si>
    <t>End of life treatment impacts</t>
  </si>
  <si>
    <t>EoL Removal</t>
  </si>
  <si>
    <t>EoL Transport to Recycling Facility</t>
  </si>
  <si>
    <t>EoL Transport to Landfill</t>
  </si>
  <si>
    <t>Concrete Crushing on Site</t>
  </si>
  <si>
    <t>&lt;-- Expand here to view a further breakdown of tabulated results</t>
  </si>
  <si>
    <t>`</t>
  </si>
  <si>
    <t>Nuisance Indicator Summary</t>
  </si>
  <si>
    <t>Particulate Matter (disease inc.)</t>
  </si>
  <si>
    <t>Smog (POFP, kg NMVOC eq)</t>
  </si>
  <si>
    <t>Economic Impacts of Pollutants on Human Health</t>
  </si>
  <si>
    <t>These calculations are included as a beta version. Please interpret with caution. This Calculator does not account for the spatial distribution of emissions. As such, it may significantly overestimate the economic significance of emissions, particularly where they occur in rural areas.</t>
  </si>
  <si>
    <t>Particulate Matter (kgPM&lt;2.5)</t>
  </si>
  <si>
    <t>PM2.5</t>
  </si>
  <si>
    <r>
      <t>CO</t>
    </r>
    <r>
      <rPr>
        <vertAlign val="subscript"/>
        <sz val="11"/>
        <color theme="1"/>
        <rFont val="Calibri"/>
        <family val="2"/>
        <scheme val="minor"/>
      </rPr>
      <t>2</t>
    </r>
  </si>
  <si>
    <t>Material Consumption Summary</t>
  </si>
  <si>
    <r>
      <t>Total Aggregate (m</t>
    </r>
    <r>
      <rPr>
        <vertAlign val="superscript"/>
        <sz val="11"/>
        <color theme="1"/>
        <rFont val="Calibri"/>
        <family val="2"/>
        <scheme val="minor"/>
      </rPr>
      <t>3</t>
    </r>
    <r>
      <rPr>
        <sz val="11"/>
        <color theme="1"/>
        <rFont val="Calibri"/>
        <family val="2"/>
        <scheme val="minor"/>
      </rPr>
      <t>)</t>
    </r>
  </si>
  <si>
    <r>
      <t>Sand (m</t>
    </r>
    <r>
      <rPr>
        <vertAlign val="superscript"/>
        <sz val="11"/>
        <color theme="1"/>
        <rFont val="Calibri"/>
        <family val="2"/>
        <scheme val="minor"/>
      </rPr>
      <t>3</t>
    </r>
    <r>
      <rPr>
        <sz val="11"/>
        <color theme="1"/>
        <rFont val="Calibri"/>
        <family val="2"/>
        <scheme val="minor"/>
      </rPr>
      <t>)</t>
    </r>
  </si>
  <si>
    <r>
      <t>Cement (m</t>
    </r>
    <r>
      <rPr>
        <vertAlign val="superscript"/>
        <sz val="11"/>
        <color theme="1"/>
        <rFont val="Calibri"/>
        <family val="2"/>
        <scheme val="minor"/>
      </rPr>
      <t>3</t>
    </r>
    <r>
      <rPr>
        <sz val="11"/>
        <color theme="1"/>
        <rFont val="Calibri"/>
        <family val="2"/>
        <scheme val="minor"/>
      </rPr>
      <t>)</t>
    </r>
  </si>
  <si>
    <r>
      <t>Total Recycled Material (m</t>
    </r>
    <r>
      <rPr>
        <vertAlign val="superscript"/>
        <sz val="11"/>
        <color theme="1"/>
        <rFont val="Calibri"/>
        <family val="2"/>
        <scheme val="minor"/>
      </rPr>
      <t>3</t>
    </r>
    <r>
      <rPr>
        <sz val="11"/>
        <color theme="1"/>
        <rFont val="Calibri"/>
        <family val="2"/>
        <scheme val="minor"/>
      </rPr>
      <t>)</t>
    </r>
  </si>
  <si>
    <t>Recycled Content of Pavement (%)</t>
  </si>
  <si>
    <t>Additional Indicators Trade-off Assessment</t>
  </si>
  <si>
    <t>Indicator Acronym</t>
  </si>
  <si>
    <t>Acidification Potential</t>
  </si>
  <si>
    <t>kg SO2 eq</t>
  </si>
  <si>
    <t>AP</t>
  </si>
  <si>
    <t>Global Warming Potential</t>
  </si>
  <si>
    <t>kg CO2 eq</t>
  </si>
  <si>
    <t>GWP</t>
  </si>
  <si>
    <t>Biogenic Fraction - Global Warming Potential</t>
  </si>
  <si>
    <t>GWP_bio</t>
  </si>
  <si>
    <t xml:space="preserve">Fossil Fraction - Global Warming Potential </t>
  </si>
  <si>
    <t>GWP_foss</t>
  </si>
  <si>
    <t xml:space="preserve">Land Use Change Fraction - Global Warming Potential </t>
  </si>
  <si>
    <t>GWP_LUC</t>
  </si>
  <si>
    <t>Abiotic Depletion Potential - Finite Elements</t>
  </si>
  <si>
    <t>kg Sb-Eq</t>
  </si>
  <si>
    <t>ADPE</t>
  </si>
  <si>
    <t>Freshwater Eutrophication Potential</t>
  </si>
  <si>
    <t>kg P eq</t>
  </si>
  <si>
    <t>EP_fw</t>
  </si>
  <si>
    <t>Marine Eutrophication Potential</t>
  </si>
  <si>
    <t>kg N eq</t>
  </si>
  <si>
    <t>EP_marine</t>
  </si>
  <si>
    <t>Terrestrial Eutrophication Potential</t>
  </si>
  <si>
    <t>molc N eq</t>
  </si>
  <si>
    <t>EP_terr</t>
  </si>
  <si>
    <t>Ozone Depletion Potential</t>
  </si>
  <si>
    <t>kg CFC11 eq</t>
  </si>
  <si>
    <t>ODP</t>
  </si>
  <si>
    <t>Water Scarcity</t>
  </si>
  <si>
    <t>m3</t>
  </si>
  <si>
    <t>WS</t>
  </si>
  <si>
    <t>Primary Energy from Non Renewable Resources</t>
  </si>
  <si>
    <t>MJ-Eq</t>
  </si>
  <si>
    <t>PENRT</t>
  </si>
  <si>
    <t>Primary Energy from Renewable Resources</t>
  </si>
  <si>
    <t>PERT</t>
  </si>
  <si>
    <t>Freshwater Usage</t>
  </si>
  <si>
    <t>FW</t>
  </si>
  <si>
    <t>Freshwater Toxicity</t>
  </si>
  <si>
    <t>CTUe</t>
  </si>
  <si>
    <t>Tox_fw</t>
  </si>
  <si>
    <t xml:space="preserve">Carcinagenic Human Toxicity </t>
  </si>
  <si>
    <t>CTUh</t>
  </si>
  <si>
    <t>Tox_canc</t>
  </si>
  <si>
    <t>Non Cancerous Human Toxicity</t>
  </si>
  <si>
    <t>Tox_non_canc</t>
  </si>
  <si>
    <t>Land Use Change</t>
  </si>
  <si>
    <t>Pt</t>
  </si>
  <si>
    <t>LU</t>
  </si>
  <si>
    <t>GWP Value from calculations tab, to ensure formula within "additional impact indicator" match those within "Impact analysis"</t>
  </si>
  <si>
    <t>Raw-Materials</t>
  </si>
  <si>
    <t>Raw-Transport</t>
  </si>
  <si>
    <t>Raw-Paving</t>
  </si>
  <si>
    <t>Main - crack materials</t>
  </si>
  <si>
    <t>Main - crack transport</t>
  </si>
  <si>
    <t>Main - crack paving</t>
  </si>
  <si>
    <t>Main - pothoile materials</t>
  </si>
  <si>
    <t>Main - pothole transport</t>
  </si>
  <si>
    <t>Main - pothole paving</t>
  </si>
  <si>
    <t>Main - stabilisation materials</t>
  </si>
  <si>
    <t>Main - stabilisation transport</t>
  </si>
  <si>
    <t>Main - stabilisation paving</t>
  </si>
  <si>
    <t>Main - dig outs materials</t>
  </si>
  <si>
    <t>Main - dig out transport</t>
  </si>
  <si>
    <t>Main - dig out paving</t>
  </si>
  <si>
    <t>Main - Lay materials</t>
  </si>
  <si>
    <t>Main - lay transport</t>
  </si>
  <si>
    <t>Main - lay paving</t>
  </si>
  <si>
    <t>Deflection PVI</t>
  </si>
  <si>
    <t>Roughness PVI</t>
  </si>
  <si>
    <t>Traffic Delay - life extension</t>
  </si>
  <si>
    <t>Traffic - delay replacement</t>
  </si>
  <si>
    <t>Removal</t>
  </si>
  <si>
    <t>Transport to landfill</t>
  </si>
  <si>
    <t>Transport to recycling facility</t>
  </si>
  <si>
    <t>EPD_version&amp;"GWP"</t>
  </si>
  <si>
    <t>[@Indicator]</t>
  </si>
  <si>
    <t>electricity not looking up correctly?</t>
  </si>
  <si>
    <t>Indicator</t>
  </si>
  <si>
    <t>Acronym</t>
  </si>
  <si>
    <t>Version</t>
  </si>
  <si>
    <t>Methodology</t>
  </si>
  <si>
    <t>Impact Row</t>
  </si>
  <si>
    <t>Main - pothole materials</t>
  </si>
  <si>
    <t>Main - Surface Defect Repair</t>
  </si>
  <si>
    <t>Main - Surface Defect Repair Transport</t>
  </si>
  <si>
    <t>Main - Surface Defect Repair Paving</t>
  </si>
  <si>
    <t>Main - Shoulder Maintenance Repair</t>
  </si>
  <si>
    <t>Main - Shoulder Maintenance Transport</t>
  </si>
  <si>
    <t>Main - Shoulder Maintenance Paving</t>
  </si>
  <si>
    <t>Main - Mill and fill materials</t>
  </si>
  <si>
    <t>Main - Mill and fill transport</t>
  </si>
  <si>
    <t>Main - Mill and fill paving</t>
  </si>
  <si>
    <t>Main - Rip and remake materials</t>
  </si>
  <si>
    <t>Main - Rip and remake transport</t>
  </si>
  <si>
    <t>Main - Rip and remake paving</t>
  </si>
  <si>
    <t>Totals</t>
  </si>
  <si>
    <t>Secondary Scenario</t>
  </si>
  <si>
    <t>Main - surface defect repair materials</t>
  </si>
  <si>
    <t>Main - surface defect repair transport</t>
  </si>
  <si>
    <t>Main - surface defect repair paving</t>
  </si>
  <si>
    <t>Main - Shoulder maintenance materials</t>
  </si>
  <si>
    <t>Main - Shoulder maintenance transport</t>
  </si>
  <si>
    <t>Main - Shoulder maintenance paving</t>
  </si>
  <si>
    <t>Tertiary Scenario</t>
  </si>
  <si>
    <t>Main - surface defect materials</t>
  </si>
  <si>
    <t>Main - surface defect transport</t>
  </si>
  <si>
    <t>Main - surface defect paving</t>
  </si>
  <si>
    <t>A1ConsequentialGWP</t>
  </si>
  <si>
    <t>Consequential</t>
  </si>
  <si>
    <t>kgCO2-eq</t>
  </si>
  <si>
    <t>A1ConsequentialADPE</t>
  </si>
  <si>
    <t>A1ConsequentialADPF</t>
  </si>
  <si>
    <t>ADPF</t>
  </si>
  <si>
    <t>A1ConsequentialEP</t>
  </si>
  <si>
    <t>EP</t>
  </si>
  <si>
    <t>A1ConsequentialAP</t>
  </si>
  <si>
    <t>A1ConsequentialODP</t>
  </si>
  <si>
    <t>A1ConsequentialPOCP</t>
  </si>
  <si>
    <t>POCP</t>
  </si>
  <si>
    <t>A1ConsequentialCFU</t>
  </si>
  <si>
    <t>CFU</t>
  </si>
  <si>
    <t>A1ConsequentialEE</t>
  </si>
  <si>
    <t>EE</t>
  </si>
  <si>
    <t>A1ConsequentialMER</t>
  </si>
  <si>
    <t>MER</t>
  </si>
  <si>
    <t>A1ConsequentialMFR</t>
  </si>
  <si>
    <t>MFR</t>
  </si>
  <si>
    <t>A1ConsequentialPENRT</t>
  </si>
  <si>
    <t>A1ConsequentialPERT</t>
  </si>
  <si>
    <t>A1ConsequentialFW</t>
  </si>
  <si>
    <t>A1ConsequentialSM</t>
  </si>
  <si>
    <t>SM</t>
  </si>
  <si>
    <t>A1ConsequentialNRSF</t>
  </si>
  <si>
    <t>NRSF</t>
  </si>
  <si>
    <t>A1ConsequentialRSF</t>
  </si>
  <si>
    <t>RSF</t>
  </si>
  <si>
    <t>A1ConsequentialHWD</t>
  </si>
  <si>
    <t>HWS</t>
  </si>
  <si>
    <t>A1ConsequentialNHWD</t>
  </si>
  <si>
    <t>NHWD</t>
  </si>
  <si>
    <t>A1ConsequentialRWD</t>
  </si>
  <si>
    <t>RWD</t>
  </si>
  <si>
    <t>A2ConsequentialAP</t>
  </si>
  <si>
    <t>A2ConsequentialGWP_bio</t>
  </si>
  <si>
    <t>A2ConsequentialGWP_foss</t>
  </si>
  <si>
    <t>A2ConsequentialGWP_LUC</t>
  </si>
  <si>
    <t>A2ConsequentialGWP</t>
  </si>
  <si>
    <t>A2ConsequentialADPE</t>
  </si>
  <si>
    <t xml:space="preserve">A2ConsequentialADPF </t>
  </si>
  <si>
    <t>A2ConsequentialEP_fw</t>
  </si>
  <si>
    <t>A2ConsequentialEP_marine</t>
  </si>
  <si>
    <t>A2ConsequentialEP_terr</t>
  </si>
  <si>
    <t>A2ConsequentialODP</t>
  </si>
  <si>
    <t>A2ConsequentialPOFP</t>
  </si>
  <si>
    <t>POFP</t>
  </si>
  <si>
    <t>A2ConsequentialWS</t>
  </si>
  <si>
    <t>A2ConsequentialCRU</t>
  </si>
  <si>
    <t>CRU</t>
  </si>
  <si>
    <t>A2ConsequentialEE</t>
  </si>
  <si>
    <t>A2ConsequentialMER</t>
  </si>
  <si>
    <t>A2ConsequentialMFR</t>
  </si>
  <si>
    <t>MRF</t>
  </si>
  <si>
    <t>A2ConsequentialPENRT</t>
  </si>
  <si>
    <t>A2ConsequentialPERT</t>
  </si>
  <si>
    <t>A2ConsequentialFW</t>
  </si>
  <si>
    <t>A2ConsequentialSM</t>
  </si>
  <si>
    <t>A2ConsequentialNRSF</t>
  </si>
  <si>
    <t>A2ConsequentialRSF</t>
  </si>
  <si>
    <t>A2ConsequentialHWD</t>
  </si>
  <si>
    <t>HWD</t>
  </si>
  <si>
    <t>A2ConsequentialNHWD</t>
  </si>
  <si>
    <t>A2ConsequentialRWD</t>
  </si>
  <si>
    <t>A2ConsequentialTox_fw</t>
  </si>
  <si>
    <t>A2ConsequentialTox_canc</t>
  </si>
  <si>
    <t>A2ConsequentialTox_non_canc</t>
  </si>
  <si>
    <t>A2ConsequentialIR</t>
  </si>
  <si>
    <t>IR</t>
  </si>
  <si>
    <t>A2ConsequentialLU</t>
  </si>
  <si>
    <t>A2ConsequentialPM</t>
  </si>
  <si>
    <t>PM</t>
  </si>
  <si>
    <t>A1AttributionalAP</t>
  </si>
  <si>
    <t>A1AttributionalADPE</t>
  </si>
  <si>
    <t>A1AttributionalADPF</t>
  </si>
  <si>
    <t>A1AttributionalEP</t>
  </si>
  <si>
    <t>A1AttributionalGWP</t>
  </si>
  <si>
    <t>A1AttributionalODP</t>
  </si>
  <si>
    <t>A1AttributionalPOCP</t>
  </si>
  <si>
    <t>A1AttributionalCFU</t>
  </si>
  <si>
    <t>A1AttributionalEE</t>
  </si>
  <si>
    <t>A1AttributionalMER</t>
  </si>
  <si>
    <t>A1AttributionalMFR</t>
  </si>
  <si>
    <t>A1AttributionalPENRT</t>
  </si>
  <si>
    <t>A1AttributionalPERT</t>
  </si>
  <si>
    <t>A1AttributionalFW</t>
  </si>
  <si>
    <t>A1AttributionalSM</t>
  </si>
  <si>
    <t>A1AttributionalNRSF</t>
  </si>
  <si>
    <t>A1AttributionalRSF</t>
  </si>
  <si>
    <t>A1AttributionalHWD</t>
  </si>
  <si>
    <t>A1AttributionalNHWD</t>
  </si>
  <si>
    <t>A1AttributionalRWD</t>
  </si>
  <si>
    <t>A2AttributionalAP</t>
  </si>
  <si>
    <t>A2AttributionalGWP_bio</t>
  </si>
  <si>
    <t>A2AttributionalGWP_foss</t>
  </si>
  <si>
    <t>A2AttributionalGWP_LUC</t>
  </si>
  <si>
    <t>A2AttributionalGWP</t>
  </si>
  <si>
    <t>A2AttributionalADPE</t>
  </si>
  <si>
    <t xml:space="preserve">A2AttributionalADPF </t>
  </si>
  <si>
    <t>A2AttributionalEP_fw</t>
  </si>
  <si>
    <t>A2AttributionalEP_marine</t>
  </si>
  <si>
    <t>A2AttributionalEP_terr</t>
  </si>
  <si>
    <t>A2AttributionalODP</t>
  </si>
  <si>
    <t>A2AttributionalPOFP</t>
  </si>
  <si>
    <t>A2AttributionalWS</t>
  </si>
  <si>
    <t>A2AttributionalCRU</t>
  </si>
  <si>
    <t>A2AttributionalEE</t>
  </si>
  <si>
    <t>A2AttributionalMER</t>
  </si>
  <si>
    <t>A2AttributionalMFR</t>
  </si>
  <si>
    <t>A2AttributionalPENRT</t>
  </si>
  <si>
    <t>A2AttributionalPERT</t>
  </si>
  <si>
    <t>A2AttributionalFW</t>
  </si>
  <si>
    <t>A2AttributionalSM</t>
  </si>
  <si>
    <t>A2AttributionalNRSF</t>
  </si>
  <si>
    <t>A2AttributionalRSF</t>
  </si>
  <si>
    <t>A2AttributionalHWD</t>
  </si>
  <si>
    <t>A2AttributionalNHWD</t>
  </si>
  <si>
    <t>A2AttributionalRWD</t>
  </si>
  <si>
    <t>A2AttributionalTox_fw</t>
  </si>
  <si>
    <t>A2AttributionalTox_canc</t>
  </si>
  <si>
    <t>A2AttributionalTox_non_canc</t>
  </si>
  <si>
    <t>A2AttributionalIR</t>
  </si>
  <si>
    <t>A2AttributionalLU</t>
  </si>
  <si>
    <t>A2AttributionalPM</t>
  </si>
  <si>
    <t>A2AttributionalPM2.5</t>
  </si>
  <si>
    <t>A2ConsequentialPM2.5</t>
  </si>
  <si>
    <t>subtotal</t>
  </si>
  <si>
    <t>Conventional Name</t>
  </si>
  <si>
    <t>Diesel Combustion</t>
  </si>
  <si>
    <t>Diesel Combustion (vehicle)</t>
  </si>
  <si>
    <t>Petrol Combustion</t>
  </si>
  <si>
    <t>Bio-Diesel Combustion</t>
  </si>
  <si>
    <t>Truck (16-32t)</t>
  </si>
  <si>
    <t>Truck (32+t)</t>
  </si>
  <si>
    <t>All Trucks</t>
  </si>
  <si>
    <t>Natural Gas Combusted</t>
  </si>
  <si>
    <t>Clay</t>
  </si>
  <si>
    <t>Bed Rock</t>
  </si>
  <si>
    <t>Pumice</t>
  </si>
  <si>
    <t>Silt</t>
  </si>
  <si>
    <t>Volcanic Ash</t>
  </si>
  <si>
    <t>Cold Mix</t>
  </si>
  <si>
    <t>Polyurethane</t>
  </si>
  <si>
    <t>bitumen</t>
  </si>
  <si>
    <t>Bitumen Emulsion</t>
  </si>
  <si>
    <t>Foam Bitumen Stabilisation</t>
  </si>
  <si>
    <t>Foam Bitumen</t>
  </si>
  <si>
    <t>Bitumen Sealer</t>
  </si>
  <si>
    <t>Modified on bound gravel</t>
  </si>
  <si>
    <t>Lime Modified Subgrade</t>
  </si>
  <si>
    <t>Hydraulic Lime</t>
  </si>
  <si>
    <t>Cement Modified Subgrade</t>
  </si>
  <si>
    <t>Hi-Lab</t>
  </si>
  <si>
    <t>BRP_Patch</t>
  </si>
  <si>
    <t>Sealing Chip</t>
  </si>
  <si>
    <t>Aggregate</t>
  </si>
  <si>
    <t>Ballast</t>
  </si>
  <si>
    <t>Natural Sand</t>
  </si>
  <si>
    <t>RipRap</t>
  </si>
  <si>
    <t>Topsoil</t>
  </si>
  <si>
    <t>Basalt</t>
  </si>
  <si>
    <t>GBC Cement</t>
  </si>
  <si>
    <t>Ultracem Cement</t>
  </si>
  <si>
    <t>Portland Cement</t>
  </si>
  <si>
    <t>Concrete (Lean Mix)</t>
  </si>
  <si>
    <t>Recycled Crushed Concrete (PEET)</t>
  </si>
  <si>
    <t>Recycled Crushed Glass</t>
  </si>
  <si>
    <t>Infrabuild</t>
  </si>
  <si>
    <t>Petrol Production</t>
  </si>
  <si>
    <t>Diesel Production</t>
  </si>
  <si>
    <t>Custom Material 1</t>
  </si>
  <si>
    <t>Custom Material 2</t>
  </si>
  <si>
    <t>Custom Material 3</t>
  </si>
  <si>
    <r>
      <t>Enter material density (kg/m</t>
    </r>
    <r>
      <rPr>
        <i/>
        <vertAlign val="superscript"/>
        <sz val="11"/>
        <color rgb="FF023A5C"/>
        <rFont val="Calibri"/>
        <family val="2"/>
        <scheme val="minor"/>
      </rPr>
      <t>3</t>
    </r>
    <r>
      <rPr>
        <i/>
        <sz val="11"/>
        <color rgb="FF023A5C"/>
        <rFont val="Calibri"/>
        <family val="2"/>
        <scheme val="minor"/>
      </rPr>
      <t>)</t>
    </r>
  </si>
  <si>
    <t>Density [kg/m3]</t>
  </si>
  <si>
    <t>NA</t>
  </si>
  <si>
    <t>Ensure impacts for the materials are for 1kg</t>
  </si>
  <si>
    <t>kg</t>
  </si>
  <si>
    <t>kgkm</t>
  </si>
  <si>
    <t>kWh</t>
  </si>
  <si>
    <t>MJ</t>
  </si>
  <si>
    <t>Assumptions or a source may be entered here</t>
  </si>
  <si>
    <t>Modelling composition (if required)</t>
  </si>
  <si>
    <t>Custom datasets created by thinkstep-anz</t>
  </si>
  <si>
    <t>Emission Factor from PEET. This value is the average of Truck (16-32t), Truck (7.5-16t), and Truck (32+t)</t>
  </si>
  <si>
    <t>100% clay</t>
  </si>
  <si>
    <t>Assume 100% limestone</t>
  </si>
  <si>
    <t>100% pumice</t>
  </si>
  <si>
    <t>Assumed to be 100% sand</t>
  </si>
  <si>
    <t xml:space="preserve">Composition and density determined in "Data Entry" tab </t>
  </si>
  <si>
    <t>Cutback bitumen (bitumen which has been mixed with petroleum solvent to lover viscocity for use at lower temperatures)</t>
  </si>
  <si>
    <t>100% flexible polyurethane foam</t>
  </si>
  <si>
    <t>Cold bitumen, ocean freight from Singapore to Wellington included (1130km), 200km of trucking included</t>
  </si>
  <si>
    <t>67% bitumen, 32% water, 1% emulsifier</t>
  </si>
  <si>
    <t>Added From ISCA Materials Calculator NZ V2.0</t>
  </si>
  <si>
    <t>100% bitumen sealer</t>
  </si>
  <si>
    <t>98.5% crushed gravel, 1.5% cement</t>
  </si>
  <si>
    <t>95% clay, 5% lime</t>
  </si>
  <si>
    <t>Impacts from 4% Cement</t>
  </si>
  <si>
    <t>76% crushed gravel, 16% water, 7% cement</t>
  </si>
  <si>
    <t>78% crushed gravel, 22% bitumen seal</t>
  </si>
  <si>
    <t>Tap water (Mfe emissions guide Aug 2022)</t>
  </si>
  <si>
    <t>Composition and density determined in "Data Entry" tab. Contains Bitumen</t>
  </si>
  <si>
    <t>Pure Chipseal. No Bitumen</t>
  </si>
  <si>
    <t>100% crushed gravel aggregate</t>
  </si>
  <si>
    <t>PEET 20MPa OPC value</t>
  </si>
  <si>
    <t xml:space="preserve">Currently based on "repurpose it" EPD https://epd-australasia.com/wp-content/uploads/2020/03/Repurpose-It-EPD-Recovered-Mineral-Aggregates-v1-0.pdf </t>
  </si>
  <si>
    <t>Pacific Steel EPD: https://epd-australasia.com/epd/seismic-steel-reinforcing-bar-coil-rod-and-wire/</t>
  </si>
  <si>
    <t>Infrabuild EPD: https://epd-australasia.com/wp-content/uploads/2018/04/4-EPD_IB-Construction-Solutions.pdf</t>
  </si>
  <si>
    <t>Calls here if material isn't defined in table. Stops output displaying error</t>
  </si>
  <si>
    <t>Notes</t>
  </si>
  <si>
    <t>GWP from =(Peet emission [tCO2e/L])*(1000/density of diesel [kg/m3]) AND Custom datasets created by thinkstep-anz</t>
  </si>
  <si>
    <t>GWP from =(Peet emission [tCO2e/L])*(1000/density of petrol [kg/m3]) AND Custom datasets created by thinkstep-anz</t>
  </si>
  <si>
    <t>Custom datasets created by thinkstep-anz. Modelled off emissions from a diesel truck then GWP modified.</t>
  </si>
  <si>
    <t>Imported from PEET</t>
  </si>
  <si>
    <t>Cold mix</t>
  </si>
  <si>
    <t>market for polyurethane, flexible foam | polyurethane, flexible foam | - RoW</t>
  </si>
  <si>
    <t xml:space="preserve">pitch production, petroleum refinery operation | pitch </t>
  </si>
  <si>
    <t>Bitumen emulsion production
market for tap water | tap water | - RoW
deinking emulsion production, in paper production | deinking emulsion, in paper production | ROW</t>
  </si>
  <si>
    <t>market for gravel, crushed | gravel, crushed | - RoW
pitch production, petroleum refinery operation | pitch | Cutoff, S - RoW
market for cement, Portland | cement, Portland |- RoW
market for tap water | tap water | Consequential, S - RoW</t>
  </si>
  <si>
    <t>3% Water</t>
  </si>
  <si>
    <t>market for bitumen seal | bitumen seal |- GLO</t>
  </si>
  <si>
    <t>market for cement, Portland | cement, Portland |- RoW 
market for tap water | tap water | - RoW
market for gravel, crushed | gravel, crushed | -RoW</t>
  </si>
  <si>
    <t>lime production, milled, loose | lime - RoW</t>
  </si>
  <si>
    <t>Added from Peet (ISCA Materials Calculator NZ V2.0.7)</t>
  </si>
  <si>
    <t>market for cement, Portland | cement, Portland |  - RoW</t>
  </si>
  <si>
    <t>gravel production, crushed | gravel, crushed | - RoW
market for cement, Portland | cement, Portland |- RoW
market for tap water | tap water | - RoW</t>
  </si>
  <si>
    <t>gravel production, crushed | gravel, crushed | - RoW
bitumen seal production | bitumen seal | - RoW</t>
  </si>
  <si>
    <t>Imported from Peet (Winstone Aggregates EPD)</t>
  </si>
  <si>
    <t>Imported from Peet (Winstone Aggregates EPD (assumed equivalent))</t>
  </si>
  <si>
    <t>From GBC general purpose EPD</t>
  </si>
  <si>
    <t>Holicem - From Ultracem (bulk) EPD</t>
  </si>
  <si>
    <t>Imported from Peet (Green Vision Recycling EPD)</t>
  </si>
  <si>
    <t>Imported from Peet (ISCA Materials Calculator NZ V2.0.7)</t>
  </si>
  <si>
    <t>Shipping from Sydney to Auckland included</t>
  </si>
  <si>
    <t xml:space="preserve">petrol production, unleaded, petroleum refinery operation | petrol, unleaded </t>
  </si>
  <si>
    <t>diesel production, petroleum refinery operation</t>
  </si>
  <si>
    <t>15804 version</t>
  </si>
  <si>
    <t>Look up</t>
  </si>
  <si>
    <t>Diesel Combustion (Vehicle)</t>
  </si>
  <si>
    <t>Bedrock</t>
  </si>
  <si>
    <t>Recycled Crushed Concrete2</t>
  </si>
  <si>
    <t>Steel Reinforcing (Rebar)</t>
  </si>
  <si>
    <t>0</t>
  </si>
  <si>
    <t>Original diesel combustion dataset</t>
  </si>
  <si>
    <t>Original bitumen dataset</t>
  </si>
  <si>
    <t>Ocean freight</t>
  </si>
  <si>
    <t>Hot bitumen</t>
  </si>
  <si>
    <t>singapore to wellington ocean freight</t>
  </si>
  <si>
    <t>Combined bitumen data set</t>
  </si>
  <si>
    <t>EI - Acidification</t>
  </si>
  <si>
    <t>EI - depletion of abiotic resources - ADPE elements</t>
  </si>
  <si>
    <t>EI - depletion of abiotic resources - ADPF fossil fuels</t>
  </si>
  <si>
    <t>EI - Eutrophication</t>
  </si>
  <si>
    <t>kg PO4--- eq</t>
  </si>
  <si>
    <t>EI - Global warming 100a</t>
  </si>
  <si>
    <t xml:space="preserve">EI - Ozone layer depletion steady state </t>
  </si>
  <si>
    <t>kg CFC-11 eq</t>
  </si>
  <si>
    <t>EI - Photochemical oxidation creation potential</t>
  </si>
  <si>
    <t>kg C2H4 eq</t>
  </si>
  <si>
    <t>output flows - components for reuse</t>
  </si>
  <si>
    <t>kg CRU</t>
  </si>
  <si>
    <t xml:space="preserve">output flows - exported energy </t>
  </si>
  <si>
    <t>MJ EE</t>
  </si>
  <si>
    <t>output flows - materials for energy recovery</t>
  </si>
  <si>
    <t>kg MER</t>
  </si>
  <si>
    <t>output flows - materials for recycling</t>
  </si>
  <si>
    <t>kg MFR</t>
  </si>
  <si>
    <t>resources - energy, non-renewable - PENRT</t>
  </si>
  <si>
    <t>resources - energy, renewable - PERT</t>
  </si>
  <si>
    <t>resources - net use of fresh water - FW</t>
  </si>
  <si>
    <t>m3FW</t>
  </si>
  <si>
    <t>resources - use of secondary materials - SM</t>
  </si>
  <si>
    <t>kgSM</t>
  </si>
  <si>
    <t>resources -use of non-renewable secondary fuels - NRSF</t>
  </si>
  <si>
    <t>MJSF</t>
  </si>
  <si>
    <t>resources -use of renewable secondary fuels - RSF</t>
  </si>
  <si>
    <t>waste - hazardous, disposed - HW</t>
  </si>
  <si>
    <t>kgHW</t>
  </si>
  <si>
    <t>waste - non-hazardous, disposed -NHW</t>
  </si>
  <si>
    <t>kgW</t>
  </si>
  <si>
    <t>waste - radioactive, disposed - RW</t>
  </si>
  <si>
    <t>kgRW</t>
  </si>
  <si>
    <t>A2</t>
  </si>
  <si>
    <t>EI acidification</t>
  </si>
  <si>
    <t>molc H+ eq</t>
  </si>
  <si>
    <t>EI climate change, GWP biogenic</t>
  </si>
  <si>
    <t>EI climate change, GWP fossil</t>
  </si>
  <si>
    <t>EI climate change, GWP land transformation</t>
  </si>
  <si>
    <t>EI climate change, GWP total</t>
  </si>
  <si>
    <t>EI depletion of abiotic resources - ADPE elements</t>
  </si>
  <si>
    <t xml:space="preserve">ADPF </t>
  </si>
  <si>
    <t>EI depletion of abiotic resources - ADPF fossil fuels</t>
  </si>
  <si>
    <t>EI eutrophication, freshwater</t>
  </si>
  <si>
    <t xml:space="preserve">EI eutrophication, marine </t>
  </si>
  <si>
    <t>EI eutrophication, terrestrial</t>
  </si>
  <si>
    <t>EI ozone depletion</t>
  </si>
  <si>
    <t>EI photochemical ozone formation</t>
  </si>
  <si>
    <t>kg NMVOC eq</t>
  </si>
  <si>
    <t>EI water use, AWARE</t>
  </si>
  <si>
    <t>Ecotoxicity, freshwater</t>
  </si>
  <si>
    <t>Human toxicity, cancer effects</t>
  </si>
  <si>
    <t>Human toxicity, non-cancer effects</t>
  </si>
  <si>
    <t>Ionising radiation, HH</t>
  </si>
  <si>
    <t>kBq U-235 eq</t>
  </si>
  <si>
    <t>Land use</t>
  </si>
  <si>
    <t>Particulate matter, HH</t>
  </si>
  <si>
    <t>disease inc.</t>
  </si>
  <si>
    <t>Particulate matter, 2.5</t>
  </si>
  <si>
    <t>Epoxy Modified Component of Chip Seal</t>
  </si>
  <si>
    <t>Epoxy Modified Component of SMA</t>
  </si>
  <si>
    <t>Epoxy Modified Component of OGPA</t>
  </si>
  <si>
    <t>Asphalt plant fuel and process temperature</t>
  </si>
  <si>
    <t>Liquid Fuel - Warm</t>
  </si>
  <si>
    <t>Gas - Hot</t>
  </si>
  <si>
    <t>Gas - Warm</t>
  </si>
  <si>
    <t>Selected Asphalt Plant Emissions</t>
  </si>
  <si>
    <t>phenolic resin</t>
  </si>
  <si>
    <t>(kg/kg)</t>
  </si>
  <si>
    <t>Chip Seal (Epoxy)</t>
  </si>
  <si>
    <t>epichlorohydrin</t>
  </si>
  <si>
    <t>(MJ/kg)</t>
  </si>
  <si>
    <t>bisphenol A</t>
  </si>
  <si>
    <t>Electricity (MJ/kg)</t>
  </si>
  <si>
    <t xml:space="preserve">Epoxy Chip Seal </t>
  </si>
  <si>
    <t>Density (kg/m3)</t>
  </si>
  <si>
    <t>Approximation of Impacts from Pavement Deflection</t>
  </si>
  <si>
    <t>Deflection PVI - Primary</t>
  </si>
  <si>
    <t>Forcast fleet</t>
  </si>
  <si>
    <t>Axle weight transformation</t>
  </si>
  <si>
    <t>Excess energy due to pavement deflection, for each vehicle type (MJ/km)</t>
  </si>
  <si>
    <t>Driving efficiency of vehicle (electricity includes losses due to charging)</t>
  </si>
  <si>
    <t>Daily excess energy required due to pavement deflection, for each vehicle type across the project accounting for operating efficiciencies (MJ/day)</t>
  </si>
  <si>
    <t>Annual excess energy required due to pavement deflection, for each vehicle type across the project accounting for operating efficiciencies (MJ/year)</t>
  </si>
  <si>
    <t>Energy conversion factor (MJ/kg)</t>
  </si>
  <si>
    <t>Passenger</t>
  </si>
  <si>
    <t>Petrol</t>
  </si>
  <si>
    <t>Electric</t>
  </si>
  <si>
    <t>Heavy</t>
  </si>
  <si>
    <t>Biofuel (assumed to be biodiesel)</t>
  </si>
  <si>
    <t xml:space="preserve">Assumes E=40GPa and k=35MPa, scenario specific change made at the last step </t>
  </si>
  <si>
    <t>Emissions due to fuel consumption (kgCO2eq/MJ)</t>
  </si>
  <si>
    <t>Tables Don't Say What Type of fuel in column 1. Add labels to clarify</t>
  </si>
  <si>
    <t>Fleet composition</t>
  </si>
  <si>
    <t>Annual Emissions</t>
  </si>
  <si>
    <t>Matrix multiplication Check</t>
  </si>
  <si>
    <t>Total Emissions (kgCO2-eq), for a pavement of E=40GPa</t>
  </si>
  <si>
    <t>SUM check</t>
  </si>
  <si>
    <t>Primary Scenario</t>
  </si>
  <si>
    <t>Check:</t>
  </si>
  <si>
    <t>l/100km, driving eff</t>
  </si>
  <si>
    <t>l/km</t>
  </si>
  <si>
    <t>kgCO2eq/km total emissions from driving small vehicle</t>
  </si>
  <si>
    <t>Total driving emissions of driving a small diesel car across the length of the pavement</t>
  </si>
  <si>
    <t>Share of emissions due to deflection PVI (should be around ~5%)</t>
  </si>
  <si>
    <t>General notes:</t>
  </si>
  <si>
    <t>Paper used: Roughness-induced Pavement-Vehicle Interactions</t>
  </si>
  <si>
    <t>Energy due to roughness with</t>
  </si>
  <si>
    <t>The excess energy is evaluated by finding the total energy lost to roughness then removing the energy which is lost at an IRI of 1.0</t>
  </si>
  <si>
    <t>V(Km/h)</t>
  </si>
  <si>
    <t>IRI</t>
  </si>
  <si>
    <t>V(m/s)</t>
  </si>
  <si>
    <t>Input variables from paper:</t>
  </si>
  <si>
    <t>Symbol</t>
  </si>
  <si>
    <t>Value</t>
  </si>
  <si>
    <t>Name</t>
  </si>
  <si>
    <t>Description/notes</t>
  </si>
  <si>
    <t>User inputs:</t>
  </si>
  <si>
    <t>IRI - scenario 1</t>
  </si>
  <si>
    <t>m/km</t>
  </si>
  <si>
    <t>International roughness index</t>
  </si>
  <si>
    <t>IRI - scenario 2</t>
  </si>
  <si>
    <t>IRI - scenario 3</t>
  </si>
  <si>
    <t>V</t>
  </si>
  <si>
    <t>m/s</t>
  </si>
  <si>
    <t>Car velocity</t>
  </si>
  <si>
    <t>Set by user or use 22.2 m/s as a default for golden car (80 km/h)</t>
  </si>
  <si>
    <t>Constants:</t>
  </si>
  <si>
    <t>w</t>
  </si>
  <si>
    <t>Waviness number</t>
  </si>
  <si>
    <t>Describes the widely spaced component of surface roughness (ie, spacing of irregulaities)</t>
  </si>
  <si>
    <r>
      <t>V</t>
    </r>
    <r>
      <rPr>
        <vertAlign val="subscript"/>
        <sz val="11"/>
        <color theme="1"/>
        <rFont val="Calibri"/>
        <family val="2"/>
        <scheme val="minor"/>
      </rPr>
      <t>0</t>
    </r>
  </si>
  <si>
    <t>Golden car velocity</t>
  </si>
  <si>
    <t>Constant</t>
  </si>
  <si>
    <t>Vehicle dynamic properties:</t>
  </si>
  <si>
    <t>Medium car</t>
  </si>
  <si>
    <t>SUV</t>
  </si>
  <si>
    <t>Van</t>
  </si>
  <si>
    <t>Light truck</t>
  </si>
  <si>
    <t>Articulated truck</t>
  </si>
  <si>
    <r>
      <t>m</t>
    </r>
    <r>
      <rPr>
        <vertAlign val="subscript"/>
        <sz val="11"/>
        <color theme="1"/>
        <rFont val="Calibri"/>
        <family val="2"/>
        <scheme val="minor"/>
      </rPr>
      <t>t</t>
    </r>
  </si>
  <si>
    <t>Total mass of passenger vehicle</t>
  </si>
  <si>
    <r>
      <t>m</t>
    </r>
    <r>
      <rPr>
        <vertAlign val="subscript"/>
        <sz val="11"/>
        <color theme="1"/>
        <rFont val="Calibri"/>
        <family val="2"/>
        <scheme val="minor"/>
      </rPr>
      <t>s</t>
    </r>
  </si>
  <si>
    <t>See Figure 1 (a)</t>
  </si>
  <si>
    <t>Total mass of heavy vehicle</t>
  </si>
  <si>
    <t>Golden car properties:</t>
  </si>
  <si>
    <r>
      <t>k</t>
    </r>
    <r>
      <rPr>
        <vertAlign val="subscript"/>
        <sz val="11"/>
        <color theme="1"/>
        <rFont val="Calibri"/>
        <family val="2"/>
        <scheme val="minor"/>
      </rPr>
      <t>t</t>
    </r>
    <r>
      <rPr>
        <sz val="11"/>
        <color theme="1"/>
        <rFont val="Calibri"/>
        <family val="2"/>
        <scheme val="minor"/>
      </rPr>
      <t>/m</t>
    </r>
    <r>
      <rPr>
        <vertAlign val="subscript"/>
        <sz val="11"/>
        <color theme="1"/>
        <rFont val="Calibri"/>
        <family val="2"/>
        <scheme val="minor"/>
      </rPr>
      <t>s</t>
    </r>
  </si>
  <si>
    <r>
      <t>/s</t>
    </r>
    <r>
      <rPr>
        <vertAlign val="superscript"/>
        <sz val="11"/>
        <color theme="1"/>
        <rFont val="Calibri"/>
        <family val="2"/>
        <scheme val="minor"/>
      </rPr>
      <t>2</t>
    </r>
  </si>
  <si>
    <t>From Figure 1 (b)</t>
  </si>
  <si>
    <r>
      <t>k</t>
    </r>
    <r>
      <rPr>
        <vertAlign val="subscript"/>
        <sz val="11"/>
        <color theme="1"/>
        <rFont val="Calibri"/>
        <family val="2"/>
        <scheme val="minor"/>
      </rPr>
      <t>s</t>
    </r>
    <r>
      <rPr>
        <sz val="11"/>
        <color theme="1"/>
        <rFont val="Calibri"/>
        <family val="2"/>
        <scheme val="minor"/>
      </rPr>
      <t>/m</t>
    </r>
    <r>
      <rPr>
        <vertAlign val="subscript"/>
        <sz val="11"/>
        <color theme="1"/>
        <rFont val="Calibri"/>
        <family val="2"/>
        <scheme val="minor"/>
      </rPr>
      <t>s</t>
    </r>
  </si>
  <si>
    <r>
      <t>C</t>
    </r>
    <r>
      <rPr>
        <vertAlign val="subscript"/>
        <sz val="11"/>
        <color theme="1"/>
        <rFont val="Calibri"/>
        <family val="2"/>
        <scheme val="minor"/>
      </rPr>
      <t>s</t>
    </r>
    <r>
      <rPr>
        <sz val="11"/>
        <color theme="1"/>
        <rFont val="Calibri"/>
        <family val="2"/>
        <scheme val="minor"/>
      </rPr>
      <t>/m</t>
    </r>
    <r>
      <rPr>
        <vertAlign val="subscript"/>
        <sz val="11"/>
        <color theme="1"/>
        <rFont val="Calibri"/>
        <family val="2"/>
        <scheme val="minor"/>
      </rPr>
      <t>s</t>
    </r>
  </si>
  <si>
    <t>/s</t>
  </si>
  <si>
    <r>
      <t>m</t>
    </r>
    <r>
      <rPr>
        <vertAlign val="subscript"/>
        <sz val="11"/>
        <color theme="1"/>
        <rFont val="Calibri"/>
        <family val="2"/>
        <scheme val="minor"/>
      </rPr>
      <t>u</t>
    </r>
    <r>
      <rPr>
        <sz val="11"/>
        <color theme="1"/>
        <rFont val="Calibri"/>
        <family val="2"/>
        <scheme val="minor"/>
      </rPr>
      <t>/m</t>
    </r>
    <r>
      <rPr>
        <vertAlign val="subscript"/>
        <sz val="11"/>
        <color theme="1"/>
        <rFont val="Calibri"/>
        <family val="2"/>
        <scheme val="minor"/>
      </rPr>
      <t>s</t>
    </r>
  </si>
  <si>
    <t>Dimensionless</t>
  </si>
  <si>
    <t>Adjusted quarter car model values:</t>
  </si>
  <si>
    <r>
      <t>k</t>
    </r>
    <r>
      <rPr>
        <vertAlign val="subscript"/>
        <sz val="11"/>
        <color theme="1"/>
        <rFont val="Calibri"/>
        <family val="2"/>
        <scheme val="minor"/>
      </rPr>
      <t>t</t>
    </r>
  </si>
  <si>
    <r>
      <t>kg/s</t>
    </r>
    <r>
      <rPr>
        <vertAlign val="superscript"/>
        <sz val="11"/>
        <color theme="1"/>
        <rFont val="Calibri"/>
        <family val="2"/>
        <scheme val="minor"/>
      </rPr>
      <t>2</t>
    </r>
  </si>
  <si>
    <t>Adjusted for the mass parameter for as given vehicle</t>
  </si>
  <si>
    <r>
      <t>k</t>
    </r>
    <r>
      <rPr>
        <vertAlign val="subscript"/>
        <sz val="11"/>
        <color theme="1"/>
        <rFont val="Calibri"/>
        <family val="2"/>
        <scheme val="minor"/>
      </rPr>
      <t>s</t>
    </r>
  </si>
  <si>
    <r>
      <t>C</t>
    </r>
    <r>
      <rPr>
        <vertAlign val="subscript"/>
        <sz val="11"/>
        <color theme="1"/>
        <rFont val="Calibri"/>
        <family val="2"/>
        <scheme val="minor"/>
      </rPr>
      <t>s</t>
    </r>
  </si>
  <si>
    <t>kg/s</t>
  </si>
  <si>
    <r>
      <t>m</t>
    </r>
    <r>
      <rPr>
        <vertAlign val="subscript"/>
        <sz val="11"/>
        <color theme="1"/>
        <rFont val="Calibri"/>
        <family val="2"/>
        <scheme val="minor"/>
      </rPr>
      <t>u</t>
    </r>
  </si>
  <si>
    <t>IRI_1 is taken as the minimum roughness of a real world pavement. Therefore excess  losses are those caused on top of the losses of a pavement of IRI=1</t>
  </si>
  <si>
    <t>Fuel use calculations:</t>
  </si>
  <si>
    <t>IRI_1</t>
  </si>
  <si>
    <t>IRI converted unit</t>
  </si>
  <si>
    <t>m/m</t>
  </si>
  <si>
    <t>ε</t>
  </si>
  <si>
    <t>J/m</t>
  </si>
  <si>
    <t>J/km</t>
  </si>
  <si>
    <t>MJ/km</t>
  </si>
  <si>
    <t>Scenario 1</t>
  </si>
  <si>
    <t>Scenario 2</t>
  </si>
  <si>
    <t>Scenario 3</t>
  </si>
  <si>
    <t>Honda civic - for comparison</t>
  </si>
  <si>
    <t>Fuel eff</t>
  </si>
  <si>
    <t>L/km</t>
  </si>
  <si>
    <t>Fuel use per km</t>
  </si>
  <si>
    <t>Highway, https://www.guideautoweb.com/en/makes/honda/civic/2019/specifications/dx-sedan/</t>
  </si>
  <si>
    <t>Petrol energy density</t>
  </si>
  <si>
    <t>MJ/L</t>
  </si>
  <si>
    <t>Energy density</t>
  </si>
  <si>
    <t>https://en.wikipedia.org/wiki/Energy_density</t>
  </si>
  <si>
    <t>Motor efficiency</t>
  </si>
  <si>
    <t>Estimate</t>
  </si>
  <si>
    <t>Energy consumption</t>
  </si>
  <si>
    <t>% of honda civic fuel</t>
  </si>
  <si>
    <t>[fleet composition*[annual emissions of fuel]*[Driving efficiency</t>
  </si>
  <si>
    <t>Light - Diesel</t>
  </si>
  <si>
    <t>Light - Petrol</t>
  </si>
  <si>
    <t>Light - Electric</t>
  </si>
  <si>
    <t>Heavy - Diesel</t>
  </si>
  <si>
    <t>Heavy - Petrol</t>
  </si>
  <si>
    <t>Heavy - Electric</t>
  </si>
  <si>
    <t>Heavy - Biofuel</t>
  </si>
  <si>
    <t>Sum of fleet emissions - light</t>
  </si>
  <si>
    <t>Sum of fleet emissions - Heavy</t>
  </si>
  <si>
    <t>Energy lost to excess roughness</t>
  </si>
  <si>
    <t>ε - light</t>
  </si>
  <si>
    <t>ε - heavy</t>
  </si>
  <si>
    <t>Single variables</t>
  </si>
  <si>
    <t>kgCO2eq</t>
  </si>
  <si>
    <t>Projections from: https://lcm.org.nz/data-sets/new-zealand-electricity</t>
  </si>
  <si>
    <t>Values have been converted from kgCO2-eq/kWh to kgCO2-eq/MJ</t>
  </si>
  <si>
    <t>Electrical grid extrapolated based on the 2050 grid. No further changes assumed</t>
  </si>
  <si>
    <t>Scenario</t>
  </si>
  <si>
    <t>Environmental Impact</t>
  </si>
  <si>
    <t>PED</t>
  </si>
  <si>
    <t>Projected scaled travel distances of vehicles from Ministry of Transport</t>
  </si>
  <si>
    <t>Distance travelled by fleet</t>
  </si>
  <si>
    <t>Composition of fleet by distance travelled</t>
  </si>
  <si>
    <t>Fleet breakdown</t>
  </si>
  <si>
    <t>Fleet composition adjusted for custom percentage of heavy vehicles</t>
  </si>
  <si>
    <t>Light</t>
  </si>
  <si>
    <t>Scaled Travel</t>
  </si>
  <si>
    <t>Hydrogen</t>
  </si>
  <si>
    <t>Motorcycle</t>
  </si>
  <si>
    <t>LPG/CNG</t>
  </si>
  <si>
    <t>P/C - Petrol</t>
  </si>
  <si>
    <t>P/C - Diesel</t>
  </si>
  <si>
    <t>P/C - Electric</t>
  </si>
  <si>
    <t>P/C - Hydrogen</t>
  </si>
  <si>
    <t>P/C - Motorcycle</t>
  </si>
  <si>
    <t>H/V - Petrol</t>
  </si>
  <si>
    <t>H/V - Diesel</t>
  </si>
  <si>
    <t>H/V - Electric</t>
  </si>
  <si>
    <t>H/V - LPG/CNG</t>
  </si>
  <si>
    <t>Changes to fleet assumed to stop at 2050, this is where the MoT projections finish</t>
  </si>
  <si>
    <t>Forecast fleet</t>
  </si>
  <si>
    <t>Idle rate (kgfuel/h or MJ/hour for electric vehicles)</t>
  </si>
  <si>
    <t>Source for consumption rate</t>
  </si>
  <si>
    <t>formula=(average gal/hr)*(gallons to litres)*(diesel litres to kg)</t>
  </si>
  <si>
    <t xml:space="preserve">formula=(average gal/hr)*(gallons to litres)*(petrol litres to kg), https://www.tandfonline.com/doi/pdf/10.1080/10473289.2000.10464041  </t>
  </si>
  <si>
    <t>How is this calculated</t>
  </si>
  <si>
    <t>Heavy Vehicles</t>
  </si>
  <si>
    <t xml:space="preserve">https://www.tandfonline.com/doi/pdf/10.3155/1047-3289.59.7.857 </t>
  </si>
  <si>
    <t>The 3% of goods vehicles which are petrol are assumed to be closer to passenger fleet in size and so have been combined, leaving no heavy petrol vehicles</t>
  </si>
  <si>
    <t>Biofuel</t>
  </si>
  <si>
    <t>Fleet sum check</t>
  </si>
  <si>
    <t xml:space="preserve">Contains Tables used for drop down lists in workbook. </t>
  </si>
  <si>
    <t>Change Log Lists</t>
  </si>
  <si>
    <t>Sheet</t>
  </si>
  <si>
    <t>Change Type</t>
  </si>
  <si>
    <t>D3</t>
  </si>
  <si>
    <t>ChangeType</t>
  </si>
  <si>
    <t>Bug Fix</t>
  </si>
  <si>
    <t>Emissions Table Change</t>
  </si>
  <si>
    <t>Interface Change</t>
  </si>
  <si>
    <t>Materials Added</t>
  </si>
  <si>
    <t>Added Tabs</t>
  </si>
  <si>
    <t>Value Changed</t>
  </si>
  <si>
    <t>&lt;-- Expand for dropdown lists in Change Log</t>
  </si>
  <si>
    <t>Data Entry Lists</t>
  </si>
  <si>
    <t>C105, C115, C125</t>
  </si>
  <si>
    <t>C106, C116, C126</t>
  </si>
  <si>
    <t>C107, 117, 127</t>
  </si>
  <si>
    <t>C108, C118, C128</t>
  </si>
  <si>
    <t>C109, C119, C129</t>
  </si>
  <si>
    <t>C110, C120, C130</t>
  </si>
  <si>
    <t>Multiple Rows, Column E</t>
  </si>
  <si>
    <t>WearingCourse</t>
  </si>
  <si>
    <t>WearingCourseAdditive</t>
  </si>
  <si>
    <t>BaseCourse</t>
  </si>
  <si>
    <t>BaseCourseAdditive</t>
  </si>
  <si>
    <t>UpperSubBase</t>
  </si>
  <si>
    <t>SubGradeImprovement</t>
  </si>
  <si>
    <t>MaterialDeliveryTruck</t>
  </si>
  <si>
    <t>-</t>
  </si>
  <si>
    <t>Asphalt (EMOGPA</t>
  </si>
  <si>
    <t>Foam Bitumen (3%H2O)</t>
  </si>
  <si>
    <t>&lt;-- Expand for dropdown lists in Data Entry</t>
  </si>
  <si>
    <t>Maintainence &amp; Traffic Delay Lists</t>
  </si>
  <si>
    <t>Maintainence &amp; Traffic Delay</t>
  </si>
  <si>
    <t>Fill Cracks</t>
  </si>
  <si>
    <t>Surface Defect Repair, Shoulder Maintainence, Patch Stabilisation</t>
  </si>
  <si>
    <t>Surface Defect Repair, Shoulder Maintainence</t>
  </si>
  <si>
    <t>Modified Subgrades</t>
  </si>
  <si>
    <t>Mill and Fill, Rip and Remake</t>
  </si>
  <si>
    <t>Row 27</t>
  </si>
  <si>
    <t>Column C</t>
  </si>
  <si>
    <t>CrackSealing</t>
  </si>
  <si>
    <t>TypicalMaintainenceMaterials</t>
  </si>
  <si>
    <t>FC</t>
  </si>
  <si>
    <t>SDR_SM_PS_Mat2</t>
  </si>
  <si>
    <t>SDR_SM_Mat3</t>
  </si>
  <si>
    <t>M&amp;TD_Modifiers</t>
  </si>
  <si>
    <t>MF_RR_LO_Mat2</t>
  </si>
  <si>
    <t>Hi_Lab</t>
  </si>
  <si>
    <t>&lt;-- Expand for dropdown lists in Maintainence &amp; Traffic Delay</t>
  </si>
  <si>
    <t>Date Change Recorded</t>
  </si>
  <si>
    <t>Change</t>
  </si>
  <si>
    <t xml:space="preserve">Updated GWP A1 values to match against those in PEET. </t>
  </si>
  <si>
    <t>Bug fix</t>
  </si>
  <si>
    <t>Dropdown lists changed to reference table in LookUpTables tab.</t>
  </si>
  <si>
    <t>Fixes to Maintenance &amp; Traffic Delay tab. Cells show error if no material defined. Added 0 column into materials table to remedy.</t>
  </si>
  <si>
    <t>Emissions table change</t>
  </si>
  <si>
    <t>Materials added</t>
  </si>
  <si>
    <t xml:space="preserve">Ability to construct concrete roads added. This includes adding lean cement (20Mpa cement) and surface concrete (50MPa concrete) into options. </t>
  </si>
  <si>
    <t>Pure foam 3% water added into materials table.</t>
  </si>
  <si>
    <t>Fixes to Maintenance &amp; Traffic Delay tab. Raw materials impacts table calling to wrong materials in table. Corrected.</t>
  </si>
  <si>
    <t>All trucks added to emissions table. Added as material delivery truck option.</t>
  </si>
  <si>
    <t>Added tabs</t>
  </si>
  <si>
    <t>Added Change Log tab to keep track of changes to versions.</t>
  </si>
  <si>
    <t>Added LookUpTables tab to store drop down list options.</t>
  </si>
  <si>
    <t>Fixed roughness output formula to only populate when roughness induced emissions flag is set to true.</t>
  </si>
  <si>
    <t>Diesel combustion adjusted using PEET from 3.64kg CO2-e/unit to 3.036kg CO2-e/unit</t>
  </si>
  <si>
    <t>Diesel combustion (vehicle) adjusted using PEET from 3.65kg CO2-e/unit to 3.036kg CO2-e/unit</t>
  </si>
  <si>
    <t>Petrol combustion adjusted using PEET from 3.71kg CO2-e/unit to 3.109kg CO2-e/unit</t>
  </si>
  <si>
    <t>Bio-diesel combustion adjusted using PEET from 0.483kg CO2-e/unit to 0.04kg CO2-e/unit</t>
  </si>
  <si>
    <t>All trucks added from PEET (0.000135kg CO2-e/unit)</t>
  </si>
  <si>
    <t>Foam bitumen (3% H2O) added from ISC (0.372kg CO2-e/unit)</t>
  </si>
  <si>
    <t>Hydraulic lime added from PEET (0.8335kg CO2-e/unit)</t>
  </si>
  <si>
    <t>Water adjusted using PEET from 0.000043kg CO2-e/unit to 0.000031 kgCO2e/unit</t>
  </si>
  <si>
    <t>Aggregate added from PEET (0.00455kg CO2-e/unit)</t>
  </si>
  <si>
    <t>Ballast added from PEET (0.00435kg CO2-e/unit)</t>
  </si>
  <si>
    <t>Natural sand added from PEET (0.003875kg CO2-e/unit)</t>
  </si>
  <si>
    <t>Sealing chip added from PEET (0.00452kg CO2-e/unit)</t>
  </si>
  <si>
    <t>RipRap added from PEET (0.004156kg CO2-e/unit)</t>
  </si>
  <si>
    <t>Topsoil added from PEET (0.004156kg CO2-e/unit)</t>
  </si>
  <si>
    <t>Basalt added from PEET (0.003875kg CO2-e/unit)</t>
  </si>
  <si>
    <t>Portland cement added from PEET (0.945kg CO2-e/unit)</t>
  </si>
  <si>
    <t>Recycled crushed concrete 2 added from PEET (0.000827kg CO2-e/unit)</t>
  </si>
  <si>
    <t>Recycled crushed glass added from PEET (0.00246kg CO2-e/unit)</t>
  </si>
  <si>
    <t>Aggregate (hard rock) adjusted using PEET (0.0038kg CO2-e/unit to 0.00455kg CO2-e/unit)</t>
  </si>
  <si>
    <t>Epoxy chipseal added</t>
  </si>
  <si>
    <t>Asphalt (epoxy SMA) added</t>
  </si>
  <si>
    <t>Asphalt (EMOGPA) updated</t>
  </si>
  <si>
    <t>Value changed</t>
  </si>
  <si>
    <t>Epoxy components adjusted to correct ratios. Correct ratios seen in Dynamic Materials tab cells AF2:AH5</t>
  </si>
  <si>
    <r>
      <t>2.7% bitumen, 1% cement, 0.5% water, remainder aggregate. Bitumen must be heated to about 180</t>
    </r>
    <r>
      <rPr>
        <vertAlign val="superscript"/>
        <sz val="11"/>
        <color theme="1"/>
        <rFont val="Calibri"/>
        <family val="2"/>
        <scheme val="minor"/>
      </rPr>
      <t>o</t>
    </r>
    <r>
      <rPr>
        <sz val="11"/>
        <color theme="1"/>
        <rFont val="Calibri"/>
        <family val="2"/>
        <scheme val="minor"/>
      </rPr>
      <t xml:space="preserve">C </t>
    </r>
    <r>
      <rPr>
        <sz val="11"/>
        <color theme="1"/>
        <rFont val="Calibri"/>
        <family val="2"/>
      </rPr>
      <t>–</t>
    </r>
    <r>
      <rPr>
        <sz val="11"/>
        <color theme="1"/>
        <rFont val="Calibri"/>
        <family val="2"/>
        <scheme val="minor"/>
      </rPr>
      <t xml:space="preserve"> ignore heating as assumed it will be done in situ and thus captured by onsite diesel use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</si>
</sst>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4" formatCode="_-&quot;$&quot;* #,##0.00_-;\-&quot;$&quot;* #,##0.00_-;_-&quot;$&quot;* &quot;-&quot;??_-;_-@_-"/>
    <numFmt numFmtId="43" formatCode="_-* #,##0.00_-;\-* #,##0.00_-;_-* &quot;-&quot;??_-;_-@_-"/>
    <numFmt numFmtId="164" formatCode="0.0"/>
    <numFmt numFmtId="165" formatCode="_-* #,##0_-;\-* #,##0_-;_-* &quot;-&quot;??_-;_-@_-"/>
    <numFmt numFmtId="166" formatCode="0.0%"/>
    <numFmt numFmtId="167" formatCode="0.00000"/>
    <numFmt numFmtId="168" formatCode="0.000"/>
    <numFmt numFmtId="169" formatCode="0.000%"/>
    <numFmt numFmtId="170" formatCode="0.0000%"/>
    <numFmt numFmtId="171" formatCode="0.0000000"/>
    <numFmt numFmtId="172" formatCode="#,##0.0"/>
    <numFmt numFmtId="173" formatCode="_-* #,##0.0000_-;\-* #,##0.0000_-;_-* &quot;-&quot;??_-;_-@_-"/>
    <numFmt numFmtId="174" formatCode="_(* #,##0_);_(*(#,##0\);_(* &quot;-&quot;??_);_(@_)"/>
    <numFmt numFmtId="175" formatCode="_(* #,##0.0_);_(*(#,##0.0\);_(* &quot;-&quot;??_);_(@_)"/>
    <numFmt numFmtId="176" formatCode="_(* #,##0.00_);_(*(#,##0.00\);_(* &quot;-&quot;??_);_(@_)"/>
    <numFmt numFmtId="177" formatCode="_-* #,##0.0_-;\-* #,##0.0_-;_-* &quot;-&quot;??_-;_-@_-"/>
    <numFmt numFmtId="178" formatCode="_-&quot;$&quot;* #,##0_-;\-&quot;$&quot;* #,##0_-;_-&quot;$&quot;* &quot;-&quot;??_-;_-@_-"/>
    <numFmt numFmtId="179" formatCode="_-* #,##0.00000_-;\-* #,##0.00000_-;_-* &quot;-&quot;??_-;_-@_-"/>
    <numFmt numFmtId="180" formatCode="_-* #,##0.000000_-;\-* #,##0.000000_-;_-* &quot;-&quot;??_-;_-@_-"/>
    <numFmt numFmtId="181" formatCode="_(* #\ ##0_);_(*(#,##0\);_(*&quot;\-_??_);_(@_)"/>
  </numFmts>
  <fonts count="36"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b/>
      <sz val="16"/>
      <color theme="1"/>
      <name val="Calibri"/>
      <family val="2"/>
      <scheme val="minor"/>
    </font>
    <font>
      <vertAlign val="subscript"/>
      <sz val="11"/>
      <color theme="1"/>
      <name val="Calibri"/>
      <family val="2"/>
      <scheme val="minor"/>
    </font>
    <font>
      <sz val="11"/>
      <color rgb="FFFF0000"/>
      <name val="Calibri"/>
      <family val="2"/>
      <scheme val="minor"/>
    </font>
    <font>
      <i/>
      <sz val="11"/>
      <color theme="1"/>
      <name val="Calibri"/>
      <family val="2"/>
      <scheme val="minor"/>
    </font>
    <font>
      <i/>
      <sz val="11"/>
      <color rgb="FF0070C0"/>
      <name val="Calibri"/>
      <family val="2"/>
      <scheme val="minor"/>
    </font>
    <font>
      <sz val="11"/>
      <name val="Calibri"/>
      <family val="2"/>
      <scheme val="minor"/>
    </font>
    <font>
      <vertAlign val="superscript"/>
      <sz val="11"/>
      <color theme="1"/>
      <name val="Calibri"/>
      <family val="2"/>
      <scheme val="minor"/>
    </font>
    <font>
      <u/>
      <sz val="11"/>
      <color theme="10"/>
      <name val="Calibri"/>
      <family val="2"/>
      <scheme val="minor"/>
    </font>
    <font>
      <sz val="10"/>
      <color indexed="8"/>
      <name val="Lucida Sans"/>
      <family val="2"/>
    </font>
    <font>
      <b/>
      <i/>
      <sz val="11"/>
      <color theme="1"/>
      <name val="Calibri"/>
      <family val="2"/>
      <scheme val="minor"/>
    </font>
    <font>
      <sz val="16"/>
      <color theme="1"/>
      <name val="Calibri"/>
      <family val="2"/>
      <scheme val="minor"/>
    </font>
    <font>
      <b/>
      <sz val="11"/>
      <name val="Calibri"/>
      <family val="2"/>
      <scheme val="minor"/>
    </font>
    <font>
      <i/>
      <vertAlign val="superscript"/>
      <sz val="11"/>
      <color theme="1"/>
      <name val="Calibri"/>
      <family val="2"/>
      <scheme val="minor"/>
    </font>
    <font>
      <sz val="11"/>
      <color theme="0"/>
      <name val="Calibri"/>
      <family val="2"/>
      <scheme val="minor"/>
    </font>
    <font>
      <sz val="11"/>
      <color rgb="FF023A5C"/>
      <name val="Calibri"/>
      <family val="2"/>
      <scheme val="minor"/>
    </font>
    <font>
      <i/>
      <sz val="11"/>
      <color rgb="FF023A5C"/>
      <name val="Calibri"/>
      <family val="2"/>
      <scheme val="minor"/>
    </font>
    <font>
      <i/>
      <sz val="11"/>
      <color theme="0"/>
      <name val="Calibri"/>
      <family val="2"/>
      <scheme val="minor"/>
    </font>
    <font>
      <i/>
      <u/>
      <sz val="12"/>
      <color rgb="FF023A5C"/>
      <name val="Calibri"/>
      <family val="2"/>
      <scheme val="minor"/>
    </font>
    <font>
      <i/>
      <u/>
      <sz val="11"/>
      <color rgb="FF023A5C"/>
      <name val="Calibri"/>
      <family val="2"/>
      <scheme val="minor"/>
    </font>
    <font>
      <i/>
      <sz val="11"/>
      <color rgb="FFC00000"/>
      <name val="Calibri"/>
      <family val="2"/>
      <scheme val="minor"/>
    </font>
    <font>
      <sz val="11"/>
      <color rgb="FF000000"/>
      <name val="Calibri"/>
      <family val="2"/>
      <scheme val="minor"/>
    </font>
    <font>
      <sz val="11"/>
      <color theme="0" tint="-4.9989318521683403E-2"/>
      <name val="Calibri"/>
      <family val="2"/>
      <scheme val="minor"/>
    </font>
    <font>
      <i/>
      <sz val="11"/>
      <name val="Calibri"/>
      <family val="2"/>
      <scheme val="minor"/>
    </font>
    <font>
      <i/>
      <vertAlign val="superscript"/>
      <sz val="11"/>
      <color rgb="FF023A5C"/>
      <name val="Calibri"/>
      <family val="2"/>
      <scheme val="minor"/>
    </font>
    <font>
      <b/>
      <sz val="11"/>
      <color theme="0"/>
      <name val="Calibri"/>
      <family val="2"/>
      <scheme val="minor"/>
    </font>
    <font>
      <b/>
      <i/>
      <u/>
      <sz val="11"/>
      <color rgb="FF023A5C"/>
      <name val="Calibri"/>
      <family val="2"/>
      <scheme val="minor"/>
    </font>
    <font>
      <sz val="8"/>
      <color theme="1"/>
      <name val="Segoe UI"/>
      <family val="2"/>
    </font>
    <font>
      <sz val="11"/>
      <color theme="1"/>
      <name val="Calibri"/>
      <family val="2"/>
    </font>
    <font>
      <b/>
      <sz val="11"/>
      <color theme="1"/>
      <name val="Calibri"/>
      <family val="2"/>
    </font>
    <font>
      <b/>
      <sz val="9"/>
      <color indexed="81"/>
      <name val="Tahoma"/>
      <family val="2"/>
    </font>
    <font>
      <sz val="9"/>
      <color indexed="81"/>
      <name val="Tahoma"/>
      <family val="2"/>
    </font>
    <font>
      <b/>
      <sz val="11"/>
      <color rgb="FF000000"/>
      <name val="Calibri"/>
      <family val="2"/>
      <scheme val="minor"/>
    </font>
  </fonts>
  <fills count="2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7"/>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EDEDED"/>
        <bgColor indexed="64"/>
      </patternFill>
    </fill>
    <fill>
      <patternFill patternType="solid">
        <fgColor theme="0"/>
        <bgColor indexed="64"/>
      </patternFill>
    </fill>
    <fill>
      <patternFill patternType="solid">
        <fgColor rgb="FFB1BA2B"/>
        <bgColor indexed="64"/>
      </patternFill>
    </fill>
    <fill>
      <patternFill patternType="solid">
        <fgColor rgb="FF023A5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9847407452621"/>
        <bgColor theme="0" tint="-0.14999847407452621"/>
      </patternFill>
    </fill>
    <fill>
      <patternFill patternType="solid">
        <fgColor rgb="FF00B05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70A0AF"/>
        <bgColor indexed="64"/>
      </patternFill>
    </fill>
    <fill>
      <patternFill patternType="solid">
        <fgColor rgb="FF70A0AF"/>
        <bgColor rgb="FF000000"/>
      </patternFill>
    </fill>
    <fill>
      <patternFill patternType="solid">
        <fgColor rgb="FF0070C0"/>
        <bgColor indexed="64"/>
      </patternFill>
    </fill>
    <fill>
      <patternFill patternType="solid">
        <fgColor theme="2" tint="-0.24997711111789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top/>
      <bottom style="thin">
        <color theme="1"/>
      </bottom>
      <diagonal/>
    </border>
    <border>
      <left/>
      <right style="thin">
        <color indexed="64"/>
      </right>
      <top style="thin">
        <color indexed="64"/>
      </top>
      <bottom style="thin">
        <color theme="0" tint="-0.249977111117893"/>
      </bottom>
      <diagonal/>
    </border>
    <border>
      <left/>
      <right/>
      <top style="thin">
        <color indexed="64"/>
      </top>
      <bottom style="thin">
        <color theme="0" tint="-0.249977111117893"/>
      </bottom>
      <diagonal/>
    </border>
    <border>
      <left/>
      <right style="thin">
        <color indexed="64"/>
      </right>
      <top style="thin">
        <color theme="0" tint="-0.249977111117893"/>
      </top>
      <bottom style="thin">
        <color theme="0" tint="-0.249977111117893"/>
      </bottom>
      <diagonal/>
    </border>
    <border>
      <left/>
      <right style="thin">
        <color indexed="64"/>
      </right>
      <top style="thin">
        <color theme="0" tint="-0.249977111117893"/>
      </top>
      <bottom style="thin">
        <color indexed="64"/>
      </bottom>
      <diagonal/>
    </border>
    <border>
      <left/>
      <right/>
      <top style="thin">
        <color theme="1"/>
      </top>
      <bottom/>
      <diagonal/>
    </border>
    <border>
      <left/>
      <right/>
      <top style="thin">
        <color rgb="FFFF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theme="0" tint="-0.249977111117893"/>
      </top>
      <bottom style="thin">
        <color theme="0" tint="-0.249977111117893"/>
      </bottom>
      <diagonal/>
    </border>
  </borders>
  <cellStyleXfs count="6">
    <xf numFmtId="0" fontId="0" fillId="0" borderId="0"/>
    <xf numFmtId="9"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0"/>
    <xf numFmtId="44" fontId="2" fillId="0" borderId="0" applyFont="0" applyFill="0" applyBorder="0" applyAlignment="0" applyProtection="0"/>
  </cellStyleXfs>
  <cellXfs count="677">
    <xf numFmtId="0" fontId="0" fillId="0" borderId="0" xfId="0"/>
    <xf numFmtId="11" fontId="0" fillId="0" borderId="0" xfId="0" applyNumberFormat="1"/>
    <xf numFmtId="0" fontId="0" fillId="0" borderId="0" xfId="0" applyAlignment="1">
      <alignment wrapText="1"/>
    </xf>
    <xf numFmtId="0" fontId="0" fillId="2" borderId="0" xfId="0" applyFill="1"/>
    <xf numFmtId="0" fontId="1" fillId="0" borderId="0" xfId="0" applyFont="1"/>
    <xf numFmtId="0" fontId="0" fillId="0" borderId="3" xfId="0" applyBorder="1"/>
    <xf numFmtId="0" fontId="0" fillId="0" borderId="4" xfId="0" applyBorder="1"/>
    <xf numFmtId="0" fontId="0" fillId="0" borderId="6" xfId="0" applyBorder="1"/>
    <xf numFmtId="0" fontId="0" fillId="0" borderId="5" xfId="0" applyBorder="1"/>
    <xf numFmtId="0" fontId="0" fillId="0" borderId="8" xfId="0" applyBorder="1"/>
    <xf numFmtId="0" fontId="1" fillId="0" borderId="0" xfId="0" applyFont="1" applyAlignment="1">
      <alignment wrapText="1"/>
    </xf>
    <xf numFmtId="0" fontId="0" fillId="0" borderId="13" xfId="0" applyBorder="1"/>
    <xf numFmtId="0" fontId="0" fillId="0" borderId="7" xfId="0" applyBorder="1" applyAlignment="1">
      <alignment wrapText="1"/>
    </xf>
    <xf numFmtId="0" fontId="0" fillId="0" borderId="13" xfId="0" applyBorder="1" applyAlignment="1">
      <alignment wrapText="1"/>
    </xf>
    <xf numFmtId="0" fontId="0" fillId="3" borderId="0" xfId="0" applyFill="1"/>
    <xf numFmtId="0" fontId="6" fillId="0" borderId="0" xfId="0" applyFont="1"/>
    <xf numFmtId="0" fontId="0" fillId="0" borderId="2" xfId="0" applyBorder="1"/>
    <xf numFmtId="0" fontId="0" fillId="0" borderId="7" xfId="0" applyBorder="1"/>
    <xf numFmtId="0" fontId="0" fillId="0" borderId="9" xfId="0" applyBorder="1"/>
    <xf numFmtId="0" fontId="7" fillId="0" borderId="0" xfId="0" applyFont="1"/>
    <xf numFmtId="164" fontId="0" fillId="0" borderId="0" xfId="0" applyNumberFormat="1"/>
    <xf numFmtId="9" fontId="0" fillId="0" borderId="0" xfId="1" applyFont="1" applyBorder="1"/>
    <xf numFmtId="0" fontId="8" fillId="0" borderId="0" xfId="0" applyFont="1"/>
    <xf numFmtId="0" fontId="0" fillId="0" borderId="0" xfId="0" quotePrefix="1"/>
    <xf numFmtId="0" fontId="0" fillId="0" borderId="0" xfId="0" applyAlignment="1">
      <alignment horizontal="right"/>
    </xf>
    <xf numFmtId="166" fontId="0" fillId="0" borderId="0" xfId="0" applyNumberFormat="1"/>
    <xf numFmtId="0" fontId="0" fillId="5" borderId="0" xfId="0" applyFill="1"/>
    <xf numFmtId="0" fontId="0" fillId="6" borderId="0" xfId="0" applyFill="1"/>
    <xf numFmtId="0" fontId="0" fillId="7" borderId="0" xfId="0" applyFill="1"/>
    <xf numFmtId="1" fontId="0" fillId="0" borderId="3" xfId="1" applyNumberFormat="1" applyFont="1" applyBorder="1"/>
    <xf numFmtId="0" fontId="0" fillId="0" borderId="3" xfId="1" applyNumberFormat="1" applyFont="1" applyBorder="1"/>
    <xf numFmtId="2" fontId="0" fillId="0" borderId="0" xfId="0" applyNumberFormat="1"/>
    <xf numFmtId="166" fontId="0" fillId="0" borderId="8" xfId="0" applyNumberFormat="1" applyBorder="1"/>
    <xf numFmtId="0" fontId="0" fillId="0" borderId="14" xfId="0" applyBorder="1" applyAlignment="1">
      <alignment wrapText="1"/>
    </xf>
    <xf numFmtId="0" fontId="9" fillId="0" borderId="0" xfId="0" applyFont="1"/>
    <xf numFmtId="168" fontId="0" fillId="0" borderId="0" xfId="0" applyNumberFormat="1"/>
    <xf numFmtId="9" fontId="0" fillId="0" borderId="0" xfId="1" applyFont="1"/>
    <xf numFmtId="0" fontId="0" fillId="0" borderId="0" xfId="1" applyNumberFormat="1" applyFont="1"/>
    <xf numFmtId="10" fontId="0" fillId="0" borderId="0" xfId="1" applyNumberFormat="1" applyFont="1" applyBorder="1"/>
    <xf numFmtId="169" fontId="0" fillId="0" borderId="0" xfId="1" applyNumberFormat="1" applyFont="1" applyBorder="1"/>
    <xf numFmtId="170" fontId="0" fillId="0" borderId="0" xfId="1" applyNumberFormat="1" applyFont="1" applyBorder="1"/>
    <xf numFmtId="9" fontId="0" fillId="0" borderId="8" xfId="1" applyFont="1" applyBorder="1"/>
    <xf numFmtId="170" fontId="0" fillId="0" borderId="8" xfId="1" applyNumberFormat="1" applyFont="1" applyBorder="1"/>
    <xf numFmtId="2" fontId="0" fillId="0" borderId="8" xfId="0" applyNumberFormat="1" applyBorder="1"/>
    <xf numFmtId="0" fontId="1" fillId="2" borderId="0" xfId="0" applyFont="1" applyFill="1"/>
    <xf numFmtId="0" fontId="11" fillId="0" borderId="6" xfId="3" applyBorder="1"/>
    <xf numFmtId="0" fontId="0" fillId="0" borderId="9" xfId="0" applyBorder="1" applyAlignment="1">
      <alignment horizontal="right"/>
    </xf>
    <xf numFmtId="165" fontId="0" fillId="8" borderId="4" xfId="2" applyNumberFormat="1" applyFont="1" applyFill="1" applyBorder="1"/>
    <xf numFmtId="165" fontId="0" fillId="8" borderId="6" xfId="2" applyNumberFormat="1" applyFont="1" applyFill="1" applyBorder="1"/>
    <xf numFmtId="165" fontId="0" fillId="8" borderId="9" xfId="2" applyNumberFormat="1" applyFont="1" applyFill="1" applyBorder="1"/>
    <xf numFmtId="0" fontId="0" fillId="9" borderId="0" xfId="0" applyFill="1"/>
    <xf numFmtId="165" fontId="0" fillId="0" borderId="0" xfId="0" applyNumberFormat="1"/>
    <xf numFmtId="0" fontId="0" fillId="0" borderId="16" xfId="0" applyBorder="1" applyAlignment="1">
      <alignment wrapText="1"/>
    </xf>
    <xf numFmtId="0" fontId="0" fillId="0" borderId="1" xfId="0" applyBorder="1" applyAlignment="1">
      <alignment wrapText="1"/>
    </xf>
    <xf numFmtId="9" fontId="0" fillId="0" borderId="2" xfId="1" applyFont="1" applyBorder="1"/>
    <xf numFmtId="9" fontId="0" fillId="0" borderId="5" xfId="1" applyFont="1" applyBorder="1"/>
    <xf numFmtId="9" fontId="0" fillId="0" borderId="7" xfId="1" applyFont="1" applyBorder="1"/>
    <xf numFmtId="167" fontId="0" fillId="0" borderId="15" xfId="0" applyNumberFormat="1" applyBorder="1"/>
    <xf numFmtId="167" fontId="0" fillId="0" borderId="13" xfId="0" applyNumberFormat="1" applyBorder="1"/>
    <xf numFmtId="167" fontId="0" fillId="0" borderId="14" xfId="0" applyNumberFormat="1" applyBorder="1"/>
    <xf numFmtId="164" fontId="0" fillId="0" borderId="15" xfId="0" applyNumberFormat="1" applyBorder="1"/>
    <xf numFmtId="164" fontId="0" fillId="0" borderId="13" xfId="0" applyNumberFormat="1" applyBorder="1"/>
    <xf numFmtId="164" fontId="0" fillId="0" borderId="2" xfId="0" applyNumberFormat="1" applyBorder="1"/>
    <xf numFmtId="164" fontId="0" fillId="0" borderId="5" xfId="0" applyNumberFormat="1" applyBorder="1"/>
    <xf numFmtId="164" fontId="0" fillId="0" borderId="7" xfId="0" applyNumberFormat="1" applyBorder="1"/>
    <xf numFmtId="43" fontId="0" fillId="0" borderId="0" xfId="0" applyNumberFormat="1"/>
    <xf numFmtId="0" fontId="14" fillId="3" borderId="0" xfId="0" applyFont="1" applyFill="1"/>
    <xf numFmtId="0" fontId="0" fillId="0" borderId="8" xfId="0" applyBorder="1" applyAlignment="1">
      <alignment wrapText="1"/>
    </xf>
    <xf numFmtId="0" fontId="0" fillId="0" borderId="9" xfId="0" applyBorder="1" applyAlignment="1">
      <alignment wrapText="1"/>
    </xf>
    <xf numFmtId="43" fontId="0" fillId="0" borderId="5" xfId="0" applyNumberFormat="1" applyBorder="1"/>
    <xf numFmtId="43" fontId="0" fillId="0" borderId="7" xfId="0" applyNumberFormat="1" applyBorder="1"/>
    <xf numFmtId="43" fontId="0" fillId="0" borderId="9" xfId="0" applyNumberFormat="1" applyBorder="1"/>
    <xf numFmtId="173" fontId="0" fillId="0" borderId="4" xfId="2" applyNumberFormat="1" applyFont="1" applyBorder="1"/>
    <xf numFmtId="173" fontId="0" fillId="0" borderId="6" xfId="0" applyNumberFormat="1" applyBorder="1"/>
    <xf numFmtId="173" fontId="0" fillId="0" borderId="9" xfId="0" applyNumberFormat="1" applyBorder="1"/>
    <xf numFmtId="173" fontId="0" fillId="0" borderId="9" xfId="2" applyNumberFormat="1" applyFont="1" applyBorder="1"/>
    <xf numFmtId="173" fontId="0" fillId="0" borderId="0" xfId="2" applyNumberFormat="1" applyFont="1" applyBorder="1"/>
    <xf numFmtId="173" fontId="0" fillId="0" borderId="15" xfId="2" applyNumberFormat="1" applyFont="1" applyBorder="1"/>
    <xf numFmtId="166" fontId="0" fillId="0" borderId="13" xfId="1" applyNumberFormat="1" applyFont="1" applyBorder="1"/>
    <xf numFmtId="165" fontId="7" fillId="8" borderId="11" xfId="2" applyNumberFormat="1" applyFont="1" applyFill="1" applyBorder="1"/>
    <xf numFmtId="165" fontId="7" fillId="8" borderId="12" xfId="2" applyNumberFormat="1" applyFont="1" applyFill="1" applyBorder="1"/>
    <xf numFmtId="165" fontId="9" fillId="8" borderId="8" xfId="2" applyNumberFormat="1" applyFont="1" applyFill="1" applyBorder="1"/>
    <xf numFmtId="165" fontId="9" fillId="8" borderId="9" xfId="2" applyNumberFormat="1" applyFont="1" applyFill="1" applyBorder="1"/>
    <xf numFmtId="165" fontId="7" fillId="8" borderId="0" xfId="2" applyNumberFormat="1" applyFont="1" applyFill="1" applyBorder="1"/>
    <xf numFmtId="165" fontId="7" fillId="8" borderId="6" xfId="2" applyNumberFormat="1" applyFont="1" applyFill="1" applyBorder="1"/>
    <xf numFmtId="165" fontId="7" fillId="8" borderId="8" xfId="2" applyNumberFormat="1" applyFont="1" applyFill="1" applyBorder="1"/>
    <xf numFmtId="165" fontId="7" fillId="8" borderId="9" xfId="2" applyNumberFormat="1" applyFont="1" applyFill="1" applyBorder="1"/>
    <xf numFmtId="165" fontId="0" fillId="8" borderId="0" xfId="2" applyNumberFormat="1" applyFont="1" applyFill="1" applyBorder="1"/>
    <xf numFmtId="165" fontId="0" fillId="8" borderId="0" xfId="2" quotePrefix="1" applyNumberFormat="1" applyFont="1" applyFill="1" applyBorder="1"/>
    <xf numFmtId="165" fontId="0" fillId="8" borderId="3" xfId="2" applyNumberFormat="1" applyFont="1" applyFill="1" applyBorder="1"/>
    <xf numFmtId="165" fontId="0" fillId="8" borderId="8" xfId="2" applyNumberFormat="1" applyFont="1" applyFill="1" applyBorder="1"/>
    <xf numFmtId="166" fontId="0" fillId="0" borderId="0" xfId="1" applyNumberFormat="1" applyFont="1" applyBorder="1"/>
    <xf numFmtId="0" fontId="0" fillId="0" borderId="0" xfId="1" applyNumberFormat="1" applyFont="1" applyBorder="1"/>
    <xf numFmtId="171" fontId="0" fillId="0" borderId="0" xfId="1" applyNumberFormat="1" applyFont="1" applyBorder="1"/>
    <xf numFmtId="0" fontId="1" fillId="0" borderId="0" xfId="1" applyNumberFormat="1" applyFont="1" applyBorder="1"/>
    <xf numFmtId="0" fontId="0" fillId="10" borderId="2" xfId="0" applyFill="1" applyBorder="1"/>
    <xf numFmtId="0" fontId="0" fillId="10" borderId="7" xfId="0" applyFill="1" applyBorder="1"/>
    <xf numFmtId="0" fontId="6" fillId="9" borderId="0" xfId="0" applyFont="1" applyFill="1"/>
    <xf numFmtId="0" fontId="1" fillId="9" borderId="0" xfId="0" applyFont="1" applyFill="1"/>
    <xf numFmtId="0" fontId="8" fillId="9" borderId="0" xfId="0" applyFont="1" applyFill="1"/>
    <xf numFmtId="0" fontId="0" fillId="9" borderId="0" xfId="0" quotePrefix="1" applyFill="1"/>
    <xf numFmtId="0" fontId="17" fillId="11" borderId="0" xfId="0" applyFont="1" applyFill="1"/>
    <xf numFmtId="0" fontId="0" fillId="10" borderId="5" xfId="0" applyFill="1" applyBorder="1"/>
    <xf numFmtId="0" fontId="17" fillId="11" borderId="6" xfId="0" applyFont="1" applyFill="1" applyBorder="1"/>
    <xf numFmtId="0" fontId="0" fillId="10" borderId="2" xfId="0" applyFill="1" applyBorder="1" applyAlignment="1">
      <alignment wrapText="1"/>
    </xf>
    <xf numFmtId="0" fontId="0" fillId="10" borderId="5" xfId="0" applyFill="1" applyBorder="1" applyAlignment="1">
      <alignment wrapText="1"/>
    </xf>
    <xf numFmtId="0" fontId="7" fillId="10" borderId="5" xfId="0" applyFont="1" applyFill="1" applyBorder="1" applyAlignment="1">
      <alignment wrapText="1"/>
    </xf>
    <xf numFmtId="0" fontId="7" fillId="10" borderId="5" xfId="0" applyFont="1" applyFill="1" applyBorder="1"/>
    <xf numFmtId="0" fontId="19" fillId="9" borderId="0" xfId="0" applyFont="1" applyFill="1"/>
    <xf numFmtId="0" fontId="17" fillId="9" borderId="0" xfId="0" applyFont="1" applyFill="1"/>
    <xf numFmtId="0" fontId="20" fillId="9" borderId="0" xfId="0" applyFont="1" applyFill="1"/>
    <xf numFmtId="0" fontId="17" fillId="9" borderId="0" xfId="0" quotePrefix="1" applyFont="1" applyFill="1"/>
    <xf numFmtId="9" fontId="20" fillId="9" borderId="0" xfId="1" quotePrefix="1" applyFont="1" applyFill="1" applyBorder="1"/>
    <xf numFmtId="0" fontId="20" fillId="9" borderId="0" xfId="0" applyFont="1" applyFill="1" applyAlignment="1">
      <alignment wrapText="1"/>
    </xf>
    <xf numFmtId="0" fontId="0" fillId="10" borderId="7" xfId="0" applyFill="1" applyBorder="1" applyAlignment="1">
      <alignment wrapText="1"/>
    </xf>
    <xf numFmtId="0" fontId="0" fillId="10" borderId="0" xfId="0" applyFill="1"/>
    <xf numFmtId="0" fontId="0" fillId="10" borderId="10" xfId="0" applyFill="1" applyBorder="1" applyAlignment="1">
      <alignment wrapText="1"/>
    </xf>
    <xf numFmtId="0" fontId="19" fillId="0" borderId="0" xfId="0" applyFont="1"/>
    <xf numFmtId="0" fontId="1" fillId="12" borderId="2" xfId="0" applyFont="1" applyFill="1" applyBorder="1"/>
    <xf numFmtId="0" fontId="0" fillId="12" borderId="4" xfId="0" quotePrefix="1" applyFill="1" applyBorder="1"/>
    <xf numFmtId="0" fontId="1" fillId="12" borderId="4" xfId="0" applyFont="1" applyFill="1" applyBorder="1"/>
    <xf numFmtId="0" fontId="17" fillId="12" borderId="4" xfId="0" applyFont="1" applyFill="1" applyBorder="1"/>
    <xf numFmtId="0" fontId="17" fillId="11" borderId="5" xfId="0" applyFont="1" applyFill="1" applyBorder="1"/>
    <xf numFmtId="0" fontId="13" fillId="9" borderId="0" xfId="0" applyFont="1" applyFill="1"/>
    <xf numFmtId="0" fontId="18" fillId="9" borderId="0" xfId="0" applyFont="1" applyFill="1"/>
    <xf numFmtId="0" fontId="7" fillId="9" borderId="0" xfId="0" applyFont="1" applyFill="1"/>
    <xf numFmtId="0" fontId="1" fillId="9" borderId="0" xfId="0" applyFont="1" applyFill="1" applyAlignment="1">
      <alignment wrapText="1"/>
    </xf>
    <xf numFmtId="3" fontId="0" fillId="9" borderId="0" xfId="0" applyNumberFormat="1" applyFill="1"/>
    <xf numFmtId="0" fontId="0" fillId="9" borderId="8" xfId="0" applyFill="1" applyBorder="1"/>
    <xf numFmtId="0" fontId="0" fillId="9" borderId="6" xfId="0" applyFill="1" applyBorder="1"/>
    <xf numFmtId="172" fontId="1" fillId="9" borderId="0" xfId="0" applyNumberFormat="1" applyFont="1" applyFill="1"/>
    <xf numFmtId="0" fontId="0" fillId="9" borderId="5" xfId="0" applyFill="1" applyBorder="1"/>
    <xf numFmtId="0" fontId="4" fillId="12" borderId="8" xfId="0" applyFont="1" applyFill="1" applyBorder="1"/>
    <xf numFmtId="0" fontId="0" fillId="12" borderId="8" xfId="0" applyFill="1" applyBorder="1"/>
    <xf numFmtId="0" fontId="4" fillId="12" borderId="10" xfId="0" applyFont="1" applyFill="1" applyBorder="1"/>
    <xf numFmtId="0" fontId="0" fillId="12" borderId="11" xfId="0" applyFill="1" applyBorder="1"/>
    <xf numFmtId="0" fontId="1" fillId="12" borderId="0" xfId="0" applyFont="1" applyFill="1" applyAlignment="1">
      <alignment wrapText="1"/>
    </xf>
    <xf numFmtId="0" fontId="1" fillId="12" borderId="0" xfId="0" applyFont="1" applyFill="1" applyAlignment="1">
      <alignment horizontal="right" wrapText="1"/>
    </xf>
    <xf numFmtId="0" fontId="0" fillId="12" borderId="2" xfId="0" applyFill="1" applyBorder="1"/>
    <xf numFmtId="0" fontId="0" fillId="12" borderId="4" xfId="0" applyFill="1" applyBorder="1"/>
    <xf numFmtId="0" fontId="1" fillId="13" borderId="10" xfId="0" applyFont="1" applyFill="1" applyBorder="1" applyAlignment="1">
      <alignment wrapText="1"/>
    </xf>
    <xf numFmtId="0" fontId="1" fillId="13" borderId="11" xfId="0" applyFont="1" applyFill="1" applyBorder="1"/>
    <xf numFmtId="0" fontId="1" fillId="13" borderId="2" xfId="0" applyFont="1" applyFill="1" applyBorder="1"/>
    <xf numFmtId="0" fontId="0" fillId="13" borderId="3" xfId="0" applyFill="1" applyBorder="1" applyAlignment="1">
      <alignment wrapText="1"/>
    </xf>
    <xf numFmtId="0" fontId="0" fillId="13" borderId="2" xfId="0" applyFill="1" applyBorder="1" applyAlignment="1">
      <alignment wrapText="1"/>
    </xf>
    <xf numFmtId="0" fontId="0" fillId="4" borderId="5" xfId="0" applyFill="1" applyBorder="1"/>
    <xf numFmtId="0" fontId="13" fillId="13" borderId="2" xfId="0" applyFont="1" applyFill="1" applyBorder="1"/>
    <xf numFmtId="0" fontId="1" fillId="12" borderId="10" xfId="0" applyFont="1" applyFill="1" applyBorder="1" applyAlignment="1">
      <alignment wrapText="1"/>
    </xf>
    <xf numFmtId="0" fontId="21" fillId="0" borderId="0" xfId="0" applyFont="1"/>
    <xf numFmtId="0" fontId="0" fillId="13" borderId="0" xfId="0" applyFill="1" applyAlignment="1">
      <alignment wrapText="1"/>
    </xf>
    <xf numFmtId="0" fontId="0" fillId="13" borderId="4" xfId="0" applyFill="1" applyBorder="1" applyAlignment="1">
      <alignment wrapText="1"/>
    </xf>
    <xf numFmtId="0" fontId="0" fillId="13" borderId="6" xfId="0" applyFill="1" applyBorder="1" applyAlignment="1">
      <alignment wrapText="1"/>
    </xf>
    <xf numFmtId="164" fontId="0" fillId="13" borderId="0" xfId="0" quotePrefix="1" applyNumberFormat="1" applyFill="1"/>
    <xf numFmtId="164" fontId="0" fillId="13" borderId="0" xfId="0" applyNumberFormat="1" applyFill="1"/>
    <xf numFmtId="164" fontId="0" fillId="13" borderId="6" xfId="0" applyNumberFormat="1" applyFill="1" applyBorder="1"/>
    <xf numFmtId="0" fontId="0" fillId="14" borderId="0" xfId="0" applyFill="1"/>
    <xf numFmtId="164" fontId="0" fillId="8" borderId="10" xfId="0" applyNumberFormat="1" applyFill="1" applyBorder="1"/>
    <xf numFmtId="164" fontId="0" fillId="8" borderId="7" xfId="0" applyNumberFormat="1" applyFill="1" applyBorder="1"/>
    <xf numFmtId="0" fontId="0" fillId="8" borderId="5" xfId="0" applyFill="1" applyBorder="1"/>
    <xf numFmtId="0" fontId="0" fillId="8" borderId="7" xfId="0" applyFill="1" applyBorder="1"/>
    <xf numFmtId="0" fontId="0" fillId="8" borderId="2" xfId="0" applyFill="1" applyBorder="1"/>
    <xf numFmtId="177" fontId="0" fillId="10" borderId="0" xfId="0" applyNumberFormat="1" applyFill="1"/>
    <xf numFmtId="177" fontId="0" fillId="10" borderId="6" xfId="0" applyNumberFormat="1" applyFill="1" applyBorder="1"/>
    <xf numFmtId="0" fontId="22" fillId="9" borderId="0" xfId="0" applyFont="1" applyFill="1"/>
    <xf numFmtId="165" fontId="0" fillId="14" borderId="3" xfId="2" applyNumberFormat="1" applyFont="1" applyFill="1" applyBorder="1"/>
    <xf numFmtId="165" fontId="0" fillId="14" borderId="0" xfId="2" applyNumberFormat="1" applyFont="1" applyFill="1" applyBorder="1"/>
    <xf numFmtId="165" fontId="0" fillId="0" borderId="0" xfId="2" applyNumberFormat="1" applyFont="1" applyBorder="1"/>
    <xf numFmtId="0" fontId="1" fillId="0" borderId="17" xfId="0" applyFont="1" applyBorder="1" applyAlignment="1">
      <alignment wrapText="1"/>
    </xf>
    <xf numFmtId="0" fontId="0" fillId="13" borderId="7" xfId="0" applyFill="1" applyBorder="1"/>
    <xf numFmtId="0" fontId="0" fillId="13" borderId="5" xfId="0" applyFill="1" applyBorder="1"/>
    <xf numFmtId="0" fontId="7" fillId="13" borderId="7" xfId="0" applyFont="1" applyFill="1" applyBorder="1"/>
    <xf numFmtId="0" fontId="1" fillId="13" borderId="11" xfId="0" applyFont="1" applyFill="1" applyBorder="1" applyAlignment="1">
      <alignment wrapText="1"/>
    </xf>
    <xf numFmtId="0" fontId="1" fillId="13" borderId="12" xfId="0" applyFont="1" applyFill="1" applyBorder="1" applyAlignment="1">
      <alignment wrapText="1"/>
    </xf>
    <xf numFmtId="0" fontId="1" fillId="13" borderId="3" xfId="0" applyFont="1" applyFill="1" applyBorder="1" applyAlignment="1">
      <alignment wrapText="1"/>
    </xf>
    <xf numFmtId="0" fontId="1" fillId="13" borderId="4" xfId="0" applyFont="1" applyFill="1" applyBorder="1" applyAlignment="1">
      <alignment wrapText="1"/>
    </xf>
    <xf numFmtId="0" fontId="0" fillId="13" borderId="0" xfId="0" applyFill="1"/>
    <xf numFmtId="11" fontId="0" fillId="13" borderId="0" xfId="0" applyNumberFormat="1" applyFill="1"/>
    <xf numFmtId="0" fontId="0" fillId="13" borderId="8" xfId="0" applyFill="1" applyBorder="1"/>
    <xf numFmtId="11" fontId="0" fillId="0" borderId="0" xfId="0" quotePrefix="1" applyNumberFormat="1"/>
    <xf numFmtId="11" fontId="0" fillId="0" borderId="8" xfId="0" quotePrefix="1" applyNumberFormat="1" applyBorder="1"/>
    <xf numFmtId="174" fontId="0" fillId="9" borderId="0" xfId="0" applyNumberFormat="1" applyFill="1"/>
    <xf numFmtId="0" fontId="23" fillId="9" borderId="0" xfId="0" applyFont="1" applyFill="1"/>
    <xf numFmtId="0" fontId="0" fillId="12" borderId="12" xfId="0" applyFill="1" applyBorder="1"/>
    <xf numFmtId="0" fontId="0" fillId="9" borderId="9" xfId="0" applyFill="1" applyBorder="1"/>
    <xf numFmtId="167" fontId="0" fillId="10" borderId="8" xfId="0" applyNumberFormat="1" applyFill="1" applyBorder="1"/>
    <xf numFmtId="0" fontId="7" fillId="10" borderId="2" xfId="0" applyFont="1" applyFill="1" applyBorder="1" applyAlignment="1">
      <alignment wrapText="1"/>
    </xf>
    <xf numFmtId="0" fontId="6" fillId="10" borderId="8" xfId="0" applyFont="1" applyFill="1" applyBorder="1"/>
    <xf numFmtId="0" fontId="20" fillId="10" borderId="9" xfId="0" applyFont="1" applyFill="1" applyBorder="1"/>
    <xf numFmtId="0" fontId="1" fillId="12" borderId="10" xfId="0" applyFont="1" applyFill="1" applyBorder="1"/>
    <xf numFmtId="0" fontId="15" fillId="12" borderId="11" xfId="0" applyFont="1" applyFill="1" applyBorder="1"/>
    <xf numFmtId="0" fontId="0" fillId="9" borderId="0" xfId="0" applyFill="1" applyAlignment="1">
      <alignment horizontal="left" wrapText="1"/>
    </xf>
    <xf numFmtId="0" fontId="0" fillId="10" borderId="5" xfId="0" applyFill="1" applyBorder="1" applyAlignment="1">
      <alignment horizontal="left" indent="1"/>
    </xf>
    <xf numFmtId="0" fontId="1" fillId="12" borderId="3" xfId="0" applyFont="1" applyFill="1" applyBorder="1"/>
    <xf numFmtId="0" fontId="0" fillId="16" borderId="0" xfId="0" applyFill="1"/>
    <xf numFmtId="11" fontId="0" fillId="16" borderId="0" xfId="0" applyNumberFormat="1" applyFill="1"/>
    <xf numFmtId="0" fontId="13" fillId="13" borderId="2" xfId="0" applyFont="1" applyFill="1" applyBorder="1" applyAlignment="1">
      <alignment wrapText="1"/>
    </xf>
    <xf numFmtId="174" fontId="0" fillId="8" borderId="6" xfId="0" applyNumberFormat="1" applyFill="1" applyBorder="1"/>
    <xf numFmtId="165" fontId="7" fillId="8" borderId="3" xfId="2" applyNumberFormat="1" applyFont="1" applyFill="1" applyBorder="1"/>
    <xf numFmtId="165" fontId="7" fillId="8" borderId="4" xfId="2" applyNumberFormat="1" applyFont="1" applyFill="1" applyBorder="1"/>
    <xf numFmtId="164" fontId="0" fillId="8" borderId="2" xfId="0" applyNumberFormat="1" applyFill="1" applyBorder="1"/>
    <xf numFmtId="177" fontId="1" fillId="10" borderId="11" xfId="0" applyNumberFormat="1" applyFont="1" applyFill="1" applyBorder="1"/>
    <xf numFmtId="177" fontId="1" fillId="10" borderId="12" xfId="0" applyNumberFormat="1" applyFont="1" applyFill="1" applyBorder="1"/>
    <xf numFmtId="0" fontId="1" fillId="10" borderId="10" xfId="0" applyFont="1" applyFill="1" applyBorder="1" applyAlignment="1">
      <alignment horizontal="right"/>
    </xf>
    <xf numFmtId="0" fontId="19" fillId="9" borderId="10" xfId="0" applyFont="1" applyFill="1" applyBorder="1"/>
    <xf numFmtId="0" fontId="19" fillId="9" borderId="11" xfId="0" applyFont="1" applyFill="1" applyBorder="1"/>
    <xf numFmtId="0" fontId="19" fillId="9" borderId="2" xfId="0" applyFont="1" applyFill="1" applyBorder="1"/>
    <xf numFmtId="0" fontId="19" fillId="9" borderId="5" xfId="0" applyFont="1" applyFill="1" applyBorder="1"/>
    <xf numFmtId="0" fontId="19" fillId="9" borderId="7" xfId="0" applyFont="1" applyFill="1" applyBorder="1"/>
    <xf numFmtId="0" fontId="24" fillId="0" borderId="0" xfId="0" applyFont="1"/>
    <xf numFmtId="11" fontId="24" fillId="0" borderId="0" xfId="0" applyNumberFormat="1" applyFont="1"/>
    <xf numFmtId="0" fontId="0" fillId="10" borderId="10" xfId="0" applyFill="1" applyBorder="1"/>
    <xf numFmtId="0" fontId="25" fillId="17" borderId="5" xfId="0" applyFont="1" applyFill="1" applyBorder="1"/>
    <xf numFmtId="11" fontId="0" fillId="0" borderId="6" xfId="0" applyNumberFormat="1" applyBorder="1"/>
    <xf numFmtId="0" fontId="7" fillId="8" borderId="5" xfId="0" applyFont="1" applyFill="1" applyBorder="1" applyAlignment="1">
      <alignment horizontal="left" indent="1"/>
    </xf>
    <xf numFmtId="165" fontId="7" fillId="8" borderId="0" xfId="2" applyNumberFormat="1" applyFont="1" applyFill="1" applyBorder="1" applyAlignment="1"/>
    <xf numFmtId="165" fontId="7" fillId="8" borderId="0" xfId="2" quotePrefix="1" applyNumberFormat="1" applyFont="1" applyFill="1" applyBorder="1"/>
    <xf numFmtId="174" fontId="7" fillId="8" borderId="6" xfId="0" applyNumberFormat="1" applyFont="1" applyFill="1" applyBorder="1"/>
    <xf numFmtId="0" fontId="4" fillId="13" borderId="8" xfId="0" applyFont="1" applyFill="1" applyBorder="1"/>
    <xf numFmtId="0" fontId="7" fillId="8" borderId="7" xfId="0" applyFont="1" applyFill="1" applyBorder="1" applyAlignment="1">
      <alignment horizontal="left" indent="1"/>
    </xf>
    <xf numFmtId="0" fontId="7" fillId="8" borderId="2" xfId="0" applyFont="1" applyFill="1" applyBorder="1" applyAlignment="1">
      <alignment horizontal="left" indent="1"/>
    </xf>
    <xf numFmtId="0" fontId="1" fillId="12" borderId="5" xfId="0" applyFont="1" applyFill="1" applyBorder="1"/>
    <xf numFmtId="0" fontId="1" fillId="12" borderId="0" xfId="0" applyFont="1" applyFill="1"/>
    <xf numFmtId="0" fontId="7" fillId="13" borderId="2" xfId="0" applyFont="1" applyFill="1" applyBorder="1"/>
    <xf numFmtId="0" fontId="9" fillId="9" borderId="0" xfId="0" applyFont="1" applyFill="1"/>
    <xf numFmtId="0" fontId="26" fillId="9" borderId="0" xfId="0" applyFont="1" applyFill="1"/>
    <xf numFmtId="0" fontId="7" fillId="10" borderId="7" xfId="0" applyFont="1" applyFill="1" applyBorder="1" applyAlignment="1">
      <alignment wrapText="1"/>
    </xf>
    <xf numFmtId="2" fontId="0" fillId="9" borderId="0" xfId="0" applyNumberFormat="1" applyFill="1"/>
    <xf numFmtId="0" fontId="0" fillId="13" borderId="2" xfId="0" applyFill="1" applyBorder="1"/>
    <xf numFmtId="165" fontId="0" fillId="0" borderId="3" xfId="2" applyNumberFormat="1" applyFont="1" applyBorder="1"/>
    <xf numFmtId="166" fontId="0" fillId="0" borderId="8" xfId="1" applyNumberFormat="1" applyFont="1" applyBorder="1"/>
    <xf numFmtId="165" fontId="0" fillId="0" borderId="4" xfId="2" applyNumberFormat="1" applyFont="1" applyBorder="1"/>
    <xf numFmtId="165" fontId="0" fillId="0" borderId="6" xfId="2" applyNumberFormat="1" applyFont="1" applyBorder="1"/>
    <xf numFmtId="166" fontId="0" fillId="0" borderId="9" xfId="1" applyNumberFormat="1" applyFont="1" applyBorder="1"/>
    <xf numFmtId="11" fontId="0" fillId="13" borderId="5" xfId="0" applyNumberFormat="1" applyFill="1" applyBorder="1" applyAlignment="1">
      <alignment wrapText="1"/>
    </xf>
    <xf numFmtId="0" fontId="0" fillId="13" borderId="5" xfId="0" applyFill="1" applyBorder="1" applyAlignment="1">
      <alignment wrapText="1"/>
    </xf>
    <xf numFmtId="0" fontId="0" fillId="13" borderId="7" xfId="0" applyFill="1" applyBorder="1" applyAlignment="1">
      <alignment wrapText="1"/>
    </xf>
    <xf numFmtId="0" fontId="1" fillId="12" borderId="7" xfId="0" applyFont="1" applyFill="1" applyBorder="1"/>
    <xf numFmtId="0" fontId="1" fillId="12" borderId="8" xfId="0" applyFont="1" applyFill="1" applyBorder="1"/>
    <xf numFmtId="0" fontId="1" fillId="12" borderId="9" xfId="0" applyFont="1" applyFill="1" applyBorder="1"/>
    <xf numFmtId="165" fontId="2" fillId="8" borderId="0" xfId="2" applyNumberFormat="1" applyFont="1" applyFill="1" applyBorder="1"/>
    <xf numFmtId="0" fontId="0" fillId="0" borderId="17" xfId="0" applyBorder="1"/>
    <xf numFmtId="0" fontId="0" fillId="14" borderId="22" xfId="0" applyFill="1" applyBorder="1"/>
    <xf numFmtId="165" fontId="0" fillId="14" borderId="22" xfId="2" applyNumberFormat="1" applyFont="1" applyFill="1" applyBorder="1"/>
    <xf numFmtId="165" fontId="9" fillId="14" borderId="22" xfId="2" applyNumberFormat="1" applyFont="1" applyFill="1" applyBorder="1"/>
    <xf numFmtId="11" fontId="0" fillId="14" borderId="22" xfId="2" applyNumberFormat="1" applyFont="1" applyFill="1" applyBorder="1"/>
    <xf numFmtId="11" fontId="9" fillId="14" borderId="22" xfId="2" applyNumberFormat="1" applyFont="1" applyFill="1" applyBorder="1"/>
    <xf numFmtId="165" fontId="0" fillId="0" borderId="5" xfId="2" applyNumberFormat="1" applyFont="1" applyBorder="1"/>
    <xf numFmtId="165" fontId="9" fillId="0" borderId="0" xfId="2" applyNumberFormat="1" applyFont="1" applyBorder="1"/>
    <xf numFmtId="11" fontId="0" fillId="0" borderId="0" xfId="2" applyNumberFormat="1" applyFont="1" applyBorder="1"/>
    <xf numFmtId="11" fontId="9" fillId="0" borderId="0" xfId="2" applyNumberFormat="1" applyFont="1" applyBorder="1"/>
    <xf numFmtId="164" fontId="0" fillId="14" borderId="0" xfId="0" applyNumberFormat="1" applyFill="1"/>
    <xf numFmtId="165" fontId="9" fillId="14" borderId="0" xfId="2" applyNumberFormat="1" applyFont="1" applyFill="1" applyBorder="1"/>
    <xf numFmtId="11" fontId="0" fillId="14" borderId="0" xfId="2" applyNumberFormat="1" applyFont="1" applyFill="1" applyBorder="1"/>
    <xf numFmtId="11" fontId="9" fillId="14" borderId="0" xfId="2" applyNumberFormat="1" applyFont="1" applyFill="1" applyBorder="1"/>
    <xf numFmtId="11" fontId="0" fillId="14" borderId="0" xfId="0" applyNumberFormat="1" applyFill="1"/>
    <xf numFmtId="165" fontId="0" fillId="0" borderId="8" xfId="2" applyNumberFormat="1" applyFont="1" applyBorder="1"/>
    <xf numFmtId="164" fontId="0" fillId="0" borderId="8" xfId="0" applyNumberFormat="1" applyBorder="1"/>
    <xf numFmtId="164" fontId="0" fillId="0" borderId="17" xfId="0" applyNumberFormat="1" applyBorder="1"/>
    <xf numFmtId="11" fontId="0" fillId="0" borderId="8" xfId="0" applyNumberFormat="1" applyBorder="1"/>
    <xf numFmtId="165" fontId="9" fillId="0" borderId="17" xfId="2" applyNumberFormat="1" applyFont="1" applyBorder="1"/>
    <xf numFmtId="11" fontId="0" fillId="0" borderId="17" xfId="2" applyNumberFormat="1" applyFont="1" applyBorder="1"/>
    <xf numFmtId="11" fontId="9" fillId="0" borderId="17" xfId="2" applyNumberFormat="1" applyFont="1" applyBorder="1"/>
    <xf numFmtId="0" fontId="1" fillId="10" borderId="0" xfId="0" applyFont="1" applyFill="1" applyAlignment="1">
      <alignment wrapText="1"/>
    </xf>
    <xf numFmtId="0" fontId="4" fillId="10" borderId="0" xfId="0" applyFont="1" applyFill="1" applyAlignment="1">
      <alignment wrapText="1"/>
    </xf>
    <xf numFmtId="0" fontId="1" fillId="12" borderId="11" xfId="0" applyFont="1" applyFill="1" applyBorder="1" applyAlignment="1">
      <alignment horizontal="right" wrapText="1"/>
    </xf>
    <xf numFmtId="0" fontId="1" fillId="12" borderId="12" xfId="0" applyFont="1" applyFill="1" applyBorder="1" applyAlignment="1">
      <alignment horizontal="right" wrapText="1"/>
    </xf>
    <xf numFmtId="0" fontId="19" fillId="9" borderId="3" xfId="0" applyFont="1" applyFill="1" applyBorder="1"/>
    <xf numFmtId="0" fontId="19" fillId="9" borderId="8" xfId="0" applyFont="1" applyFill="1" applyBorder="1"/>
    <xf numFmtId="0" fontId="1" fillId="12" borderId="3" xfId="0" applyFont="1" applyFill="1" applyBorder="1" applyAlignment="1">
      <alignment wrapText="1"/>
    </xf>
    <xf numFmtId="166" fontId="19" fillId="9" borderId="3" xfId="1" applyNumberFormat="1" applyFont="1" applyFill="1" applyBorder="1"/>
    <xf numFmtId="166" fontId="19" fillId="9" borderId="0" xfId="1" applyNumberFormat="1" applyFont="1" applyFill="1" applyBorder="1"/>
    <xf numFmtId="11" fontId="0" fillId="0" borderId="6" xfId="0" quotePrefix="1" applyNumberFormat="1" applyBorder="1"/>
    <xf numFmtId="11" fontId="0" fillId="0" borderId="9" xfId="0" quotePrefix="1" applyNumberFormat="1" applyBorder="1"/>
    <xf numFmtId="0" fontId="28" fillId="9" borderId="0" xfId="0" applyFont="1" applyFill="1" applyAlignment="1">
      <alignment wrapText="1"/>
    </xf>
    <xf numFmtId="166" fontId="0" fillId="0" borderId="2" xfId="1" applyNumberFormat="1" applyFont="1" applyBorder="1"/>
    <xf numFmtId="166" fontId="0" fillId="0" borderId="3" xfId="1" applyNumberFormat="1" applyFont="1" applyBorder="1"/>
    <xf numFmtId="166" fontId="0" fillId="0" borderId="4" xfId="0" applyNumberFormat="1" applyBorder="1"/>
    <xf numFmtId="166" fontId="0" fillId="0" borderId="5" xfId="1" applyNumberFormat="1" applyFont="1" applyBorder="1"/>
    <xf numFmtId="166" fontId="0" fillId="0" borderId="6" xfId="0" applyNumberFormat="1" applyBorder="1"/>
    <xf numFmtId="166" fontId="0" fillId="0" borderId="7" xfId="1" applyNumberFormat="1" applyFont="1" applyBorder="1"/>
    <xf numFmtId="166" fontId="0" fillId="0" borderId="9" xfId="0" applyNumberFormat="1" applyBorder="1"/>
    <xf numFmtId="166" fontId="0" fillId="0" borderId="4" xfId="1" applyNumberFormat="1" applyFont="1" applyBorder="1"/>
    <xf numFmtId="166" fontId="0" fillId="0" borderId="6" xfId="1" applyNumberFormat="1" applyFont="1" applyBorder="1"/>
    <xf numFmtId="166" fontId="0" fillId="0" borderId="15" xfId="0" applyNumberFormat="1" applyBorder="1"/>
    <xf numFmtId="166" fontId="0" fillId="0" borderId="13" xfId="0" applyNumberFormat="1" applyBorder="1"/>
    <xf numFmtId="166" fontId="0" fillId="0" borderId="14" xfId="0" applyNumberFormat="1" applyBorder="1"/>
    <xf numFmtId="0" fontId="0" fillId="0" borderId="10" xfId="0" applyBorder="1"/>
    <xf numFmtId="0" fontId="0" fillId="0" borderId="11" xfId="0" applyBorder="1"/>
    <xf numFmtId="0" fontId="0" fillId="0" borderId="12" xfId="0" applyBorder="1"/>
    <xf numFmtId="0" fontId="0" fillId="10" borderId="3" xfId="0" applyFill="1" applyBorder="1"/>
    <xf numFmtId="0" fontId="0" fillId="15" borderId="3" xfId="0" applyFill="1" applyBorder="1"/>
    <xf numFmtId="0" fontId="0" fillId="15" borderId="4" xfId="0" applyFill="1" applyBorder="1"/>
    <xf numFmtId="0" fontId="0" fillId="10" borderId="11" xfId="0" applyFill="1" applyBorder="1"/>
    <xf numFmtId="0" fontId="0" fillId="15" borderId="11" xfId="0" applyFill="1" applyBorder="1"/>
    <xf numFmtId="0" fontId="0" fillId="15" borderId="12" xfId="0" applyFill="1" applyBorder="1"/>
    <xf numFmtId="166" fontId="0" fillId="0" borderId="2" xfId="0" applyNumberFormat="1" applyBorder="1"/>
    <xf numFmtId="166" fontId="0" fillId="0" borderId="5" xfId="0" applyNumberFormat="1" applyBorder="1"/>
    <xf numFmtId="166" fontId="0" fillId="0" borderId="7" xfId="0" applyNumberFormat="1" applyBorder="1"/>
    <xf numFmtId="0" fontId="0" fillId="0" borderId="1" xfId="0" applyBorder="1"/>
    <xf numFmtId="0" fontId="0" fillId="2" borderId="3" xfId="1" applyNumberFormat="1" applyFont="1" applyFill="1" applyBorder="1"/>
    <xf numFmtId="9" fontId="0" fillId="2" borderId="0" xfId="1" applyFont="1" applyFill="1" applyBorder="1"/>
    <xf numFmtId="170" fontId="0" fillId="2" borderId="8" xfId="1" applyNumberFormat="1" applyFont="1" applyFill="1" applyBorder="1"/>
    <xf numFmtId="169" fontId="0" fillId="2" borderId="0" xfId="1" applyNumberFormat="1" applyFont="1" applyFill="1" applyBorder="1"/>
    <xf numFmtId="170" fontId="0" fillId="2" borderId="0" xfId="1" applyNumberFormat="1" applyFont="1" applyFill="1" applyBorder="1"/>
    <xf numFmtId="1" fontId="0" fillId="0" borderId="8" xfId="0" applyNumberFormat="1" applyBorder="1"/>
    <xf numFmtId="1" fontId="0" fillId="0" borderId="9" xfId="0" applyNumberFormat="1" applyBorder="1"/>
    <xf numFmtId="1" fontId="7" fillId="9" borderId="8" xfId="0" applyNumberFormat="1" applyFont="1" applyFill="1" applyBorder="1"/>
    <xf numFmtId="1" fontId="7" fillId="9" borderId="9" xfId="0" applyNumberFormat="1" applyFont="1" applyFill="1" applyBorder="1"/>
    <xf numFmtId="1" fontId="0" fillId="0" borderId="4" xfId="1" applyNumberFormat="1" applyFont="1" applyBorder="1"/>
    <xf numFmtId="0" fontId="13" fillId="0" borderId="5" xfId="0" applyFont="1" applyBorder="1"/>
    <xf numFmtId="0" fontId="7" fillId="0" borderId="5" xfId="0" applyFont="1" applyBorder="1"/>
    <xf numFmtId="166" fontId="0" fillId="0" borderId="0" xfId="1" applyNumberFormat="1" applyFont="1"/>
    <xf numFmtId="10" fontId="0" fillId="2" borderId="0" xfId="1" applyNumberFormat="1" applyFont="1" applyFill="1" applyBorder="1"/>
    <xf numFmtId="0" fontId="0" fillId="10" borderId="8" xfId="0" applyFill="1" applyBorder="1"/>
    <xf numFmtId="164" fontId="0" fillId="13" borderId="8" xfId="0" applyNumberFormat="1" applyFill="1" applyBorder="1"/>
    <xf numFmtId="0" fontId="0" fillId="10" borderId="7" xfId="0" applyFill="1" applyBorder="1" applyAlignment="1">
      <alignment horizontal="left" indent="1"/>
    </xf>
    <xf numFmtId="166" fontId="0" fillId="9" borderId="0" xfId="0" applyNumberFormat="1" applyFill="1"/>
    <xf numFmtId="166" fontId="1" fillId="9" borderId="0" xfId="0" applyNumberFormat="1" applyFont="1" applyFill="1"/>
    <xf numFmtId="0" fontId="0" fillId="9" borderId="10" xfId="0" applyFill="1" applyBorder="1" applyAlignment="1">
      <alignment wrapText="1"/>
    </xf>
    <xf numFmtId="0" fontId="1" fillId="9" borderId="10" xfId="0" applyFont="1" applyFill="1" applyBorder="1" applyAlignment="1">
      <alignment wrapText="1"/>
    </xf>
    <xf numFmtId="0" fontId="1" fillId="9" borderId="11" xfId="0" applyFont="1" applyFill="1" applyBorder="1" applyAlignment="1">
      <alignment wrapText="1"/>
    </xf>
    <xf numFmtId="166" fontId="1" fillId="9" borderId="12" xfId="0" applyNumberFormat="1" applyFont="1" applyFill="1" applyBorder="1" applyAlignment="1">
      <alignment wrapText="1"/>
    </xf>
    <xf numFmtId="166" fontId="1" fillId="9" borderId="11" xfId="0" applyNumberFormat="1" applyFont="1" applyFill="1" applyBorder="1" applyAlignment="1">
      <alignment wrapText="1"/>
    </xf>
    <xf numFmtId="164" fontId="0" fillId="9" borderId="5" xfId="0" applyNumberFormat="1" applyFill="1" applyBorder="1"/>
    <xf numFmtId="164" fontId="0" fillId="9" borderId="0" xfId="0" applyNumberFormat="1" applyFill="1"/>
    <xf numFmtId="164" fontId="0" fillId="9" borderId="6" xfId="0" applyNumberFormat="1" applyFill="1" applyBorder="1"/>
    <xf numFmtId="168" fontId="0" fillId="9" borderId="0" xfId="0" applyNumberFormat="1" applyFill="1"/>
    <xf numFmtId="0" fontId="0" fillId="9" borderId="7" xfId="0" applyFill="1" applyBorder="1"/>
    <xf numFmtId="164" fontId="0" fillId="9" borderId="7" xfId="0" applyNumberFormat="1" applyFill="1" applyBorder="1"/>
    <xf numFmtId="164" fontId="0" fillId="9" borderId="8" xfId="0" applyNumberFormat="1" applyFill="1" applyBorder="1"/>
    <xf numFmtId="164" fontId="0" fillId="9" borderId="9" xfId="0" applyNumberFormat="1" applyFill="1" applyBorder="1"/>
    <xf numFmtId="168" fontId="0" fillId="9" borderId="8" xfId="0" applyNumberFormat="1" applyFill="1" applyBorder="1"/>
    <xf numFmtId="0" fontId="19" fillId="9" borderId="0" xfId="0" applyFont="1" applyFill="1" applyAlignment="1">
      <alignment wrapText="1"/>
    </xf>
    <xf numFmtId="0" fontId="0" fillId="9" borderId="0" xfId="0" applyFill="1" applyAlignment="1">
      <alignment wrapText="1"/>
    </xf>
    <xf numFmtId="168" fontId="0" fillId="0" borderId="3" xfId="0" applyNumberFormat="1" applyBorder="1"/>
    <xf numFmtId="168" fontId="0" fillId="0" borderId="8" xfId="0" applyNumberFormat="1" applyBorder="1"/>
    <xf numFmtId="11" fontId="0" fillId="0" borderId="3" xfId="0" quotePrefix="1" applyNumberFormat="1" applyBorder="1"/>
    <xf numFmtId="11" fontId="0" fillId="0" borderId="4" xfId="0" quotePrefix="1" applyNumberFormat="1" applyBorder="1"/>
    <xf numFmtId="0" fontId="1" fillId="8" borderId="10" xfId="0" applyFont="1" applyFill="1" applyBorder="1" applyAlignment="1">
      <alignment wrapText="1"/>
    </xf>
    <xf numFmtId="0" fontId="1" fillId="8" borderId="11" xfId="0" applyFont="1" applyFill="1" applyBorder="1" applyAlignment="1">
      <alignment wrapText="1"/>
    </xf>
    <xf numFmtId="0" fontId="1" fillId="8" borderId="12" xfId="0" applyFont="1" applyFill="1" applyBorder="1" applyAlignment="1">
      <alignment wrapText="1"/>
    </xf>
    <xf numFmtId="0" fontId="13" fillId="8" borderId="10" xfId="0" applyFont="1" applyFill="1" applyBorder="1" applyAlignment="1">
      <alignment wrapText="1"/>
    </xf>
    <xf numFmtId="0" fontId="13" fillId="8" borderId="11" xfId="0" applyFont="1" applyFill="1" applyBorder="1" applyAlignment="1">
      <alignment wrapText="1"/>
    </xf>
    <xf numFmtId="0" fontId="13" fillId="8" borderId="12" xfId="0" applyFont="1" applyFill="1" applyBorder="1" applyAlignment="1">
      <alignment wrapText="1"/>
    </xf>
    <xf numFmtId="0" fontId="13" fillId="8" borderId="3" xfId="0" applyFont="1" applyFill="1" applyBorder="1" applyAlignment="1">
      <alignment wrapText="1"/>
    </xf>
    <xf numFmtId="164" fontId="1" fillId="8" borderId="10" xfId="0" applyNumberFormat="1" applyFont="1" applyFill="1" applyBorder="1" applyAlignment="1">
      <alignment wrapText="1"/>
    </xf>
    <xf numFmtId="1" fontId="0" fillId="0" borderId="0" xfId="0" applyNumberFormat="1"/>
    <xf numFmtId="11" fontId="0" fillId="16" borderId="0" xfId="2" applyNumberFormat="1" applyFont="1" applyFill="1" applyBorder="1"/>
    <xf numFmtId="0" fontId="1" fillId="18" borderId="2" xfId="0" applyFont="1" applyFill="1" applyBorder="1"/>
    <xf numFmtId="0" fontId="0" fillId="18" borderId="3" xfId="0" applyFill="1" applyBorder="1"/>
    <xf numFmtId="0" fontId="0" fillId="18" borderId="5" xfId="0" applyFill="1" applyBorder="1"/>
    <xf numFmtId="0" fontId="0" fillId="18" borderId="0" xfId="0" applyFill="1"/>
    <xf numFmtId="0" fontId="0" fillId="18" borderId="7" xfId="0" applyFill="1" applyBorder="1"/>
    <xf numFmtId="0" fontId="0" fillId="18" borderId="8" xfId="0" applyFill="1" applyBorder="1"/>
    <xf numFmtId="0" fontId="1" fillId="19" borderId="0" xfId="0" applyFont="1" applyFill="1"/>
    <xf numFmtId="0" fontId="0" fillId="19" borderId="0" xfId="0" applyFill="1"/>
    <xf numFmtId="0" fontId="1" fillId="20" borderId="0" xfId="0" applyFont="1" applyFill="1"/>
    <xf numFmtId="0" fontId="0" fillId="20" borderId="0" xfId="0" applyFill="1"/>
    <xf numFmtId="0" fontId="1" fillId="21" borderId="0" xfId="0" applyFont="1" applyFill="1"/>
    <xf numFmtId="0" fontId="0" fillId="21" borderId="0" xfId="0" applyFill="1"/>
    <xf numFmtId="165" fontId="0" fillId="0" borderId="0" xfId="2" applyNumberFormat="1" applyFont="1" applyFill="1"/>
    <xf numFmtId="179" fontId="0" fillId="0" borderId="0" xfId="0" applyNumberFormat="1"/>
    <xf numFmtId="0" fontId="1" fillId="16" borderId="0" xfId="0" applyFont="1" applyFill="1"/>
    <xf numFmtId="180" fontId="0" fillId="16" borderId="0" xfId="2" applyNumberFormat="1" applyFont="1" applyFill="1" applyBorder="1"/>
    <xf numFmtId="180" fontId="0" fillId="0" borderId="0" xfId="2" applyNumberFormat="1" applyFont="1" applyFill="1" applyBorder="1"/>
    <xf numFmtId="180" fontId="1" fillId="16" borderId="0" xfId="2" applyNumberFormat="1" applyFont="1" applyFill="1" applyBorder="1"/>
    <xf numFmtId="0" fontId="0" fillId="22" borderId="0" xfId="0" applyFill="1"/>
    <xf numFmtId="0" fontId="0" fillId="23" borderId="0" xfId="0" applyFill="1"/>
    <xf numFmtId="10" fontId="0" fillId="23" borderId="0" xfId="1" applyNumberFormat="1" applyFont="1" applyFill="1" applyBorder="1"/>
    <xf numFmtId="10" fontId="0" fillId="0" borderId="0" xfId="1" applyNumberFormat="1" applyFont="1" applyFill="1"/>
    <xf numFmtId="164" fontId="0" fillId="18" borderId="8" xfId="0" applyNumberFormat="1" applyFill="1" applyBorder="1"/>
    <xf numFmtId="0" fontId="13" fillId="22" borderId="0" xfId="0" applyFont="1" applyFill="1"/>
    <xf numFmtId="164" fontId="0" fillId="0" borderId="0" xfId="0" applyNumberFormat="1" applyAlignment="1">
      <alignment wrapText="1"/>
    </xf>
    <xf numFmtId="164" fontId="0" fillId="0" borderId="12" xfId="0" applyNumberFormat="1" applyBorder="1"/>
    <xf numFmtId="164" fontId="0" fillId="0" borderId="3" xfId="0" applyNumberFormat="1" applyBorder="1"/>
    <xf numFmtId="165" fontId="0" fillId="0" borderId="0" xfId="2" applyNumberFormat="1" applyFont="1" applyFill="1" applyBorder="1"/>
    <xf numFmtId="165" fontId="0" fillId="0" borderId="3" xfId="2" applyNumberFormat="1" applyFont="1" applyFill="1" applyBorder="1"/>
    <xf numFmtId="165" fontId="0" fillId="0" borderId="8" xfId="2" applyNumberFormat="1" applyFont="1" applyFill="1" applyBorder="1"/>
    <xf numFmtId="0" fontId="24" fillId="0" borderId="0" xfId="1" applyNumberFormat="1" applyFont="1"/>
    <xf numFmtId="0" fontId="29" fillId="9" borderId="0" xfId="0" applyFont="1" applyFill="1"/>
    <xf numFmtId="165" fontId="9" fillId="8" borderId="0" xfId="2" applyNumberFormat="1" applyFont="1" applyFill="1" applyBorder="1"/>
    <xf numFmtId="0" fontId="1" fillId="8" borderId="2" xfId="0" applyFont="1" applyFill="1" applyBorder="1" applyAlignment="1">
      <alignment wrapText="1"/>
    </xf>
    <xf numFmtId="0" fontId="1" fillId="8" borderId="3" xfId="0" applyFont="1" applyFill="1" applyBorder="1" applyAlignment="1">
      <alignment wrapText="1"/>
    </xf>
    <xf numFmtId="0" fontId="1" fillId="8" borderId="4" xfId="0" applyFont="1" applyFill="1" applyBorder="1" applyAlignment="1">
      <alignment wrapText="1"/>
    </xf>
    <xf numFmtId="165" fontId="9" fillId="8" borderId="6" xfId="2" applyNumberFormat="1" applyFont="1" applyFill="1" applyBorder="1"/>
    <xf numFmtId="43" fontId="9" fillId="14" borderId="0" xfId="2" applyFont="1" applyFill="1" applyBorder="1"/>
    <xf numFmtId="43" fontId="9" fillId="0" borderId="0" xfId="2" applyFont="1" applyBorder="1"/>
    <xf numFmtId="43" fontId="9" fillId="0" borderId="0" xfId="2" applyFont="1" applyFill="1" applyBorder="1"/>
    <xf numFmtId="178" fontId="0" fillId="9" borderId="0" xfId="5" applyNumberFormat="1" applyFont="1" applyFill="1"/>
    <xf numFmtId="167" fontId="0" fillId="0" borderId="2" xfId="0" applyNumberFormat="1" applyBorder="1"/>
    <xf numFmtId="167" fontId="0" fillId="0" borderId="3" xfId="0" applyNumberFormat="1" applyBorder="1"/>
    <xf numFmtId="167" fontId="0" fillId="0" borderId="4" xfId="0" applyNumberFormat="1" applyBorder="1"/>
    <xf numFmtId="167" fontId="0" fillId="0" borderId="5" xfId="0" applyNumberFormat="1" applyBorder="1"/>
    <xf numFmtId="167" fontId="0" fillId="0" borderId="0" xfId="0" applyNumberFormat="1"/>
    <xf numFmtId="167" fontId="0" fillId="0" borderId="6" xfId="0" applyNumberFormat="1" applyBorder="1"/>
    <xf numFmtId="167" fontId="0" fillId="0" borderId="7" xfId="0" applyNumberFormat="1" applyBorder="1"/>
    <xf numFmtId="167" fontId="0" fillId="0" borderId="8" xfId="0" applyNumberFormat="1" applyBorder="1"/>
    <xf numFmtId="167" fontId="0" fillId="0" borderId="9" xfId="0" applyNumberFormat="1" applyBorder="1"/>
    <xf numFmtId="165" fontId="0" fillId="0" borderId="5" xfId="2" applyNumberFormat="1" applyFont="1" applyFill="1" applyBorder="1"/>
    <xf numFmtId="165" fontId="0" fillId="0" borderId="0" xfId="2" applyNumberFormat="1" applyFont="1"/>
    <xf numFmtId="11" fontId="0" fillId="0" borderId="0" xfId="2" applyNumberFormat="1" applyFont="1" applyFill="1"/>
    <xf numFmtId="165" fontId="9" fillId="0" borderId="0" xfId="2" applyNumberFormat="1" applyFont="1" applyFill="1"/>
    <xf numFmtId="11" fontId="9" fillId="0" borderId="0" xfId="2" applyNumberFormat="1" applyFont="1" applyFill="1"/>
    <xf numFmtId="43" fontId="9" fillId="0" borderId="0" xfId="2" applyFont="1" applyFill="1"/>
    <xf numFmtId="11" fontId="9" fillId="0" borderId="0" xfId="2" applyNumberFormat="1" applyFont="1"/>
    <xf numFmtId="178" fontId="0" fillId="0" borderId="3" xfId="5" quotePrefix="1" applyNumberFormat="1" applyFont="1" applyBorder="1"/>
    <xf numFmtId="178" fontId="0" fillId="0" borderId="4" xfId="5" quotePrefix="1" applyNumberFormat="1" applyFont="1" applyBorder="1"/>
    <xf numFmtId="0" fontId="17" fillId="11" borderId="4" xfId="0" applyFont="1" applyFill="1" applyBorder="1" applyProtection="1">
      <protection locked="0"/>
    </xf>
    <xf numFmtId="14" fontId="17" fillId="11" borderId="6" xfId="0" applyNumberFormat="1" applyFont="1" applyFill="1" applyBorder="1" applyProtection="1">
      <protection locked="0"/>
    </xf>
    <xf numFmtId="0" fontId="17" fillId="11" borderId="6" xfId="0" applyFont="1" applyFill="1" applyBorder="1" applyProtection="1">
      <protection locked="0"/>
    </xf>
    <xf numFmtId="0" fontId="17" fillId="11" borderId="6" xfId="0" applyFont="1" applyFill="1" applyBorder="1" applyAlignment="1" applyProtection="1">
      <alignment wrapText="1"/>
      <protection locked="0"/>
    </xf>
    <xf numFmtId="0" fontId="25" fillId="17" borderId="6" xfId="0" applyFont="1" applyFill="1" applyBorder="1" applyProtection="1">
      <protection locked="0"/>
    </xf>
    <xf numFmtId="0" fontId="25" fillId="17" borderId="9" xfId="0" applyFont="1" applyFill="1" applyBorder="1" applyProtection="1">
      <protection locked="0"/>
    </xf>
    <xf numFmtId="165" fontId="17" fillId="11" borderId="6" xfId="2" applyNumberFormat="1" applyFont="1" applyFill="1" applyBorder="1" applyProtection="1">
      <protection locked="0"/>
    </xf>
    <xf numFmtId="166" fontId="17" fillId="11" borderId="6" xfId="1" applyNumberFormat="1" applyFont="1" applyFill="1" applyBorder="1" applyProtection="1">
      <protection locked="0"/>
    </xf>
    <xf numFmtId="166" fontId="25" fillId="17" borderId="6" xfId="1" applyNumberFormat="1" applyFont="1" applyFill="1" applyBorder="1" applyProtection="1">
      <protection locked="0"/>
    </xf>
    <xf numFmtId="166" fontId="25" fillId="17" borderId="9" xfId="1" applyNumberFormat="1" applyFont="1" applyFill="1" applyBorder="1" applyProtection="1">
      <protection locked="0"/>
    </xf>
    <xf numFmtId="174" fontId="17" fillId="11" borderId="6" xfId="0" applyNumberFormat="1" applyFont="1" applyFill="1" applyBorder="1" applyProtection="1">
      <protection locked="0"/>
    </xf>
    <xf numFmtId="0" fontId="17" fillId="11" borderId="3" xfId="0" applyFont="1" applyFill="1" applyBorder="1" applyProtection="1">
      <protection locked="0"/>
    </xf>
    <xf numFmtId="0" fontId="17" fillId="11" borderId="0" xfId="0" applyFont="1" applyFill="1" applyProtection="1">
      <protection locked="0"/>
    </xf>
    <xf numFmtId="0" fontId="17" fillId="11" borderId="8" xfId="0" applyFont="1" applyFill="1" applyBorder="1" applyProtection="1">
      <protection locked="0"/>
    </xf>
    <xf numFmtId="0" fontId="17" fillId="11" borderId="9" xfId="0" applyFont="1" applyFill="1" applyBorder="1" applyProtection="1">
      <protection locked="0"/>
    </xf>
    <xf numFmtId="0" fontId="25" fillId="17" borderId="3" xfId="1" applyNumberFormat="1" applyFont="1" applyFill="1" applyBorder="1" applyProtection="1">
      <protection locked="0"/>
    </xf>
    <xf numFmtId="0" fontId="25" fillId="17" borderId="0" xfId="1" applyNumberFormat="1" applyFont="1" applyFill="1" applyBorder="1" applyProtection="1">
      <protection locked="0"/>
    </xf>
    <xf numFmtId="0" fontId="25" fillId="17" borderId="8" xfId="1" applyNumberFormat="1" applyFont="1" applyFill="1" applyBorder="1" applyProtection="1">
      <protection locked="0"/>
    </xf>
    <xf numFmtId="0" fontId="25" fillId="17" borderId="4" xfId="1" applyNumberFormat="1" applyFont="1" applyFill="1" applyBorder="1" applyProtection="1">
      <protection locked="0"/>
    </xf>
    <xf numFmtId="0" fontId="25" fillId="17" borderId="6" xfId="1" applyNumberFormat="1" applyFont="1" applyFill="1" applyBorder="1" applyProtection="1">
      <protection locked="0"/>
    </xf>
    <xf numFmtId="0" fontId="25" fillId="17" borderId="9" xfId="1" applyNumberFormat="1" applyFont="1" applyFill="1" applyBorder="1" applyProtection="1">
      <protection locked="0"/>
    </xf>
    <xf numFmtId="174" fontId="17" fillId="11" borderId="0" xfId="0" applyNumberFormat="1" applyFont="1" applyFill="1" applyProtection="1">
      <protection locked="0"/>
    </xf>
    <xf numFmtId="174" fontId="17" fillId="11" borderId="3" xfId="0" applyNumberFormat="1" applyFont="1" applyFill="1" applyBorder="1" applyProtection="1">
      <protection locked="0"/>
    </xf>
    <xf numFmtId="174" fontId="17" fillId="11" borderId="4" xfId="0" applyNumberFormat="1" applyFont="1" applyFill="1" applyBorder="1" applyProtection="1">
      <protection locked="0"/>
    </xf>
    <xf numFmtId="174" fontId="17" fillId="11" borderId="8" xfId="0" applyNumberFormat="1" applyFont="1" applyFill="1" applyBorder="1" applyProtection="1">
      <protection locked="0"/>
    </xf>
    <xf numFmtId="174" fontId="17" fillId="11" borderId="9" xfId="0" applyNumberFormat="1" applyFont="1" applyFill="1" applyBorder="1" applyProtection="1">
      <protection locked="0"/>
    </xf>
    <xf numFmtId="175" fontId="17" fillId="11" borderId="3" xfId="0" applyNumberFormat="1" applyFont="1" applyFill="1" applyBorder="1" applyProtection="1">
      <protection locked="0"/>
    </xf>
    <xf numFmtId="175" fontId="17" fillId="11" borderId="4" xfId="0" applyNumberFormat="1" applyFont="1" applyFill="1" applyBorder="1" applyProtection="1">
      <protection locked="0"/>
    </xf>
    <xf numFmtId="175" fontId="17" fillId="11" borderId="6" xfId="0" applyNumberFormat="1" applyFont="1" applyFill="1" applyBorder="1" applyProtection="1">
      <protection locked="0"/>
    </xf>
    <xf numFmtId="175" fontId="17" fillId="11" borderId="8" xfId="0" applyNumberFormat="1" applyFont="1" applyFill="1" applyBorder="1" applyProtection="1">
      <protection locked="0"/>
    </xf>
    <xf numFmtId="175" fontId="17" fillId="11" borderId="9" xfId="0" applyNumberFormat="1" applyFont="1" applyFill="1" applyBorder="1" applyProtection="1">
      <protection locked="0"/>
    </xf>
    <xf numFmtId="9" fontId="17" fillId="11" borderId="0" xfId="1" applyFont="1" applyFill="1" applyBorder="1" applyProtection="1">
      <protection locked="0"/>
    </xf>
    <xf numFmtId="9" fontId="17" fillId="11" borderId="6" xfId="1" applyFont="1" applyFill="1" applyBorder="1" applyProtection="1">
      <protection locked="0"/>
    </xf>
    <xf numFmtId="0" fontId="1" fillId="13" borderId="2" xfId="0" applyFont="1" applyFill="1" applyBorder="1" applyAlignment="1">
      <alignment wrapText="1"/>
    </xf>
    <xf numFmtId="178" fontId="0" fillId="9" borderId="8" xfId="5" applyNumberFormat="1" applyFont="1" applyFill="1" applyBorder="1"/>
    <xf numFmtId="178" fontId="0" fillId="9" borderId="9" xfId="5" applyNumberFormat="1" applyFont="1" applyFill="1" applyBorder="1"/>
    <xf numFmtId="0" fontId="0" fillId="0" borderId="0" xfId="0" applyProtection="1">
      <protection locked="0"/>
    </xf>
    <xf numFmtId="11" fontId="17" fillId="11" borderId="5" xfId="0" applyNumberFormat="1" applyFont="1" applyFill="1" applyBorder="1" applyProtection="1">
      <protection locked="0"/>
    </xf>
    <xf numFmtId="0" fontId="17" fillId="11" borderId="5" xfId="0" applyFont="1" applyFill="1" applyBorder="1" applyProtection="1">
      <protection locked="0"/>
    </xf>
    <xf numFmtId="0" fontId="17" fillId="11" borderId="7" xfId="0" applyFont="1" applyFill="1" applyBorder="1" applyProtection="1">
      <protection locked="0"/>
    </xf>
    <xf numFmtId="0" fontId="17" fillId="11" borderId="6" xfId="1" applyNumberFormat="1" applyFont="1" applyFill="1" applyBorder="1" applyProtection="1">
      <protection locked="0"/>
    </xf>
    <xf numFmtId="174" fontId="17" fillId="11" borderId="6" xfId="0" applyNumberFormat="1" applyFont="1" applyFill="1" applyBorder="1" applyAlignment="1" applyProtection="1">
      <alignment horizontal="left"/>
      <protection locked="0"/>
    </xf>
    <xf numFmtId="174" fontId="17" fillId="11" borderId="9" xfId="0" applyNumberFormat="1" applyFont="1" applyFill="1" applyBorder="1" applyAlignment="1" applyProtection="1">
      <alignment horizontal="left"/>
      <protection locked="0"/>
    </xf>
    <xf numFmtId="11" fontId="0" fillId="0" borderId="0" xfId="0" applyNumberFormat="1" applyProtection="1">
      <protection locked="0"/>
    </xf>
    <xf numFmtId="0" fontId="9" fillId="2" borderId="9" xfId="3" applyFont="1" applyFill="1" applyBorder="1"/>
    <xf numFmtId="179" fontId="0" fillId="0" borderId="0" xfId="1" applyNumberFormat="1" applyFont="1"/>
    <xf numFmtId="11" fontId="0" fillId="2" borderId="0" xfId="0" applyNumberFormat="1" applyFill="1"/>
    <xf numFmtId="43" fontId="0" fillId="9" borderId="0" xfId="0" applyNumberFormat="1" applyFill="1"/>
    <xf numFmtId="14" fontId="0" fillId="0" borderId="0" xfId="0" applyNumberFormat="1"/>
    <xf numFmtId="174" fontId="17" fillId="11" borderId="0" xfId="0" applyNumberFormat="1" applyFont="1" applyFill="1" applyAlignment="1" applyProtection="1">
      <alignment vertical="center"/>
      <protection locked="0"/>
    </xf>
    <xf numFmtId="165" fontId="17" fillId="11" borderId="0" xfId="0" applyNumberFormat="1" applyFont="1" applyFill="1" applyProtection="1">
      <protection locked="0"/>
    </xf>
    <xf numFmtId="0" fontId="4" fillId="12" borderId="11" xfId="0" applyFont="1" applyFill="1" applyBorder="1"/>
    <xf numFmtId="1" fontId="1" fillId="0" borderId="0" xfId="0" applyNumberFormat="1" applyFont="1"/>
    <xf numFmtId="0" fontId="0" fillId="12" borderId="8" xfId="0" applyFill="1" applyBorder="1" applyAlignment="1">
      <alignment wrapText="1"/>
    </xf>
    <xf numFmtId="1" fontId="0" fillId="0" borderId="0" xfId="0" applyNumberFormat="1" applyAlignment="1">
      <alignment wrapText="1"/>
    </xf>
    <xf numFmtId="0" fontId="0" fillId="18" borderId="4" xfId="0" applyFill="1" applyBorder="1" applyAlignment="1">
      <alignment wrapText="1"/>
    </xf>
    <xf numFmtId="0" fontId="0" fillId="18" borderId="6" xfId="0" applyFill="1" applyBorder="1" applyAlignment="1">
      <alignment wrapText="1"/>
    </xf>
    <xf numFmtId="0" fontId="0" fillId="18" borderId="9" xfId="0" applyFill="1" applyBorder="1" applyAlignment="1">
      <alignment wrapText="1"/>
    </xf>
    <xf numFmtId="0" fontId="0" fillId="19" borderId="0" xfId="0" applyFill="1" applyAlignment="1">
      <alignment wrapText="1"/>
    </xf>
    <xf numFmtId="0" fontId="0" fillId="20" borderId="0" xfId="0" applyFill="1" applyAlignment="1">
      <alignment wrapText="1"/>
    </xf>
    <xf numFmtId="0" fontId="0" fillId="21" borderId="0" xfId="0" applyFill="1" applyAlignment="1">
      <alignment wrapText="1"/>
    </xf>
    <xf numFmtId="0" fontId="0" fillId="16" borderId="0" xfId="0" applyFill="1" applyAlignment="1">
      <alignment wrapText="1"/>
    </xf>
    <xf numFmtId="180" fontId="0" fillId="0" borderId="0" xfId="2" applyNumberFormat="1" applyFont="1" applyFill="1" applyBorder="1" applyAlignment="1">
      <alignment wrapText="1"/>
    </xf>
    <xf numFmtId="0" fontId="0" fillId="22" borderId="0" xfId="0" applyFill="1" applyAlignment="1">
      <alignment wrapText="1"/>
    </xf>
    <xf numFmtId="0" fontId="0" fillId="23" borderId="0" xfId="0" applyFill="1" applyAlignment="1">
      <alignment wrapText="1"/>
    </xf>
    <xf numFmtId="0" fontId="0" fillId="18" borderId="3" xfId="0" applyFill="1" applyBorder="1" applyAlignment="1">
      <alignment wrapText="1"/>
    </xf>
    <xf numFmtId="0" fontId="0" fillId="18" borderId="0" xfId="0" applyFill="1" applyAlignment="1">
      <alignment wrapText="1"/>
    </xf>
    <xf numFmtId="0" fontId="0" fillId="18" borderId="8" xfId="0" applyFill="1" applyBorder="1" applyAlignment="1">
      <alignment wrapText="1"/>
    </xf>
    <xf numFmtId="0" fontId="1" fillId="16" borderId="0" xfId="0" applyFont="1" applyFill="1" applyAlignment="1">
      <alignment wrapText="1"/>
    </xf>
    <xf numFmtId="0" fontId="0" fillId="0" borderId="4" xfId="0" applyBorder="1" applyAlignment="1">
      <alignment wrapText="1"/>
    </xf>
    <xf numFmtId="0" fontId="0" fillId="0" borderId="6" xfId="0" applyBorder="1" applyAlignment="1">
      <alignment wrapText="1"/>
    </xf>
    <xf numFmtId="17" fontId="4" fillId="12" borderId="8" xfId="0" applyNumberFormat="1" applyFont="1" applyFill="1" applyBorder="1"/>
    <xf numFmtId="17" fontId="1" fillId="0" borderId="0" xfId="0" applyNumberFormat="1" applyFont="1"/>
    <xf numFmtId="17" fontId="0" fillId="0" borderId="0" xfId="0" applyNumberFormat="1"/>
    <xf numFmtId="0" fontId="17" fillId="11" borderId="9" xfId="0" applyFont="1" applyFill="1" applyBorder="1" applyAlignment="1" applyProtection="1">
      <alignment wrapText="1"/>
      <protection locked="0"/>
    </xf>
    <xf numFmtId="0" fontId="0" fillId="8" borderId="2" xfId="0" applyFill="1" applyBorder="1" applyAlignment="1">
      <alignment horizontal="left" indent="1"/>
    </xf>
    <xf numFmtId="165" fontId="2" fillId="8" borderId="3" xfId="2" applyNumberFormat="1" applyFont="1" applyFill="1" applyBorder="1"/>
    <xf numFmtId="165" fontId="2" fillId="8" borderId="4" xfId="2" applyNumberFormat="1" applyFont="1" applyFill="1" applyBorder="1"/>
    <xf numFmtId="165" fontId="2" fillId="8" borderId="6" xfId="2" applyNumberFormat="1" applyFont="1" applyFill="1" applyBorder="1"/>
    <xf numFmtId="0" fontId="17" fillId="24" borderId="5" xfId="0" applyFont="1" applyFill="1" applyBorder="1"/>
    <xf numFmtId="168" fontId="20" fillId="24" borderId="3" xfId="0" applyNumberFormat="1" applyFont="1" applyFill="1" applyBorder="1"/>
    <xf numFmtId="168" fontId="20" fillId="24" borderId="4" xfId="0" applyNumberFormat="1" applyFont="1" applyFill="1" applyBorder="1"/>
    <xf numFmtId="174" fontId="9" fillId="24" borderId="0" xfId="0" applyNumberFormat="1" applyFont="1" applyFill="1"/>
    <xf numFmtId="174" fontId="9" fillId="24" borderId="0" xfId="0" applyNumberFormat="1" applyFont="1" applyFill="1" applyAlignment="1">
      <alignment vertical="center"/>
    </xf>
    <xf numFmtId="181" fontId="0" fillId="9" borderId="0" xfId="0" applyNumberFormat="1" applyFill="1"/>
    <xf numFmtId="0" fontId="17" fillId="11" borderId="2" xfId="0" applyFont="1" applyFill="1" applyBorder="1" applyProtection="1">
      <protection locked="0"/>
    </xf>
    <xf numFmtId="174" fontId="17" fillId="11" borderId="2" xfId="0" applyNumberFormat="1" applyFont="1" applyFill="1" applyBorder="1" applyProtection="1">
      <protection locked="0"/>
    </xf>
    <xf numFmtId="174" fontId="17" fillId="11" borderId="5" xfId="0" applyNumberFormat="1" applyFont="1" applyFill="1" applyBorder="1" applyProtection="1">
      <protection locked="0"/>
    </xf>
    <xf numFmtId="164" fontId="0" fillId="24" borderId="0" xfId="0" quotePrefix="1" applyNumberFormat="1" applyFill="1"/>
    <xf numFmtId="164" fontId="0" fillId="24" borderId="0" xfId="0" applyNumberFormat="1" applyFill="1"/>
    <xf numFmtId="164" fontId="17" fillId="24" borderId="0" xfId="0" quotePrefix="1" applyNumberFormat="1" applyFont="1" applyFill="1"/>
    <xf numFmtId="164" fontId="17" fillId="24" borderId="0" xfId="0" applyNumberFormat="1" applyFont="1" applyFill="1"/>
    <xf numFmtId="164" fontId="17" fillId="24" borderId="8" xfId="0" quotePrefix="1" applyNumberFormat="1" applyFont="1" applyFill="1" applyBorder="1"/>
    <xf numFmtId="0" fontId="17" fillId="24" borderId="0" xfId="0" applyFont="1" applyFill="1"/>
    <xf numFmtId="164" fontId="0" fillId="24" borderId="6" xfId="0" applyNumberFormat="1" applyFill="1" applyBorder="1"/>
    <xf numFmtId="164" fontId="17" fillId="24" borderId="6" xfId="0" applyNumberFormat="1" applyFont="1" applyFill="1" applyBorder="1"/>
    <xf numFmtId="9" fontId="0" fillId="13" borderId="0" xfId="1" applyFont="1" applyFill="1" applyBorder="1"/>
    <xf numFmtId="0" fontId="0" fillId="13" borderId="15" xfId="0" applyFill="1" applyBorder="1" applyAlignment="1">
      <alignment wrapText="1"/>
    </xf>
    <xf numFmtId="164" fontId="0" fillId="13" borderId="13" xfId="1" applyNumberFormat="1" applyFont="1" applyFill="1" applyBorder="1"/>
    <xf numFmtId="0" fontId="1" fillId="0" borderId="23" xfId="0" applyFont="1" applyBorder="1" applyAlignment="1">
      <alignment wrapText="1"/>
    </xf>
    <xf numFmtId="0" fontId="1" fillId="0" borderId="2" xfId="0" applyFont="1" applyBorder="1" applyAlignment="1">
      <alignment wrapText="1"/>
    </xf>
    <xf numFmtId="10" fontId="25" fillId="17" borderId="3" xfId="1" applyNumberFormat="1" applyFont="1" applyFill="1" applyBorder="1" applyProtection="1">
      <protection locked="0"/>
    </xf>
    <xf numFmtId="10" fontId="17" fillId="17" borderId="3" xfId="1" applyNumberFormat="1" applyFont="1" applyFill="1" applyBorder="1" applyProtection="1">
      <protection locked="0"/>
    </xf>
    <xf numFmtId="10" fontId="25" fillId="17" borderId="0" xfId="1" applyNumberFormat="1" applyFont="1" applyFill="1" applyBorder="1" applyProtection="1">
      <protection locked="0"/>
    </xf>
    <xf numFmtId="10" fontId="17" fillId="17" borderId="0" xfId="1" applyNumberFormat="1" applyFont="1" applyFill="1" applyBorder="1" applyProtection="1">
      <protection locked="0"/>
    </xf>
    <xf numFmtId="10" fontId="25" fillId="17" borderId="8" xfId="1" applyNumberFormat="1" applyFont="1" applyFill="1" applyBorder="1" applyProtection="1">
      <protection locked="0"/>
    </xf>
    <xf numFmtId="10" fontId="17" fillId="17" borderId="8" xfId="1" applyNumberFormat="1" applyFont="1" applyFill="1" applyBorder="1" applyProtection="1">
      <protection locked="0"/>
    </xf>
    <xf numFmtId="166" fontId="19" fillId="9" borderId="0" xfId="1" applyNumberFormat="1" applyFont="1" applyFill="1" applyBorder="1" applyAlignment="1">
      <alignment horizontal="right"/>
    </xf>
    <xf numFmtId="166" fontId="19" fillId="9" borderId="8" xfId="1" applyNumberFormat="1" applyFont="1" applyFill="1" applyBorder="1" applyAlignment="1">
      <alignment horizontal="right"/>
    </xf>
    <xf numFmtId="17" fontId="0" fillId="0" borderId="0" xfId="0" applyNumberFormat="1" applyAlignment="1">
      <alignment vertical="center"/>
    </xf>
    <xf numFmtId="1" fontId="0" fillId="0" borderId="0" xfId="0" applyNumberFormat="1" applyAlignment="1">
      <alignment vertical="center"/>
    </xf>
    <xf numFmtId="0" fontId="0" fillId="0" borderId="0" xfId="0" applyAlignment="1">
      <alignment vertical="center" wrapText="1"/>
    </xf>
    <xf numFmtId="0" fontId="0" fillId="0" borderId="0" xfId="0" quotePrefix="1" applyAlignment="1">
      <alignment wrapText="1"/>
    </xf>
    <xf numFmtId="168" fontId="31" fillId="0" borderId="0" xfId="0" applyNumberFormat="1" applyFont="1"/>
    <xf numFmtId="11" fontId="31" fillId="0" borderId="0" xfId="0" applyNumberFormat="1" applyFont="1"/>
    <xf numFmtId="0" fontId="35" fillId="0" borderId="0" xfId="0" applyFont="1" applyAlignment="1">
      <alignment wrapText="1"/>
    </xf>
    <xf numFmtId="11" fontId="9" fillId="24" borderId="0" xfId="0" applyNumberFormat="1" applyFont="1" applyFill="1"/>
    <xf numFmtId="0" fontId="17" fillId="25" borderId="5" xfId="0" applyFont="1" applyFill="1" applyBorder="1"/>
    <xf numFmtId="0" fontId="17" fillId="25" borderId="6" xfId="0" applyFont="1" applyFill="1" applyBorder="1"/>
    <xf numFmtId="0" fontId="1" fillId="8" borderId="1" xfId="0" applyFont="1" applyFill="1" applyBorder="1" applyAlignment="1">
      <alignment wrapText="1"/>
    </xf>
    <xf numFmtId="0" fontId="15" fillId="8" borderId="11" xfId="0" applyFont="1" applyFill="1" applyBorder="1" applyAlignment="1">
      <alignment wrapText="1"/>
    </xf>
    <xf numFmtId="0" fontId="1" fillId="8" borderId="10" xfId="0" applyFont="1" applyFill="1" applyBorder="1"/>
    <xf numFmtId="0" fontId="1" fillId="8" borderId="11" xfId="0" applyFont="1" applyFill="1" applyBorder="1"/>
    <xf numFmtId="0" fontId="25" fillId="17" borderId="1" xfId="0" applyFont="1" applyFill="1" applyBorder="1"/>
    <xf numFmtId="0" fontId="0" fillId="8" borderId="1" xfId="0" applyFill="1" applyBorder="1"/>
    <xf numFmtId="0" fontId="0" fillId="8" borderId="1" xfId="0" applyFill="1" applyBorder="1" applyProtection="1">
      <protection locked="0"/>
    </xf>
    <xf numFmtId="0" fontId="31" fillId="8" borderId="1" xfId="0" applyFont="1" applyFill="1" applyBorder="1"/>
    <xf numFmtId="0" fontId="9" fillId="8" borderId="1" xfId="0" applyFont="1" applyFill="1" applyBorder="1"/>
    <xf numFmtId="0" fontId="0" fillId="8" borderId="1" xfId="0" quotePrefix="1" applyFill="1" applyBorder="1"/>
    <xf numFmtId="0" fontId="1" fillId="10" borderId="1" xfId="0" applyFont="1" applyFill="1" applyBorder="1" applyAlignment="1">
      <alignment wrapText="1"/>
    </xf>
    <xf numFmtId="11" fontId="1" fillId="10" borderId="1" xfId="0" applyNumberFormat="1" applyFont="1" applyFill="1" applyBorder="1" applyAlignment="1">
      <alignment wrapText="1"/>
    </xf>
    <xf numFmtId="0" fontId="32" fillId="10" borderId="1" xfId="0" applyFont="1" applyFill="1" applyBorder="1" applyAlignment="1">
      <alignment wrapText="1"/>
    </xf>
    <xf numFmtId="10" fontId="0" fillId="13" borderId="0" xfId="1" applyNumberFormat="1" applyFont="1" applyFill="1" applyBorder="1"/>
    <xf numFmtId="11" fontId="0" fillId="0" borderId="5" xfId="0" applyNumberFormat="1" applyBorder="1"/>
    <xf numFmtId="0" fontId="17" fillId="24" borderId="1" xfId="0" applyFont="1" applyFill="1" applyBorder="1"/>
    <xf numFmtId="0" fontId="17" fillId="24" borderId="10" xfId="0" applyFont="1" applyFill="1" applyBorder="1"/>
    <xf numFmtId="0" fontId="17" fillId="24" borderId="11" xfId="0" applyFont="1" applyFill="1" applyBorder="1"/>
    <xf numFmtId="0" fontId="17" fillId="24" borderId="12" xfId="0" applyFont="1" applyFill="1" applyBorder="1"/>
    <xf numFmtId="1" fontId="0" fillId="0" borderId="0" xfId="0" applyNumberFormat="1" applyAlignment="1">
      <alignment vertical="center" wrapText="1"/>
    </xf>
    <xf numFmtId="166" fontId="19" fillId="0" borderId="2" xfId="0" applyNumberFormat="1" applyFont="1" applyBorder="1"/>
    <xf numFmtId="166" fontId="19" fillId="0" borderId="3" xfId="0" applyNumberFormat="1" applyFont="1" applyBorder="1"/>
    <xf numFmtId="166" fontId="19" fillId="0" borderId="4" xfId="0" applyNumberFormat="1" applyFont="1" applyBorder="1"/>
    <xf numFmtId="166" fontId="19" fillId="0" borderId="5" xfId="0" applyNumberFormat="1" applyFont="1" applyBorder="1"/>
    <xf numFmtId="166" fontId="19" fillId="0" borderId="0" xfId="0" applyNumberFormat="1" applyFont="1"/>
    <xf numFmtId="166" fontId="19" fillId="0" borderId="6" xfId="0" applyNumberFormat="1" applyFont="1" applyBorder="1"/>
    <xf numFmtId="166" fontId="19" fillId="0" borderId="7" xfId="0" applyNumberFormat="1" applyFont="1" applyBorder="1"/>
    <xf numFmtId="166" fontId="19" fillId="0" borderId="8" xfId="0" applyNumberFormat="1" applyFont="1" applyBorder="1"/>
    <xf numFmtId="166" fontId="19" fillId="0" borderId="9" xfId="0" applyNumberFormat="1" applyFont="1" applyBorder="1"/>
    <xf numFmtId="0" fontId="15" fillId="8" borderId="3" xfId="0" applyFont="1" applyFill="1" applyBorder="1" applyAlignment="1">
      <alignment wrapText="1"/>
    </xf>
    <xf numFmtId="9" fontId="0" fillId="0" borderId="3" xfId="1" applyFont="1" applyBorder="1"/>
    <xf numFmtId="9" fontId="0" fillId="0" borderId="4" xfId="1" applyFont="1" applyBorder="1"/>
    <xf numFmtId="9" fontId="0" fillId="0" borderId="6" xfId="1" applyFont="1" applyBorder="1"/>
    <xf numFmtId="9" fontId="0" fillId="0" borderId="9" xfId="1" applyFont="1" applyBorder="1"/>
    <xf numFmtId="0" fontId="0" fillId="0" borderId="15" xfId="0" applyBorder="1"/>
    <xf numFmtId="0" fontId="0" fillId="0" borderId="14" xfId="0" applyBorder="1"/>
    <xf numFmtId="1" fontId="25" fillId="17" borderId="1" xfId="0" applyNumberFormat="1" applyFont="1" applyFill="1" applyBorder="1"/>
    <xf numFmtId="0" fontId="17" fillId="26" borderId="3" xfId="0" applyFont="1" applyFill="1" applyBorder="1" applyProtection="1">
      <protection locked="0"/>
    </xf>
    <xf numFmtId="0" fontId="17" fillId="26" borderId="0" xfId="0" applyFont="1" applyFill="1" applyProtection="1">
      <protection locked="0"/>
    </xf>
    <xf numFmtId="0" fontId="17" fillId="26" borderId="8" xfId="0" applyFont="1" applyFill="1" applyBorder="1" applyProtection="1">
      <protection locked="0"/>
    </xf>
    <xf numFmtId="0" fontId="4" fillId="0" borderId="0" xfId="0" applyFont="1"/>
    <xf numFmtId="0" fontId="17" fillId="17" borderId="0" xfId="0" applyFont="1" applyFill="1"/>
    <xf numFmtId="0" fontId="0" fillId="4" borderId="0" xfId="0" applyFill="1"/>
    <xf numFmtId="0" fontId="15" fillId="12" borderId="3" xfId="0" applyFont="1" applyFill="1" applyBorder="1"/>
    <xf numFmtId="0" fontId="15" fillId="12" borderId="0" xfId="0" applyFont="1" applyFill="1"/>
    <xf numFmtId="0" fontId="17" fillId="24" borderId="24" xfId="0" applyFont="1" applyFill="1" applyBorder="1" applyAlignment="1">
      <alignment wrapText="1"/>
    </xf>
    <xf numFmtId="0" fontId="17" fillId="24" borderId="24" xfId="0" applyFont="1" applyFill="1" applyBorder="1"/>
    <xf numFmtId="0" fontId="1" fillId="8" borderId="24" xfId="0" applyFont="1" applyFill="1" applyBorder="1" applyAlignment="1">
      <alignment wrapText="1"/>
    </xf>
    <xf numFmtId="0" fontId="1" fillId="8" borderId="25" xfId="0" applyFont="1" applyFill="1" applyBorder="1" applyAlignment="1">
      <alignment wrapText="1"/>
    </xf>
    <xf numFmtId="0" fontId="1" fillId="8" borderId="26" xfId="0" applyFont="1" applyFill="1" applyBorder="1" applyAlignment="1">
      <alignment wrapText="1"/>
    </xf>
    <xf numFmtId="0" fontId="17" fillId="24" borderId="7" xfId="0" applyFont="1" applyFill="1" applyBorder="1"/>
    <xf numFmtId="0" fontId="17" fillId="24" borderId="8" xfId="0" applyFont="1" applyFill="1" applyBorder="1"/>
    <xf numFmtId="0" fontId="17" fillId="24" borderId="9" xfId="0" applyFont="1" applyFill="1" applyBorder="1"/>
    <xf numFmtId="0" fontId="15" fillId="8" borderId="24" xfId="0" applyFont="1" applyFill="1" applyBorder="1" applyAlignment="1">
      <alignment wrapText="1"/>
    </xf>
    <xf numFmtId="0" fontId="15" fillId="8" borderId="25" xfId="0" applyFont="1" applyFill="1" applyBorder="1" applyAlignment="1">
      <alignment wrapText="1"/>
    </xf>
    <xf numFmtId="0" fontId="15" fillId="8" borderId="26" xfId="0" applyFont="1" applyFill="1" applyBorder="1" applyAlignment="1">
      <alignment wrapText="1"/>
    </xf>
    <xf numFmtId="1" fontId="17" fillId="24" borderId="27" xfId="0" applyNumberFormat="1" applyFont="1" applyFill="1" applyBorder="1"/>
    <xf numFmtId="1" fontId="17" fillId="24" borderId="28" xfId="0" applyNumberFormat="1" applyFont="1" applyFill="1" applyBorder="1"/>
    <xf numFmtId="0" fontId="17" fillId="24" borderId="27" xfId="0" applyFont="1" applyFill="1" applyBorder="1"/>
    <xf numFmtId="0" fontId="17" fillId="24" borderId="28" xfId="0" applyFont="1" applyFill="1" applyBorder="1"/>
    <xf numFmtId="166" fontId="0" fillId="9" borderId="0" xfId="0" applyNumberFormat="1" applyFill="1" applyAlignment="1">
      <alignment wrapText="1"/>
    </xf>
    <xf numFmtId="166" fontId="0" fillId="0" borderId="0" xfId="0" applyNumberFormat="1" applyAlignment="1">
      <alignment wrapText="1"/>
    </xf>
    <xf numFmtId="0" fontId="0" fillId="10" borderId="5" xfId="0" applyFill="1" applyBorder="1" applyAlignment="1">
      <alignment horizontal="right" vertical="top" wrapText="1"/>
    </xf>
    <xf numFmtId="0" fontId="17" fillId="11" borderId="2" xfId="0" applyFont="1" applyFill="1" applyBorder="1" applyAlignment="1">
      <alignment horizontal="right" vertical="top" wrapText="1"/>
    </xf>
    <xf numFmtId="0" fontId="17" fillId="11" borderId="5" xfId="0" applyFont="1" applyFill="1" applyBorder="1" applyAlignment="1">
      <alignment horizontal="right" vertical="top" wrapText="1"/>
    </xf>
    <xf numFmtId="0" fontId="17" fillId="27" borderId="5" xfId="0" applyFont="1" applyFill="1" applyBorder="1" applyAlignment="1">
      <alignment horizontal="right" vertical="top" wrapText="1"/>
    </xf>
    <xf numFmtId="0" fontId="1" fillId="13" borderId="10" xfId="0" applyFont="1" applyFill="1" applyBorder="1"/>
    <xf numFmtId="0" fontId="0" fillId="9" borderId="0" xfId="0" applyFill="1" applyAlignment="1">
      <alignment horizontal="right"/>
    </xf>
    <xf numFmtId="0" fontId="1" fillId="9" borderId="0" xfId="0" applyFont="1" applyFill="1" applyAlignment="1">
      <alignment horizontal="left" wrapText="1"/>
    </xf>
    <xf numFmtId="0" fontId="25" fillId="11" borderId="6" xfId="1" applyNumberFormat="1" applyFont="1" applyFill="1" applyBorder="1" applyProtection="1">
      <protection locked="0"/>
    </xf>
    <xf numFmtId="0" fontId="25" fillId="11" borderId="9" xfId="1" applyNumberFormat="1" applyFont="1" applyFill="1" applyBorder="1" applyProtection="1">
      <protection locked="0"/>
    </xf>
    <xf numFmtId="0" fontId="17" fillId="26" borderId="4" xfId="0" applyFont="1" applyFill="1" applyBorder="1"/>
    <xf numFmtId="0" fontId="17" fillId="26" borderId="6" xfId="0" applyFont="1" applyFill="1" applyBorder="1"/>
    <xf numFmtId="0" fontId="17" fillId="26" borderId="9" xfId="0" applyFont="1" applyFill="1" applyBorder="1"/>
    <xf numFmtId="175" fontId="17" fillId="26" borderId="11" xfId="0" applyNumberFormat="1" applyFont="1" applyFill="1" applyBorder="1" applyProtection="1">
      <protection locked="0"/>
    </xf>
    <xf numFmtId="175" fontId="17" fillId="26" borderId="12" xfId="0" applyNumberFormat="1" applyFont="1" applyFill="1" applyBorder="1" applyProtection="1">
      <protection locked="0"/>
    </xf>
    <xf numFmtId="175" fontId="17" fillId="11" borderId="0" xfId="0" applyNumberFormat="1" applyFont="1" applyFill="1" applyProtection="1">
      <protection locked="0"/>
    </xf>
    <xf numFmtId="175" fontId="17" fillId="11" borderId="2" xfId="0" applyNumberFormat="1" applyFont="1" applyFill="1" applyBorder="1" applyProtection="1">
      <protection locked="0"/>
    </xf>
    <xf numFmtId="175" fontId="17" fillId="11" borderId="5" xfId="0" applyNumberFormat="1" applyFont="1" applyFill="1" applyBorder="1" applyProtection="1">
      <protection locked="0"/>
    </xf>
    <xf numFmtId="175" fontId="17" fillId="11" borderId="7" xfId="0" applyNumberFormat="1" applyFont="1" applyFill="1" applyBorder="1" applyProtection="1">
      <protection locked="0"/>
    </xf>
    <xf numFmtId="174" fontId="17" fillId="24" borderId="4" xfId="0" applyNumberFormat="1" applyFont="1" applyFill="1" applyBorder="1" applyAlignment="1" applyProtection="1">
      <alignment vertical="center"/>
      <protection locked="0"/>
    </xf>
    <xf numFmtId="165" fontId="17" fillId="24" borderId="0" xfId="2" applyNumberFormat="1" applyFont="1" applyFill="1" applyBorder="1"/>
    <xf numFmtId="165" fontId="17" fillId="24" borderId="6" xfId="2" applyNumberFormat="1" applyFont="1" applyFill="1" applyBorder="1"/>
    <xf numFmtId="165" fontId="17" fillId="24" borderId="8" xfId="2" applyNumberFormat="1" applyFont="1" applyFill="1" applyBorder="1"/>
    <xf numFmtId="165" fontId="17" fillId="24" borderId="9" xfId="2" applyNumberFormat="1" applyFont="1" applyFill="1" applyBorder="1"/>
    <xf numFmtId="0" fontId="17" fillId="25" borderId="0" xfId="0" applyFont="1" applyFill="1"/>
    <xf numFmtId="0" fontId="17" fillId="26" borderId="11" xfId="0" applyFont="1" applyFill="1" applyBorder="1" applyProtection="1">
      <protection locked="0"/>
    </xf>
    <xf numFmtId="0" fontId="17" fillId="26" borderId="12" xfId="0" applyFont="1" applyFill="1" applyBorder="1" applyProtection="1">
      <protection locked="0"/>
    </xf>
    <xf numFmtId="0" fontId="0" fillId="10" borderId="15" xfId="0" applyFill="1" applyBorder="1"/>
    <xf numFmtId="0" fontId="0" fillId="10" borderId="13" xfId="0" applyFill="1" applyBorder="1"/>
    <xf numFmtId="0" fontId="0" fillId="10" borderId="14" xfId="0" applyFill="1" applyBorder="1"/>
    <xf numFmtId="174" fontId="17" fillId="26" borderId="3" xfId="0" applyNumberFormat="1" applyFont="1" applyFill="1" applyBorder="1" applyProtection="1">
      <protection locked="0"/>
    </xf>
    <xf numFmtId="174" fontId="17" fillId="26" borderId="4" xfId="0" applyNumberFormat="1" applyFont="1" applyFill="1" applyBorder="1" applyProtection="1">
      <protection locked="0"/>
    </xf>
    <xf numFmtId="176" fontId="17" fillId="26" borderId="0" xfId="0" applyNumberFormat="1" applyFont="1" applyFill="1" applyProtection="1">
      <protection locked="0"/>
    </xf>
    <xf numFmtId="176" fontId="17" fillId="26" borderId="6" xfId="0" applyNumberFormat="1" applyFont="1" applyFill="1" applyBorder="1" applyProtection="1">
      <protection locked="0"/>
    </xf>
    <xf numFmtId="174" fontId="17" fillId="26" borderId="8" xfId="0" applyNumberFormat="1" applyFont="1" applyFill="1" applyBorder="1" applyProtection="1">
      <protection locked="0"/>
    </xf>
    <xf numFmtId="174" fontId="17" fillId="26" borderId="9" xfId="0" applyNumberFormat="1" applyFont="1" applyFill="1" applyBorder="1" applyProtection="1">
      <protection locked="0"/>
    </xf>
    <xf numFmtId="174" fontId="17" fillId="11" borderId="10" xfId="0" applyNumberFormat="1" applyFont="1" applyFill="1" applyBorder="1"/>
    <xf numFmtId="174" fontId="17" fillId="11" borderId="11" xfId="0" applyNumberFormat="1" applyFont="1" applyFill="1" applyBorder="1"/>
    <xf numFmtId="174" fontId="17" fillId="11" borderId="12" xfId="0" applyNumberFormat="1" applyFont="1" applyFill="1" applyBorder="1"/>
    <xf numFmtId="0" fontId="17" fillId="11" borderId="15" xfId="0" applyFont="1" applyFill="1" applyBorder="1" applyProtection="1">
      <protection locked="0"/>
    </xf>
    <xf numFmtId="0" fontId="17" fillId="11" borderId="13" xfId="0" applyFont="1" applyFill="1" applyBorder="1" applyProtection="1">
      <protection locked="0"/>
    </xf>
    <xf numFmtId="0" fontId="17" fillId="24" borderId="13" xfId="0" applyFont="1" applyFill="1" applyBorder="1" applyProtection="1">
      <protection locked="0"/>
    </xf>
    <xf numFmtId="174" fontId="17" fillId="11" borderId="13" xfId="0" applyNumberFormat="1" applyFont="1" applyFill="1" applyBorder="1" applyProtection="1">
      <protection locked="0"/>
    </xf>
    <xf numFmtId="0" fontId="20" fillId="24" borderId="13" xfId="0" quotePrefix="1" applyFont="1" applyFill="1" applyBorder="1" applyProtection="1">
      <protection locked="0"/>
    </xf>
    <xf numFmtId="1" fontId="20" fillId="24" borderId="13" xfId="0" quotePrefix="1" applyNumberFormat="1" applyFont="1" applyFill="1" applyBorder="1" applyProtection="1">
      <protection locked="0"/>
    </xf>
    <xf numFmtId="166" fontId="25" fillId="17" borderId="14" xfId="1" applyNumberFormat="1" applyFont="1" applyFill="1" applyBorder="1" applyProtection="1">
      <protection locked="0"/>
    </xf>
    <xf numFmtId="0" fontId="19" fillId="9" borderId="4" xfId="0" applyFont="1" applyFill="1" applyBorder="1"/>
    <xf numFmtId="0" fontId="29" fillId="0" borderId="7" xfId="0" applyFont="1" applyBorder="1"/>
    <xf numFmtId="0" fontId="19" fillId="0" borderId="9" xfId="0" applyFont="1" applyBorder="1"/>
    <xf numFmtId="0" fontId="23" fillId="9" borderId="10" xfId="0" applyFont="1" applyFill="1" applyBorder="1"/>
    <xf numFmtId="0" fontId="0" fillId="9" borderId="12" xfId="0" applyFill="1" applyBorder="1"/>
    <xf numFmtId="0" fontId="15" fillId="9" borderId="0" xfId="0" applyFont="1" applyFill="1"/>
    <xf numFmtId="0" fontId="26" fillId="9" borderId="0" xfId="0" applyFont="1" applyFill="1" applyAlignment="1">
      <alignment wrapText="1"/>
    </xf>
    <xf numFmtId="17" fontId="0" fillId="0" borderId="0" xfId="0" applyNumberFormat="1" applyAlignment="1">
      <alignment vertical="top"/>
    </xf>
    <xf numFmtId="1" fontId="0" fillId="0" borderId="0" xfId="0" applyNumberFormat="1" applyAlignment="1">
      <alignment vertical="top"/>
    </xf>
    <xf numFmtId="0" fontId="0" fillId="0" borderId="0" xfId="0" applyAlignment="1">
      <alignment vertical="top" wrapText="1"/>
    </xf>
    <xf numFmtId="22" fontId="0" fillId="0" borderId="0" xfId="0" quotePrefix="1" applyNumberFormat="1" applyAlignment="1">
      <alignment vertical="top" wrapText="1"/>
    </xf>
    <xf numFmtId="22" fontId="0" fillId="0" borderId="0" xfId="0" applyNumberFormat="1" applyAlignment="1">
      <alignment vertical="top" wrapText="1"/>
    </xf>
    <xf numFmtId="1" fontId="0" fillId="0" borderId="0" xfId="0" applyNumberFormat="1" applyAlignment="1">
      <alignment vertical="top" wrapText="1"/>
    </xf>
    <xf numFmtId="0" fontId="0" fillId="9" borderId="21" xfId="0" applyFill="1" applyBorder="1" applyAlignment="1">
      <alignment vertical="top" wrapText="1"/>
    </xf>
    <xf numFmtId="0" fontId="0" fillId="9" borderId="0" xfId="0" applyFill="1" applyAlignment="1">
      <alignment horizontal="left" wrapText="1"/>
    </xf>
    <xf numFmtId="0" fontId="0" fillId="9" borderId="3" xfId="0" applyFill="1" applyBorder="1" applyAlignment="1">
      <alignment horizontal="left" vertical="top" wrapText="1"/>
    </xf>
    <xf numFmtId="0" fontId="0" fillId="9" borderId="19" xfId="0" applyFill="1" applyBorder="1" applyAlignment="1">
      <alignment vertical="top" wrapText="1"/>
    </xf>
    <xf numFmtId="0" fontId="0" fillId="9" borderId="18" xfId="0" applyFill="1" applyBorder="1" applyAlignment="1">
      <alignment vertical="top" wrapText="1"/>
    </xf>
    <xf numFmtId="0" fontId="0" fillId="9" borderId="29" xfId="0" applyFill="1" applyBorder="1" applyAlignment="1">
      <alignment vertical="top" wrapText="1"/>
    </xf>
    <xf numFmtId="0" fontId="0" fillId="9" borderId="20" xfId="0" applyFill="1" applyBorder="1" applyAlignment="1">
      <alignment vertical="top" wrapText="1"/>
    </xf>
    <xf numFmtId="0" fontId="0" fillId="9" borderId="0" xfId="0" applyFill="1" applyAlignment="1">
      <alignment horizontal="left" vertical="top" wrapText="1"/>
    </xf>
    <xf numFmtId="0" fontId="0" fillId="10" borderId="10" xfId="0" applyFill="1" applyBorder="1" applyAlignment="1">
      <alignment horizontal="left" wrapText="1"/>
    </xf>
    <xf numFmtId="0" fontId="0" fillId="10" borderId="11" xfId="0" applyFill="1" applyBorder="1" applyAlignment="1">
      <alignment horizontal="left" wrapText="1"/>
    </xf>
    <xf numFmtId="0" fontId="0" fillId="10" borderId="12" xfId="0" applyFill="1" applyBorder="1" applyAlignment="1">
      <alignment horizontal="left" wrapText="1"/>
    </xf>
    <xf numFmtId="0" fontId="1" fillId="12" borderId="10" xfId="0" applyFont="1" applyFill="1" applyBorder="1" applyAlignment="1">
      <alignment horizontal="left" wrapText="1"/>
    </xf>
    <xf numFmtId="0" fontId="1" fillId="12" borderId="11" xfId="0" applyFont="1" applyFill="1" applyBorder="1" applyAlignment="1">
      <alignment horizontal="left" wrapText="1"/>
    </xf>
    <xf numFmtId="0" fontId="1" fillId="12" borderId="12" xfId="0" applyFont="1" applyFill="1" applyBorder="1" applyAlignment="1">
      <alignment horizontal="left" wrapText="1"/>
    </xf>
    <xf numFmtId="0" fontId="25" fillId="17" borderId="4" xfId="0" applyFont="1" applyFill="1" applyBorder="1" applyAlignment="1" applyProtection="1">
      <alignment horizontal="center"/>
      <protection locked="0"/>
    </xf>
    <xf numFmtId="0" fontId="25" fillId="17" borderId="9" xfId="0" applyFont="1" applyFill="1" applyBorder="1" applyAlignment="1" applyProtection="1">
      <alignment horizontal="center"/>
      <protection locked="0"/>
    </xf>
    <xf numFmtId="0" fontId="25" fillId="17" borderId="4" xfId="0" applyFont="1" applyFill="1" applyBorder="1" applyAlignment="1" applyProtection="1">
      <alignment horizontal="right"/>
      <protection locked="0"/>
    </xf>
    <xf numFmtId="0" fontId="25" fillId="17" borderId="9" xfId="0" applyFont="1" applyFill="1" applyBorder="1" applyAlignment="1" applyProtection="1">
      <alignment horizontal="right"/>
      <protection locked="0"/>
    </xf>
    <xf numFmtId="2" fontId="25" fillId="17" borderId="4" xfId="0" applyNumberFormat="1" applyFont="1" applyFill="1" applyBorder="1" applyAlignment="1" applyProtection="1">
      <alignment horizontal="right"/>
      <protection locked="0"/>
    </xf>
    <xf numFmtId="2" fontId="25" fillId="17" borderId="9" xfId="0" applyNumberFormat="1" applyFont="1" applyFill="1" applyBorder="1" applyAlignment="1" applyProtection="1">
      <alignment horizontal="right"/>
      <protection locked="0"/>
    </xf>
    <xf numFmtId="0" fontId="25" fillId="17" borderId="2" xfId="0" applyFont="1" applyFill="1" applyBorder="1" applyAlignment="1" applyProtection="1">
      <alignment horizontal="right"/>
      <protection locked="0"/>
    </xf>
    <xf numFmtId="0" fontId="25" fillId="17" borderId="7" xfId="0" applyFont="1" applyFill="1" applyBorder="1" applyAlignment="1" applyProtection="1">
      <alignment horizontal="right"/>
      <protection locked="0"/>
    </xf>
    <xf numFmtId="172" fontId="25" fillId="17" borderId="4" xfId="0" applyNumberFormat="1" applyFont="1" applyFill="1" applyBorder="1" applyAlignment="1" applyProtection="1">
      <alignment horizontal="right"/>
      <protection locked="0"/>
    </xf>
    <xf numFmtId="172" fontId="25" fillId="17" borderId="9" xfId="0" applyNumberFormat="1" applyFont="1" applyFill="1" applyBorder="1" applyAlignment="1" applyProtection="1">
      <alignment horizontal="right"/>
      <protection locked="0"/>
    </xf>
    <xf numFmtId="0" fontId="1" fillId="12" borderId="10" xfId="0" applyFont="1" applyFill="1" applyBorder="1" applyAlignment="1">
      <alignment horizontal="left"/>
    </xf>
    <xf numFmtId="0" fontId="1" fillId="12" borderId="11" xfId="0" applyFont="1" applyFill="1" applyBorder="1" applyAlignment="1">
      <alignment horizontal="left"/>
    </xf>
    <xf numFmtId="0" fontId="1" fillId="12" borderId="12" xfId="0" applyFont="1" applyFill="1" applyBorder="1" applyAlignment="1">
      <alignment horizontal="left"/>
    </xf>
    <xf numFmtId="0" fontId="30" fillId="0" borderId="5" xfId="0" applyFont="1" applyBorder="1" applyAlignment="1">
      <alignment horizontal="left" wrapText="1"/>
    </xf>
    <xf numFmtId="0" fontId="30" fillId="0" borderId="0" xfId="0" applyFont="1" applyAlignment="1">
      <alignment horizontal="left" wrapText="1"/>
    </xf>
    <xf numFmtId="0" fontId="9" fillId="10" borderId="10" xfId="0" applyFont="1" applyFill="1" applyBorder="1" applyAlignment="1">
      <alignment horizontal="left" vertical="top" wrapText="1"/>
    </xf>
    <xf numFmtId="0" fontId="9" fillId="10" borderId="12" xfId="0" applyFont="1" applyFill="1" applyBorder="1" applyAlignment="1">
      <alignment horizontal="left" vertical="top" wrapText="1"/>
    </xf>
  </cellXfs>
  <cellStyles count="6">
    <cellStyle name="Comma" xfId="2" builtinId="3"/>
    <cellStyle name="Currency" xfId="5" builtinId="4"/>
    <cellStyle name="Hyperlink" xfId="3" builtinId="8"/>
    <cellStyle name="Normal" xfId="0" builtinId="0"/>
    <cellStyle name="Normal 2" xfId="4" xr:uid="{7730E151-6F8B-4AA6-A034-B5B338D837A7}"/>
    <cellStyle name="Percent" xfId="1" builtinId="5"/>
  </cellStyles>
  <dxfs count="359">
    <dxf>
      <alignment horizontal="general" vertical="center" textRotation="0" wrapText="1" indent="0" justifyLastLine="0" shrinkToFit="0" readingOrder="0"/>
    </dxf>
    <dxf>
      <alignment horizontal="general" vertical="center" textRotation="0" wrapText="1" indent="0" justifyLastLine="0" shrinkToFit="0" readingOrder="0"/>
    </dxf>
    <dxf>
      <numFmt numFmtId="1" formatCode="0"/>
      <alignment horizontal="general" vertical="center" textRotation="0" wrapText="0" indent="0" justifyLastLine="0" shrinkToFit="0" readingOrder="0"/>
    </dxf>
    <dxf>
      <numFmt numFmtId="22" formatCode="mmm\-yy"/>
      <alignment horizontal="general" vertical="center" textRotation="0" wrapText="0" indent="0" justifyLastLine="0" shrinkToFit="0" readingOrder="0"/>
    </dxf>
    <dxf>
      <alignment horizontal="general" vertical="center" textRotation="0" indent="0" justifyLastLine="0" shrinkToFit="0" readingOrder="0"/>
    </dxf>
    <dxf>
      <font>
        <b/>
      </font>
    </dxf>
    <dxf>
      <fill>
        <patternFill>
          <bgColor theme="1"/>
        </patternFill>
      </fill>
    </dxf>
    <dxf>
      <fill>
        <patternFill>
          <bgColor rgb="FFFF0000"/>
        </patternFill>
      </fill>
    </dxf>
    <dxf>
      <border diagonalUp="0" diagonalDown="0">
        <left style="thin">
          <color indexed="64"/>
        </left>
        <right/>
        <top/>
        <bottom/>
        <vertical/>
        <horizontal/>
      </border>
    </dxf>
    <dxf>
      <numFmt numFmtId="164" formatCode="0.0"/>
      <border diagonalUp="0" diagonalDown="0" outline="0">
        <left style="thin">
          <color indexed="64"/>
        </left>
        <right style="thin">
          <color indexed="64"/>
        </right>
        <top/>
        <bottom/>
      </border>
    </dxf>
    <dxf>
      <numFmt numFmtId="164" formatCode="0.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indexed="64"/>
        </left>
        <right/>
        <top/>
        <bottom/>
        <vertical/>
        <horizontal/>
      </border>
    </dxf>
    <dxf>
      <numFmt numFmtId="164" formatCode="0.0"/>
      <border diagonalUp="0" diagonalDown="0">
        <left style="thin">
          <color indexed="64"/>
        </left>
        <right/>
        <top/>
        <bottom/>
        <vertical/>
        <horizontal/>
      </border>
    </dxf>
    <dxf>
      <border diagonalUp="0" diagonalDown="0">
        <left style="thin">
          <color indexed="64"/>
        </left>
        <right style="thin">
          <color indexed="64"/>
        </right>
        <top/>
        <bottom/>
        <vertical/>
        <horizontal/>
      </border>
    </dxf>
    <dxf>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dxf>
    <dxf>
      <numFmt numFmtId="15" formatCode="0.00E+00"/>
      <protection locked="0" hidden="0"/>
    </dxf>
    <dxf>
      <numFmt numFmtId="15" formatCode="0.00E+00"/>
      <protection locked="0" hidden="0"/>
    </dxf>
    <dxf>
      <numFmt numFmtId="15" formatCode="0.00E+00"/>
      <protection locked="0" hidden="0"/>
    </dxf>
    <dxf>
      <numFmt numFmtId="15" formatCode="0.00E+00"/>
      <protection locked="0" hidden="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fill>
        <patternFill patternType="none">
          <fgColor indexed="64"/>
          <bgColor auto="1"/>
        </patternFill>
      </fill>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fill>
        <patternFill patternType="none">
          <fgColor indexed="64"/>
          <bgColor auto="1"/>
        </patternFill>
      </fill>
    </dxf>
    <dxf>
      <numFmt numFmtId="15" formatCode="0.00E+00"/>
    </dxf>
    <dxf>
      <numFmt numFmtId="15" formatCode="0.00E+00"/>
    </dxf>
    <dxf>
      <numFmt numFmtId="15" formatCode="0.00E+00"/>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dxf>
    <dxf>
      <numFmt numFmtId="15" formatCode="0.00E+00"/>
    </dxf>
    <dxf>
      <font>
        <color rgb="FF000000"/>
      </font>
      <numFmt numFmtId="15" formatCode="0.00E+00"/>
    </dxf>
    <dxf>
      <numFmt numFmtId="15" formatCode="0.00E+00"/>
    </dxf>
    <dxf>
      <numFmt numFmtId="15" formatCode="0.00E+00"/>
      <fill>
        <patternFill patternType="none">
          <fgColor indexed="64"/>
          <bgColor indexed="65"/>
        </patternFill>
      </fill>
    </dxf>
    <dxf>
      <numFmt numFmtId="15" formatCode="0.00E+00"/>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dxf>
    <dxf>
      <font>
        <strike val="0"/>
        <outline val="0"/>
        <shadow val="0"/>
        <u val="none"/>
        <vertAlign val="baseline"/>
        <sz val="11"/>
        <color auto="1"/>
        <name val="Calibri"/>
        <family val="2"/>
        <scheme val="minor"/>
      </font>
      <numFmt numFmtId="15" formatCode="0.00E+00"/>
      <fill>
        <patternFill patternType="none">
          <fgColor indexed="64"/>
          <bgColor indexed="65"/>
        </patternFill>
      </fill>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protection locked="0" hidden="0"/>
    </dxf>
    <dxf>
      <numFmt numFmtId="15" formatCode="0.00E+00"/>
      <fill>
        <patternFill patternType="none">
          <fgColor indexed="64"/>
          <bgColor auto="1"/>
        </patternFill>
      </fill>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0" formatCode="General"/>
      <fill>
        <patternFill patternType="none">
          <fgColor indexed="64"/>
          <bgColor indexed="65"/>
        </patternFill>
      </fill>
    </dxf>
    <dxf>
      <font>
        <b/>
        <strike val="0"/>
        <outline val="0"/>
        <shadow val="0"/>
        <u val="none"/>
        <vertAlign val="baseline"/>
        <sz val="11"/>
        <color theme="1"/>
        <name val="Calibri"/>
        <family val="2"/>
      </font>
      <fill>
        <patternFill patternType="solid">
          <fgColor indexed="64"/>
          <bgColor rgb="FFB1BA2B"/>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5" formatCode="_-* #,##0.00_-;\-* #,##0.00_-;_-* &quot;-&quot;??_-;_-@_-"/>
    </dxf>
    <dxf>
      <font>
        <b val="0"/>
        <i val="0"/>
        <strike val="0"/>
        <condense val="0"/>
        <extend val="0"/>
        <outline val="0"/>
        <shadow val="0"/>
        <u val="none"/>
        <vertAlign val="baseline"/>
        <sz val="11"/>
        <color auto="1"/>
        <name val="Calibri"/>
        <family val="2"/>
        <scheme val="minor"/>
      </font>
      <numFmt numFmtId="15" formatCode="0.00E+00"/>
    </dxf>
    <dxf>
      <font>
        <b val="0"/>
        <i val="0"/>
        <strike val="0"/>
        <condense val="0"/>
        <extend val="0"/>
        <outline val="0"/>
        <shadow val="0"/>
        <u val="none"/>
        <vertAlign val="baseline"/>
        <sz val="11"/>
        <color theme="1"/>
        <name val="Calibri"/>
        <family val="2"/>
        <scheme val="minor"/>
      </font>
      <numFmt numFmtId="15" formatCode="0.00E+00"/>
    </dxf>
    <dxf>
      <font>
        <b val="0"/>
        <i val="0"/>
        <strike val="0"/>
        <condense val="0"/>
        <extend val="0"/>
        <outline val="0"/>
        <shadow val="0"/>
        <u val="none"/>
        <vertAlign val="baseline"/>
        <sz val="11"/>
        <color theme="1"/>
        <name val="Calibri"/>
        <family val="2"/>
        <scheme val="minor"/>
      </font>
      <numFmt numFmtId="15" formatCode="0.00E+00"/>
    </dxf>
    <dxf>
      <font>
        <b val="0"/>
        <i val="0"/>
        <strike val="0"/>
        <condense val="0"/>
        <extend val="0"/>
        <outline val="0"/>
        <shadow val="0"/>
        <u val="none"/>
        <vertAlign val="baseline"/>
        <sz val="11"/>
        <color auto="1"/>
        <name val="Calibri"/>
        <family val="2"/>
        <scheme val="minor"/>
      </font>
      <numFmt numFmtId="165" formatCode="_-* #,##0_-;\-* #,##0_-;_-* &quot;-&quot;??_-;_-@_-"/>
    </dxf>
    <dxf>
      <font>
        <b val="0"/>
        <i val="0"/>
        <strike val="0"/>
        <condense val="0"/>
        <extend val="0"/>
        <outline val="0"/>
        <shadow val="0"/>
        <u val="none"/>
        <vertAlign val="baseline"/>
        <sz val="11"/>
        <color auto="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theme="1"/>
        </top>
      </border>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5" formatCode="0.00E+00"/>
    </dxf>
    <dxf>
      <font>
        <i val="0"/>
        <color auto="1"/>
      </font>
      <numFmt numFmtId="15" formatCode="0.00E+00"/>
      <fill>
        <patternFill patternType="none">
          <fgColor indexed="64"/>
          <bgColor auto="1"/>
        </patternFill>
      </fill>
    </dxf>
    <dxf>
      <font>
        <i val="0"/>
      </font>
      <numFmt numFmtId="15" formatCode="0.00E+00"/>
      <fill>
        <patternFill patternType="none">
          <fgColor indexed="64"/>
          <bgColor auto="1"/>
        </patternFill>
      </fill>
    </dxf>
    <dxf>
      <font>
        <i val="0"/>
      </font>
      <numFmt numFmtId="15" formatCode="0.00E+00"/>
      <fill>
        <patternFill patternType="none">
          <fgColor indexed="64"/>
          <bgColor auto="1"/>
        </patternFill>
      </fill>
    </dxf>
    <dxf>
      <font>
        <color auto="1"/>
      </font>
      <numFmt numFmtId="165" formatCode="_-* #,##0_-;\-* #,##0_-;_-* &quot;-&quot;??_-;_-@_-"/>
      <fill>
        <patternFill patternType="none">
          <fgColor indexed="64"/>
          <bgColor auto="1"/>
        </patternFill>
      </fill>
    </dxf>
    <dxf>
      <font>
        <color auto="1"/>
      </font>
      <numFmt numFmtId="165" formatCode="_-* #,##0_-;\-* #,##0_-;_-* &quot;-&quot;??_-;_-@_-"/>
      <fill>
        <patternFill patternType="none">
          <fgColor indexed="64"/>
          <bgColor auto="1"/>
        </patternFill>
      </fill>
    </dxf>
    <dxf>
      <numFmt numFmtId="15" formatCode="0.00E+00"/>
      <fill>
        <patternFill patternType="none">
          <fgColor indexed="64"/>
          <bgColor auto="1"/>
        </patternFill>
      </fill>
    </dxf>
    <dxf>
      <numFmt numFmtId="165" formatCode="_-* #,##0_-;\-* #,##0_-;_-* &quot;-&quot;??_-;_-@_-"/>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8" formatCode="0.000"/>
    </dxf>
    <dxf>
      <font>
        <b val="0"/>
        <i val="0"/>
        <strike val="0"/>
        <condense val="0"/>
        <extend val="0"/>
        <outline val="0"/>
        <shadow val="0"/>
        <u val="none"/>
        <vertAlign val="baseline"/>
        <sz val="11"/>
        <color theme="1"/>
        <name val="Calibri"/>
        <family val="2"/>
        <scheme val="minor"/>
      </font>
      <numFmt numFmtId="168" formatCode="0.000"/>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5" formatCode="_-* #,##0_-;\-* #,##0_-;_-* &quot;-&quot;??_-;_-@_-"/>
      <fill>
        <patternFill patternType="none">
          <fgColor indexed="64"/>
          <bgColor auto="1"/>
        </patternFill>
      </fill>
    </dxf>
    <dxf>
      <numFmt numFmtId="165" formatCode="_-* #,##0_-;\-* #,##0_-;_-* &quot;-&quot;??_-;_-@_-"/>
      <fill>
        <patternFill patternType="none">
          <fgColor indexed="64"/>
          <bgColor auto="1"/>
        </patternFill>
      </fill>
    </dxf>
    <dxf>
      <numFmt numFmtId="165" formatCode="_-* #,##0_-;\-* #,##0_-;_-* &quot;-&quot;??_-;_-@_-"/>
      <fill>
        <patternFill patternType="none">
          <fgColor indexed="64"/>
          <bgColor auto="1"/>
        </patternFill>
      </fill>
      <border diagonalUp="0" diagonalDown="0">
        <left style="thin">
          <color indexed="64"/>
        </left>
        <right/>
        <top/>
        <bottom/>
        <vertical/>
        <horizontal/>
      </border>
    </dxf>
    <dxf>
      <numFmt numFmtId="0" formatCode="General"/>
    </dxf>
    <dxf>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5" formatCode="_-* #,##0.00_-;\-* #,##0.00_-;_-* &quot;-&quot;??_-;_-@_-"/>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5" formatCode="0.00E+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5" formatCode="0.00E+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5" formatCode="0.00E+00"/>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5" formatCode="0.00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5" formatCode="_-* #,##0_-;\-* #,##0_-;_-* &quot;-&quot;??_-;_-@_-"/>
      <fill>
        <patternFill patternType="none">
          <fgColor indexed="64"/>
          <bgColor indexed="65"/>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8" formatCode="0.0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8" formatCode="0.0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8" formatCode="0.0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8" formatCode="0.0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8" formatCode="0.0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8" formatCode="0.0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8" formatCode="0.0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8" formatCode="0.0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5" formatCode="_-* #,##0_-;\-* #,##0_-;_-* &quot;-&quot;??_-;_-@_-"/>
    </dxf>
    <dxf>
      <font>
        <b val="0"/>
        <i val="0"/>
        <strike val="0"/>
        <condense val="0"/>
        <extend val="0"/>
        <outline val="0"/>
        <shadow val="0"/>
        <u val="none"/>
        <vertAlign val="baseline"/>
        <sz val="11"/>
        <color theme="1"/>
        <name val="Calibri"/>
        <family val="2"/>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5" formatCode="_-* #,##0_-;\-* #,##0_-;_-* &quot;-&quot;??_-;_-@_-"/>
      <fill>
        <patternFill patternType="none">
          <fgColor indexed="64"/>
          <bgColor indexed="65"/>
        </patternFill>
      </fill>
      <border diagonalUp="0" diagonalDown="0">
        <left style="thin">
          <color indexed="64"/>
        </left>
        <right/>
        <top/>
        <bottom/>
        <vertical/>
        <horizontal/>
      </border>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theme="1"/>
        </top>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ill>
        <patternFill>
          <bgColor rgb="FFFF0000"/>
        </patternFill>
      </fill>
    </dxf>
    <dxf>
      <fill>
        <patternFill>
          <bgColor rgb="FFFF0000"/>
        </patternFill>
      </fill>
    </dxf>
    <dxf>
      <fill>
        <patternFill>
          <bgColor rgb="FFFFC000"/>
        </patternFill>
      </fill>
    </dxf>
    <dxf>
      <fill>
        <patternFill>
          <bgColor theme="7" tint="0.79998168889431442"/>
        </patternFill>
      </fill>
    </dxf>
    <dxf>
      <numFmt numFmtId="164" formatCode="0.0"/>
      <fill>
        <patternFill patternType="solid">
          <fgColor indexed="64"/>
          <bgColor theme="0" tint="-0.249977111117893"/>
        </patternFill>
      </fill>
      <border diagonalUp="0" diagonalDown="0">
        <left style="thin">
          <color indexed="64"/>
        </left>
        <right style="thin">
          <color indexed="64"/>
        </right>
        <top/>
        <bottom/>
        <vertical/>
        <horizontal/>
      </border>
    </dxf>
    <dxf>
      <numFmt numFmtId="13" formatCode="0%"/>
      <fill>
        <patternFill patternType="solid">
          <fgColor indexed="64"/>
          <bgColor theme="0" tint="-0.249977111117893"/>
        </patternFill>
      </fill>
      <border diagonalUp="0" diagonalDown="0">
        <left/>
        <right style="thin">
          <color indexed="64"/>
        </right>
        <top/>
        <bottom/>
        <vertical/>
        <horizontal/>
      </border>
    </dxf>
    <dxf>
      <numFmt numFmtId="164" formatCode="0.0"/>
      <fill>
        <patternFill patternType="solid">
          <fgColor indexed="64"/>
          <bgColor theme="0" tint="-0.249977111117893"/>
        </patternFill>
      </fill>
    </dxf>
    <dxf>
      <font>
        <strike val="0"/>
        <outline val="0"/>
        <shadow val="0"/>
        <u val="none"/>
        <vertAlign val="baseline"/>
        <sz val="11"/>
        <color theme="0"/>
        <name val="Calibri"/>
        <family val="2"/>
        <scheme val="minor"/>
      </font>
      <numFmt numFmtId="164" formatCode="0.0"/>
      <fill>
        <patternFill patternType="solid">
          <fgColor indexed="64"/>
          <bgColor rgb="FF70A0AF"/>
        </patternFill>
      </fill>
    </dxf>
    <dxf>
      <font>
        <strike val="0"/>
        <outline val="0"/>
        <shadow val="0"/>
        <u val="none"/>
        <vertAlign val="baseline"/>
        <sz val="11"/>
        <color theme="0"/>
        <name val="Calibri"/>
        <family val="2"/>
        <scheme val="minor"/>
      </font>
      <numFmt numFmtId="164" formatCode="0.0"/>
      <fill>
        <patternFill patternType="solid">
          <fgColor indexed="64"/>
          <bgColor rgb="FF70A0AF"/>
        </patternFill>
      </fill>
    </dxf>
    <dxf>
      <font>
        <strike val="0"/>
        <outline val="0"/>
        <shadow val="0"/>
        <u val="none"/>
        <vertAlign val="baseline"/>
        <sz val="11"/>
        <color theme="0"/>
        <name val="Calibri"/>
        <family val="2"/>
        <scheme val="minor"/>
      </font>
      <numFmt numFmtId="164" formatCode="0.0"/>
      <fill>
        <patternFill patternType="solid">
          <fgColor indexed="64"/>
          <bgColor rgb="FF70A0AF"/>
        </patternFill>
      </fill>
    </dxf>
    <dxf>
      <font>
        <strike val="0"/>
        <outline val="0"/>
        <shadow val="0"/>
        <u val="none"/>
        <vertAlign val="baseline"/>
        <sz val="11"/>
        <color theme="0"/>
        <name val="Calibri"/>
        <family val="2"/>
        <scheme val="minor"/>
      </font>
      <numFmt numFmtId="164" formatCode="0.0"/>
      <fill>
        <patternFill patternType="solid">
          <fgColor indexed="64"/>
          <bgColor rgb="FF70A0AF"/>
        </patternFill>
      </fill>
    </dxf>
    <dxf>
      <font>
        <color theme="0"/>
      </font>
      <numFmt numFmtId="0" formatCode="General"/>
      <fill>
        <patternFill patternType="solid">
          <fgColor indexed="64"/>
          <bgColor rgb="FF023A5C"/>
        </patternFill>
      </fill>
    </dxf>
    <dxf>
      <font>
        <color theme="0"/>
      </font>
      <numFmt numFmtId="0" formatCode="General"/>
      <fill>
        <patternFill patternType="solid">
          <fgColor indexed="64"/>
          <bgColor rgb="FF023A5C"/>
        </patternFill>
      </fill>
    </dxf>
    <dxf>
      <font>
        <b val="0"/>
        <i val="0"/>
        <strike val="0"/>
        <condense val="0"/>
        <extend val="0"/>
        <outline val="0"/>
        <shadow val="0"/>
        <u val="none"/>
        <vertAlign val="baseline"/>
        <sz val="11"/>
        <color theme="0"/>
        <name val="Calibri"/>
        <family val="2"/>
        <scheme val="minor"/>
      </font>
      <fill>
        <patternFill patternType="solid">
          <fgColor indexed="64"/>
          <bgColor rgb="FF023A5C"/>
        </patternFill>
      </fill>
    </dxf>
    <dxf>
      <font>
        <color theme="0"/>
      </font>
      <numFmt numFmtId="164" formatCode="0.0"/>
      <fill>
        <patternFill patternType="solid">
          <fgColor indexed="64"/>
          <bgColor rgb="FF023A5C"/>
        </patternFill>
      </fill>
    </dxf>
    <dxf>
      <font>
        <color theme="0"/>
      </font>
      <numFmt numFmtId="15" formatCode="0.00E+00"/>
      <fill>
        <patternFill patternType="solid">
          <fgColor indexed="64"/>
          <bgColor rgb="FF023A5C"/>
        </patternFill>
      </fill>
      <border diagonalUp="0" diagonalDown="0">
        <left style="thin">
          <color indexed="64"/>
        </left>
        <right/>
        <top/>
        <bottom/>
        <vertical/>
        <horizontal/>
      </border>
    </dxf>
    <dxf>
      <numFmt numFmtId="164" formatCode="0.0"/>
      <fill>
        <patternFill patternType="solid">
          <fgColor indexed="64"/>
          <bgColor theme="0" tint="-0.249977111117893"/>
        </patternFill>
      </fill>
      <border diagonalUp="0" diagonalDown="0" outline="0">
        <left/>
        <right style="thin">
          <color indexed="64"/>
        </right>
        <top/>
        <bottom/>
      </border>
    </dxf>
    <dxf>
      <numFmt numFmtId="164" formatCode="0.0"/>
      <fill>
        <patternFill patternType="solid">
          <fgColor indexed="64"/>
          <bgColor theme="0" tint="-0.249977111117893"/>
        </patternFill>
      </fill>
    </dxf>
    <dxf>
      <numFmt numFmtId="164" formatCode="0.0"/>
      <fill>
        <patternFill patternType="solid">
          <fgColor indexed="64"/>
          <bgColor theme="0" tint="-0.249977111117893"/>
        </patternFill>
      </fill>
    </dxf>
    <dxf>
      <numFmt numFmtId="164" formatCode="0.0"/>
      <fill>
        <patternFill patternType="solid">
          <fgColor indexed="64"/>
          <bgColor theme="0" tint="-0.249977111117893"/>
        </patternFill>
      </fill>
    </dxf>
    <dxf>
      <font>
        <strike val="0"/>
        <outline val="0"/>
        <shadow val="0"/>
        <u val="none"/>
        <vertAlign val="baseline"/>
        <sz val="11"/>
        <color theme="0"/>
        <name val="Calibri"/>
        <family val="2"/>
        <scheme val="minor"/>
      </font>
      <numFmt numFmtId="0" formatCode="General"/>
      <fill>
        <patternFill patternType="solid">
          <fgColor indexed="64"/>
          <bgColor rgb="FF023A5C"/>
        </patternFill>
      </fill>
    </dxf>
    <dxf>
      <font>
        <strike val="0"/>
        <outline val="0"/>
        <shadow val="0"/>
        <u val="none"/>
        <vertAlign val="baseline"/>
        <sz val="11"/>
        <color theme="0"/>
        <name val="Calibri"/>
        <family val="2"/>
        <scheme val="minor"/>
      </font>
      <numFmt numFmtId="0" formatCode="General"/>
      <fill>
        <patternFill patternType="solid">
          <fgColor indexed="64"/>
          <bgColor rgb="FF023A5C"/>
        </patternFill>
      </fill>
    </dxf>
    <dxf>
      <font>
        <b val="0"/>
        <i val="0"/>
        <strike val="0"/>
        <condense val="0"/>
        <extend val="0"/>
        <outline val="0"/>
        <shadow val="0"/>
        <u val="none"/>
        <vertAlign val="baseline"/>
        <sz val="11"/>
        <color theme="0"/>
        <name val="Calibri"/>
        <family val="2"/>
        <scheme val="minor"/>
      </font>
      <fill>
        <patternFill patternType="solid">
          <fgColor indexed="64"/>
          <bgColor rgb="FF023A5C"/>
        </patternFill>
      </fill>
    </dxf>
    <dxf>
      <font>
        <strike val="0"/>
        <outline val="0"/>
        <shadow val="0"/>
        <u val="none"/>
        <vertAlign val="baseline"/>
        <sz val="11"/>
        <color theme="0"/>
        <name val="Calibri"/>
        <family val="2"/>
        <scheme val="minor"/>
      </font>
      <numFmt numFmtId="15" formatCode="0.00E+00"/>
      <fill>
        <patternFill patternType="solid">
          <fgColor indexed="64"/>
          <bgColor rgb="FF023A5C"/>
        </patternFill>
      </fill>
    </dxf>
    <dxf>
      <font>
        <strike val="0"/>
        <outline val="0"/>
        <shadow val="0"/>
        <u val="none"/>
        <vertAlign val="baseline"/>
        <sz val="11"/>
        <color theme="0"/>
        <name val="Calibri"/>
        <family val="2"/>
        <scheme val="minor"/>
      </font>
      <numFmt numFmtId="15" formatCode="0.00E+00"/>
      <fill>
        <patternFill patternType="solid">
          <fgColor indexed="64"/>
          <bgColor rgb="FF023A5C"/>
        </patternFill>
      </fill>
      <border diagonalUp="0" diagonalDown="0">
        <left style="thin">
          <color indexed="64"/>
        </left>
        <right/>
        <top/>
        <bottom/>
        <vertical/>
        <horizontal/>
      </border>
    </dxf>
    <dxf>
      <numFmt numFmtId="164" formatCode="0.0"/>
      <fill>
        <patternFill patternType="solid">
          <fgColor indexed="64"/>
          <bgColor theme="0" tint="-0.249977111117893"/>
        </patternFill>
      </fill>
      <border diagonalUp="0" diagonalDown="0">
        <left/>
        <right style="thin">
          <color indexed="64"/>
        </right>
        <top/>
        <bottom/>
      </border>
    </dxf>
    <dxf>
      <numFmt numFmtId="164" formatCode="0.0"/>
      <fill>
        <patternFill patternType="solid">
          <fgColor indexed="64"/>
          <bgColor theme="0" tint="-0.249977111117893"/>
        </patternFill>
      </fill>
    </dxf>
    <dxf>
      <numFmt numFmtId="164" formatCode="0.0"/>
      <fill>
        <patternFill patternType="solid">
          <fgColor indexed="64"/>
          <bgColor theme="0" tint="-0.249977111117893"/>
        </patternFill>
      </fill>
    </dxf>
    <dxf>
      <numFmt numFmtId="164" formatCode="0.0"/>
      <fill>
        <patternFill patternType="solid">
          <fgColor indexed="64"/>
          <bgColor theme="0" tint="-0.249977111117893"/>
        </patternFill>
      </fill>
    </dxf>
    <dxf>
      <font>
        <strike val="0"/>
        <outline val="0"/>
        <shadow val="0"/>
        <u val="none"/>
        <vertAlign val="baseline"/>
        <sz val="11"/>
        <color theme="0"/>
        <name val="Calibri"/>
        <family val="2"/>
        <scheme val="minor"/>
      </font>
      <fill>
        <patternFill patternType="solid">
          <fgColor indexed="64"/>
          <bgColor rgb="FF023A5C"/>
        </patternFill>
      </fill>
      <border diagonalUp="0" diagonalDown="0">
        <left/>
        <right style="thin">
          <color indexed="64"/>
        </right>
        <top/>
        <bottom/>
        <vertical/>
        <horizontal/>
      </border>
    </dxf>
    <dxf>
      <font>
        <strike val="0"/>
        <outline val="0"/>
        <shadow val="0"/>
        <u val="none"/>
        <vertAlign val="baseline"/>
        <sz val="11"/>
        <color theme="0"/>
        <name val="Calibri"/>
        <family val="2"/>
        <scheme val="minor"/>
      </font>
      <fill>
        <patternFill patternType="solid">
          <fgColor indexed="64"/>
          <bgColor rgb="FF023A5C"/>
        </patternFill>
      </fill>
    </dxf>
    <dxf>
      <font>
        <b val="0"/>
        <i val="0"/>
        <strike val="0"/>
        <condense val="0"/>
        <extend val="0"/>
        <outline val="0"/>
        <shadow val="0"/>
        <u val="none"/>
        <vertAlign val="baseline"/>
        <sz val="11"/>
        <color theme="0"/>
        <name val="Calibri"/>
        <family val="2"/>
        <scheme val="minor"/>
      </font>
      <fill>
        <patternFill patternType="solid">
          <fgColor indexed="64"/>
          <bgColor rgb="FF023A5C"/>
        </patternFill>
      </fill>
    </dxf>
    <dxf>
      <font>
        <strike val="0"/>
        <outline val="0"/>
        <shadow val="0"/>
        <u val="none"/>
        <vertAlign val="baseline"/>
        <sz val="11"/>
        <color theme="0"/>
        <name val="Calibri"/>
        <family val="2"/>
        <scheme val="minor"/>
      </font>
      <fill>
        <patternFill patternType="solid">
          <fgColor indexed="64"/>
          <bgColor rgb="FF023A5C"/>
        </patternFill>
      </fill>
    </dxf>
    <dxf>
      <font>
        <strike val="0"/>
        <outline val="0"/>
        <shadow val="0"/>
        <u val="none"/>
        <vertAlign val="baseline"/>
        <sz val="11"/>
        <color theme="0"/>
        <name val="Calibri"/>
        <family val="2"/>
        <scheme val="minor"/>
      </font>
      <fill>
        <patternFill patternType="solid">
          <fgColor indexed="64"/>
          <bgColor rgb="FF023A5C"/>
        </patternFill>
      </fill>
    </dxf>
    <dxf>
      <fill>
        <patternFill patternType="solid">
          <fgColor indexed="64"/>
          <bgColor rgb="FFB1BA2B"/>
        </patternFill>
      </fill>
    </dxf>
    <dxf>
      <fill>
        <patternFill patternType="solid">
          <fgColor indexed="64"/>
          <bgColor rgb="FFB1BA2B"/>
        </patternFill>
      </fill>
    </dxf>
    <dxf>
      <fill>
        <patternFill>
          <fgColor indexed="64"/>
          <bgColor theme="0" tint="-0.249977111117893"/>
        </patternFill>
      </fill>
      <alignment horizontal="general" vertical="bottom" textRotation="0" wrapText="1" indent="0" justifyLastLine="0" shrinkToFit="0" readingOrder="0"/>
    </dxf>
    <dxf>
      <fill>
        <patternFill>
          <bgColor rgb="FFFFC000"/>
        </patternFill>
      </fill>
    </dxf>
    <dxf>
      <fill>
        <patternFill>
          <bgColor rgb="FFFFC000"/>
        </patternFill>
      </fill>
    </dxf>
    <dxf>
      <fill>
        <patternFill>
          <bgColor rgb="FFFFC000"/>
        </patternFill>
      </fill>
    </dxf>
    <dxf>
      <fill>
        <patternFill>
          <bgColor theme="7" tint="0.79998168889431442"/>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rgb="FFFFC000"/>
        </patternFill>
      </fill>
    </dxf>
    <dxf>
      <fill>
        <patternFill>
          <bgColor theme="7" tint="0.79998168889431442"/>
        </patternFill>
      </fill>
    </dxf>
    <dxf>
      <font>
        <strike val="0"/>
        <outline val="0"/>
        <shadow val="0"/>
        <u val="none"/>
        <vertAlign val="baseline"/>
        <sz val="11"/>
        <color auto="1"/>
        <name val="Calibri"/>
        <family val="2"/>
        <scheme val="minor"/>
      </font>
      <numFmt numFmtId="174" formatCode="_(* #,##0_);_(*(#,##0\);_(* &quot;-&quot;??_);_(@_)"/>
      <fill>
        <patternFill patternType="solid">
          <fgColor indexed="64"/>
          <bgColor rgb="FF70A0AF"/>
        </patternFill>
      </fill>
      <alignment vertical="center"/>
    </dxf>
    <dxf>
      <font>
        <color theme="0"/>
      </font>
      <numFmt numFmtId="174" formatCode="_(* #,##0_);_(*(#,##0\);_(* &quot;-&quot;??_);_(@_)"/>
      <fill>
        <patternFill patternType="solid">
          <fgColor indexed="64"/>
          <bgColor rgb="FF023A5C"/>
        </patternFill>
      </fill>
      <alignment vertical="center"/>
    </dxf>
    <dxf>
      <font>
        <color theme="0"/>
      </font>
      <numFmt numFmtId="174" formatCode="_(* #,##0_);_(*(#,##0\);_(* &quot;-&quot;??_);_(@_)"/>
      <fill>
        <patternFill patternType="solid">
          <fgColor indexed="64"/>
          <bgColor rgb="FF023A5C"/>
        </patternFill>
      </fill>
      <alignment vertical="center"/>
      <protection locked="0" hidden="0"/>
    </dxf>
    <dxf>
      <font>
        <color theme="0"/>
      </font>
      <numFmt numFmtId="174" formatCode="_(* #,##0_);_(*(#,##0\);_(* &quot;-&quot;??_);_(@_)"/>
      <fill>
        <patternFill patternType="solid">
          <fgColor indexed="64"/>
          <bgColor rgb="FF023A5C"/>
        </patternFill>
      </fill>
      <alignment vertical="center"/>
    </dxf>
    <dxf>
      <font>
        <color theme="0"/>
      </font>
      <numFmt numFmtId="174" formatCode="_(* #,##0_);_(*(#,##0\);_(* &quot;-&quot;??_);_(@_)"/>
      <fill>
        <patternFill patternType="solid">
          <fgColor indexed="64"/>
          <bgColor rgb="FF023A5C"/>
        </patternFill>
      </fill>
      <alignment vertical="center"/>
    </dxf>
    <dxf>
      <fill>
        <patternFill patternType="solid">
          <fgColor indexed="64"/>
          <bgColor rgb="FFB1BA2B"/>
        </patternFill>
      </fill>
      <border diagonalUp="0" diagonalDown="0">
        <left style="thin">
          <color indexed="64"/>
        </left>
        <right/>
        <top/>
        <bottom/>
        <vertical/>
        <horizontal/>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general" vertical="bottom" textRotation="0" wrapText="1" indent="0" justifyLastLine="0" shrinkToFit="0" readingOrder="0"/>
    </dxf>
    <dxf>
      <font>
        <strike val="0"/>
        <outline val="0"/>
        <shadow val="0"/>
        <u val="none"/>
        <vertAlign val="baseline"/>
        <sz val="11"/>
        <color auto="1"/>
        <name val="Calibri"/>
        <family val="2"/>
        <scheme val="minor"/>
      </font>
      <numFmt numFmtId="174" formatCode="_(* #,##0_);_(*(#,##0\);_(* &quot;-&quot;??_);_(@_)"/>
      <fill>
        <patternFill patternType="solid">
          <fgColor indexed="64"/>
          <bgColor rgb="FF70A0AF"/>
        </patternFill>
      </fill>
    </dxf>
    <dxf>
      <fill>
        <patternFill patternType="solid">
          <fgColor indexed="64"/>
          <bgColor theme="0"/>
        </patternFill>
      </fill>
    </dxf>
    <dxf>
      <font>
        <color theme="0"/>
      </font>
      <numFmt numFmtId="174" formatCode="_(* #,##0_);_(*(#,##0\);_(* &quot;-&quot;??_);_(@_)"/>
      <fill>
        <patternFill patternType="solid">
          <fgColor indexed="64"/>
          <bgColor rgb="FF023A5C"/>
        </patternFill>
      </fill>
    </dxf>
    <dxf>
      <fill>
        <patternFill patternType="solid">
          <fgColor indexed="64"/>
          <bgColor theme="0"/>
        </patternFill>
      </fill>
    </dxf>
    <dxf>
      <font>
        <color theme="0"/>
      </font>
      <numFmt numFmtId="174" formatCode="_(* #,##0_);_(*(#,##0\);_(* &quot;-&quot;??_);_(@_)"/>
      <fill>
        <patternFill patternType="solid">
          <fgColor indexed="64"/>
          <bgColor rgb="FF023A5C"/>
        </patternFill>
      </fill>
      <protection locked="0" hidden="0"/>
    </dxf>
    <dxf>
      <font>
        <b val="0"/>
        <i/>
        <strike val="0"/>
        <condense val="0"/>
        <extend val="0"/>
        <outline val="0"/>
        <shadow val="0"/>
        <u val="none"/>
        <vertAlign val="baseline"/>
        <sz val="11"/>
        <color theme="0"/>
        <name val="Calibri"/>
        <family val="2"/>
        <scheme val="minor"/>
      </font>
      <numFmt numFmtId="174" formatCode="_(* #,##0_);_(*(#,##0\);_(* &quot;-&quot;??_);_(@_)"/>
      <fill>
        <patternFill patternType="solid">
          <fgColor indexed="64"/>
          <bgColor rgb="FF023A5C"/>
        </patternFill>
      </fill>
      <alignment horizontal="general" vertical="bottom" textRotation="0" wrapText="0" indent="0" justifyLastLine="0" shrinkToFit="0" readingOrder="0"/>
    </dxf>
    <dxf>
      <font>
        <color theme="0"/>
      </font>
      <numFmt numFmtId="174" formatCode="_(* #,##0_);_(*(#,##0\);_(* &quot;-&quot;??_);_(@_)"/>
      <fill>
        <patternFill patternType="solid">
          <fgColor indexed="64"/>
          <bgColor rgb="FF023A5C"/>
        </patternFill>
      </fill>
    </dxf>
    <dxf>
      <fill>
        <patternFill patternType="solid">
          <fgColor indexed="64"/>
          <bgColor theme="0"/>
        </patternFill>
      </fill>
    </dxf>
    <dxf>
      <font>
        <color theme="0"/>
      </font>
      <numFmt numFmtId="174" formatCode="_(* #,##0_);_(*(#,##0\);_(* &quot;-&quot;??_);_(@_)"/>
      <fill>
        <patternFill patternType="solid">
          <fgColor indexed="64"/>
          <bgColor rgb="FF023A5C"/>
        </patternFill>
      </fill>
    </dxf>
    <dxf>
      <fill>
        <patternFill patternType="solid">
          <fgColor indexed="64"/>
          <bgColor theme="0"/>
        </patternFill>
      </fill>
    </dxf>
    <dxf>
      <fill>
        <patternFill patternType="solid">
          <fgColor indexed="64"/>
          <bgColor rgb="FFB1BA2B"/>
        </patternFill>
      </fill>
      <border diagonalUp="0" diagonalDown="0">
        <left style="thin">
          <color indexed="64"/>
        </left>
        <right/>
        <top/>
        <bottom/>
        <vertical/>
        <horizontal/>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general" vertical="bottom" textRotation="0" wrapText="1" indent="0" justifyLastLine="0" shrinkToFit="0" readingOrder="0"/>
    </dxf>
    <dxf>
      <font>
        <strike val="0"/>
        <outline val="0"/>
        <shadow val="0"/>
        <u val="none"/>
        <vertAlign val="baseline"/>
        <sz val="11"/>
        <color auto="1"/>
        <name val="Calibri"/>
        <family val="2"/>
        <scheme val="minor"/>
      </font>
      <numFmt numFmtId="174" formatCode="_(* #,##0_);_(*(#,##0\);_(* &quot;-&quot;??_);_(@_)"/>
      <fill>
        <patternFill patternType="solid">
          <fgColor indexed="64"/>
          <bgColor rgb="FF70A0AF"/>
        </patternFill>
      </fill>
    </dxf>
    <dxf>
      <fill>
        <patternFill patternType="solid">
          <fgColor indexed="64"/>
          <bgColor rgb="FFFFFF00"/>
        </patternFill>
      </fill>
    </dxf>
    <dxf>
      <font>
        <color theme="0"/>
      </font>
      <numFmt numFmtId="174" formatCode="_(* #,##0_);_(*(#,##0\);_(* &quot;-&quot;??_);_(@_)"/>
      <fill>
        <patternFill patternType="solid">
          <fgColor indexed="64"/>
          <bgColor rgb="FF023A5C"/>
        </patternFill>
      </fill>
    </dxf>
    <dxf>
      <fill>
        <patternFill patternType="solid">
          <fgColor indexed="64"/>
          <bgColor rgb="FFFFFF00"/>
        </patternFill>
      </fill>
    </dxf>
    <dxf>
      <font>
        <color theme="0"/>
      </font>
      <numFmt numFmtId="174" formatCode="_(* #,##0_);_(*(#,##0\);_(* &quot;-&quot;??_);_(@_)"/>
      <fill>
        <patternFill patternType="solid">
          <fgColor indexed="64"/>
          <bgColor rgb="FF023A5C"/>
        </patternFill>
      </fill>
    </dxf>
    <dxf>
      <fill>
        <patternFill patternType="solid">
          <fgColor indexed="64"/>
          <bgColor rgb="FFFFFF00"/>
        </patternFill>
      </fill>
    </dxf>
    <dxf>
      <font>
        <color theme="0"/>
      </font>
      <numFmt numFmtId="165" formatCode="_-* #,##0_-;\-* #,##0_-;_-* &quot;-&quot;??_-;_-@_-"/>
      <fill>
        <patternFill patternType="solid">
          <fgColor indexed="64"/>
          <bgColor rgb="FF023A5C"/>
        </patternFill>
      </fill>
    </dxf>
    <dxf>
      <fill>
        <patternFill patternType="solid">
          <fgColor indexed="64"/>
          <bgColor rgb="FFFFFF00"/>
        </patternFill>
      </fill>
    </dxf>
    <dxf>
      <font>
        <color theme="0"/>
      </font>
      <numFmt numFmtId="165" formatCode="_-* #,##0_-;\-* #,##0_-;_-* &quot;-&quot;??_-;_-@_-"/>
      <fill>
        <patternFill patternType="solid">
          <fgColor indexed="64"/>
          <bgColor rgb="FF023A5C"/>
        </patternFill>
      </fill>
    </dxf>
    <dxf>
      <fill>
        <patternFill patternType="solid">
          <fgColor indexed="64"/>
          <bgColor rgb="FFB1BA2B"/>
        </patternFill>
      </fill>
      <border diagonalUp="0" diagonalDown="0" outline="0">
        <left style="thin">
          <color indexed="64"/>
        </left>
        <right/>
        <top/>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general" vertical="bottom" textRotation="0" wrapText="1" indent="0" justifyLastLine="0" shrinkToFit="0" readingOrder="0"/>
    </dxf>
    <dxf>
      <font>
        <b val="0"/>
        <i/>
      </font>
      <fill>
        <patternFill>
          <bgColor theme="0"/>
        </patternFill>
      </fill>
    </dxf>
    <dxf>
      <font>
        <b val="0"/>
        <i/>
      </font>
      <fill>
        <patternFill>
          <bgColor theme="0"/>
        </patternFill>
      </fill>
    </dxf>
    <dxf>
      <font>
        <b val="0"/>
        <i/>
      </font>
      <fill>
        <patternFill>
          <bgColor theme="0"/>
        </patternFill>
      </fill>
    </dxf>
    <dxf>
      <fill>
        <patternFill>
          <bgColor theme="7" tint="0.79998168889431442"/>
        </patternFill>
      </fill>
    </dxf>
    <dxf>
      <fill>
        <patternFill>
          <bgColor theme="7" tint="0.59996337778862885"/>
        </patternFill>
      </fill>
    </dxf>
    <dxf>
      <fill>
        <patternFill>
          <bgColor theme="7" tint="0.79998168889431442"/>
        </patternFill>
      </fill>
    </dxf>
    <dxf>
      <font>
        <b val="0"/>
        <i/>
      </font>
      <fill>
        <patternFill>
          <bgColor theme="0"/>
        </patternFill>
      </fill>
    </dxf>
    <dxf>
      <font>
        <b val="0"/>
        <i/>
      </font>
      <fill>
        <patternFill>
          <bgColor theme="0"/>
        </patternFill>
      </fill>
    </dxf>
    <dxf>
      <font>
        <b val="0"/>
        <i/>
      </font>
      <fill>
        <patternFill>
          <bgColor theme="0"/>
        </patternFill>
      </fill>
    </dxf>
    <dxf>
      <fill>
        <patternFill>
          <bgColor theme="7" tint="0.79998168889431442"/>
        </patternFill>
      </fill>
    </dxf>
    <dxf>
      <numFmt numFmtId="165" formatCode="_-* #,##0_-;\-* #,##0_-;_-* &quot;-&quot;??_-;_-@_-"/>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rgb="FFFFC000"/>
        </patternFill>
      </fill>
    </dxf>
    <dxf>
      <fill>
        <patternFill>
          <bgColor theme="7" tint="0.79998168889431442"/>
        </patternFill>
      </fill>
    </dxf>
    <dxf>
      <fill>
        <patternFill>
          <bgColor theme="7" tint="0.79998168889431442"/>
        </patternFill>
      </fill>
    </dxf>
    <dxf>
      <font>
        <b val="0"/>
        <i/>
        <color auto="1"/>
      </font>
      <numFmt numFmtId="1" formatCode="0"/>
    </dxf>
    <dxf>
      <font>
        <b val="0"/>
        <i/>
        <color auto="1"/>
      </font>
      <numFmt numFmtId="1" formatCode="0"/>
    </dxf>
    <dxf>
      <font>
        <b val="0"/>
        <i/>
        <color auto="1"/>
      </font>
      <numFmt numFmtId="1" formatCode="0"/>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rgb="FFF0FBDD"/>
        </patternFill>
      </fill>
    </dxf>
    <dxf>
      <fill>
        <patternFill>
          <bgColor rgb="FFD2EB99"/>
        </patternFill>
      </fill>
    </dxf>
    <dxf>
      <fill>
        <patternFill>
          <bgColor rgb="FF8EB020"/>
        </patternFill>
      </fill>
    </dxf>
  </dxfs>
  <tableStyles count="1" defaultTableStyle="TableStyleMedium2" defaultPivotStyle="PivotStyleLight16">
    <tableStyle name="Table Style 1" pivot="0" count="3" xr9:uid="{BA29A1E5-8CEE-45C4-ABCF-002815B21D86}">
      <tableStyleElement type="headerRow" dxfId="358"/>
      <tableStyleElement type="firstRowStripe" dxfId="357"/>
      <tableStyleElement type="secondRowStripe" dxfId="356"/>
    </tableStyle>
  </tableStyles>
  <colors>
    <mruColors>
      <color rgb="FF023A5C"/>
      <color rgb="FF70A0AF"/>
      <color rgb="FFEDEDED"/>
      <color rgb="FFB1BA2B"/>
      <color rgb="FF68C4FC"/>
      <color rgb="FF606618"/>
      <color rgb="FF847996"/>
      <color rgb="FF91D4FD"/>
      <color rgb="FF003366"/>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Total</a:t>
            </a:r>
            <a:r>
              <a:rPr lang="en-NZ" baseline="0"/>
              <a:t> </a:t>
            </a:r>
            <a:r>
              <a:rPr lang="en-NZ"/>
              <a:t>Global</a:t>
            </a:r>
            <a:r>
              <a:rPr lang="en-NZ" baseline="0"/>
              <a:t> Warming Potential Over Investigate Timespan</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'Additional Impact Indicators'!$G$1</c:f>
              <c:strCache>
                <c:ptCount val="1"/>
                <c:pt idx="0">
                  <c:v>Raw-Materials</c:v>
                </c:pt>
              </c:strCache>
            </c:strRef>
          </c:tx>
          <c:spPr>
            <a:solidFill>
              <a:schemeClr val="accent1"/>
            </a:solidFill>
            <a:ln>
              <a:noFill/>
            </a:ln>
            <a:effectLst/>
          </c:spPr>
          <c:invertIfNegative val="0"/>
          <c:cat>
            <c:multiLvlStrRef>
              <c:f>'Additional Impact Indicators'!$F$2:$F$4</c:f>
            </c:multiLvlStrRef>
          </c:cat>
          <c:val>
            <c:numRef>
              <c:f>'Additional Impact Indicators'!$G$2:$G$4</c:f>
            </c:numRef>
          </c:val>
          <c:extLst>
            <c:ext xmlns:c16="http://schemas.microsoft.com/office/drawing/2014/chart" uri="{C3380CC4-5D6E-409C-BE32-E72D297353CC}">
              <c16:uniqueId val="{00000000-1BD6-4C8D-B505-3A04FAD615AF}"/>
            </c:ext>
          </c:extLst>
        </c:ser>
        <c:ser>
          <c:idx val="1"/>
          <c:order val="1"/>
          <c:tx>
            <c:strRef>
              <c:f>'Additional Impact Indicators'!$H$1</c:f>
              <c:strCache>
                <c:ptCount val="1"/>
                <c:pt idx="0">
                  <c:v>Raw-Transport</c:v>
                </c:pt>
              </c:strCache>
            </c:strRef>
          </c:tx>
          <c:spPr>
            <a:solidFill>
              <a:schemeClr val="accent2"/>
            </a:solidFill>
            <a:ln>
              <a:noFill/>
            </a:ln>
            <a:effectLst/>
          </c:spPr>
          <c:invertIfNegative val="0"/>
          <c:cat>
            <c:multiLvlStrRef>
              <c:f>'Additional Impact Indicators'!$F$2:$F$4</c:f>
            </c:multiLvlStrRef>
          </c:cat>
          <c:val>
            <c:numRef>
              <c:f>'Additional Impact Indicators'!$H$2:$H$4</c:f>
            </c:numRef>
          </c:val>
          <c:extLst>
            <c:ext xmlns:c16="http://schemas.microsoft.com/office/drawing/2014/chart" uri="{C3380CC4-5D6E-409C-BE32-E72D297353CC}">
              <c16:uniqueId val="{00000001-1BD6-4C8D-B505-3A04FAD615AF}"/>
            </c:ext>
          </c:extLst>
        </c:ser>
        <c:ser>
          <c:idx val="2"/>
          <c:order val="2"/>
          <c:tx>
            <c:strRef>
              <c:f>'Additional Impact Indicators'!$I$1</c:f>
              <c:strCache>
                <c:ptCount val="1"/>
                <c:pt idx="0">
                  <c:v>Raw-Paving</c:v>
                </c:pt>
              </c:strCache>
            </c:strRef>
          </c:tx>
          <c:spPr>
            <a:solidFill>
              <a:schemeClr val="accent3"/>
            </a:solidFill>
            <a:ln>
              <a:noFill/>
            </a:ln>
            <a:effectLst/>
          </c:spPr>
          <c:invertIfNegative val="0"/>
          <c:cat>
            <c:multiLvlStrRef>
              <c:f>'Additional Impact Indicators'!$F$2:$F$4</c:f>
            </c:multiLvlStrRef>
          </c:cat>
          <c:val>
            <c:numRef>
              <c:f>'Additional Impact Indicators'!$I$2:$I$4</c:f>
            </c:numRef>
          </c:val>
          <c:extLst>
            <c:ext xmlns:c16="http://schemas.microsoft.com/office/drawing/2014/chart" uri="{C3380CC4-5D6E-409C-BE32-E72D297353CC}">
              <c16:uniqueId val="{00000002-1BD6-4C8D-B505-3A04FAD615AF}"/>
            </c:ext>
          </c:extLst>
        </c:ser>
        <c:ser>
          <c:idx val="3"/>
          <c:order val="3"/>
          <c:tx>
            <c:strRef>
              <c:f>'Additional Impact Indicators'!$J$1</c:f>
              <c:strCache>
                <c:ptCount val="1"/>
                <c:pt idx="0">
                  <c:v>Main - crack materials</c:v>
                </c:pt>
              </c:strCache>
            </c:strRef>
          </c:tx>
          <c:spPr>
            <a:solidFill>
              <a:schemeClr val="accent4"/>
            </a:solidFill>
            <a:ln>
              <a:noFill/>
            </a:ln>
            <a:effectLst/>
          </c:spPr>
          <c:invertIfNegative val="0"/>
          <c:cat>
            <c:multiLvlStrRef>
              <c:f>'Additional Impact Indicators'!$F$2:$F$4</c:f>
            </c:multiLvlStrRef>
          </c:cat>
          <c:val>
            <c:numRef>
              <c:f>'Additional Impact Indicators'!$J$2:$J$4</c:f>
            </c:numRef>
          </c:val>
          <c:extLst>
            <c:ext xmlns:c16="http://schemas.microsoft.com/office/drawing/2014/chart" uri="{C3380CC4-5D6E-409C-BE32-E72D297353CC}">
              <c16:uniqueId val="{00000003-1BD6-4C8D-B505-3A04FAD615AF}"/>
            </c:ext>
          </c:extLst>
        </c:ser>
        <c:ser>
          <c:idx val="4"/>
          <c:order val="4"/>
          <c:tx>
            <c:strRef>
              <c:f>'Additional Impact Indicators'!$K$1</c:f>
              <c:strCache>
                <c:ptCount val="1"/>
                <c:pt idx="0">
                  <c:v>Main - crack transport</c:v>
                </c:pt>
              </c:strCache>
            </c:strRef>
          </c:tx>
          <c:spPr>
            <a:solidFill>
              <a:schemeClr val="accent5"/>
            </a:solidFill>
            <a:ln>
              <a:noFill/>
            </a:ln>
            <a:effectLst/>
          </c:spPr>
          <c:invertIfNegative val="0"/>
          <c:cat>
            <c:multiLvlStrRef>
              <c:f>'Additional Impact Indicators'!$F$2:$F$4</c:f>
            </c:multiLvlStrRef>
          </c:cat>
          <c:val>
            <c:numRef>
              <c:f>'Additional Impact Indicators'!$K$2:$K$4</c:f>
            </c:numRef>
          </c:val>
          <c:extLst>
            <c:ext xmlns:c16="http://schemas.microsoft.com/office/drawing/2014/chart" uri="{C3380CC4-5D6E-409C-BE32-E72D297353CC}">
              <c16:uniqueId val="{00000004-1BD6-4C8D-B505-3A04FAD615AF}"/>
            </c:ext>
          </c:extLst>
        </c:ser>
        <c:ser>
          <c:idx val="5"/>
          <c:order val="5"/>
          <c:tx>
            <c:strRef>
              <c:f>'Additional Impact Indicators'!$L$1</c:f>
              <c:strCache>
                <c:ptCount val="1"/>
                <c:pt idx="0">
                  <c:v>Main - crack paving</c:v>
                </c:pt>
              </c:strCache>
            </c:strRef>
          </c:tx>
          <c:spPr>
            <a:solidFill>
              <a:schemeClr val="accent6"/>
            </a:solidFill>
            <a:ln>
              <a:noFill/>
            </a:ln>
            <a:effectLst/>
          </c:spPr>
          <c:invertIfNegative val="0"/>
          <c:cat>
            <c:multiLvlStrRef>
              <c:f>'Additional Impact Indicators'!$F$2:$F$4</c:f>
            </c:multiLvlStrRef>
          </c:cat>
          <c:val>
            <c:numRef>
              <c:f>'Additional Impact Indicators'!$L$2:$L$4</c:f>
            </c:numRef>
          </c:val>
          <c:extLst>
            <c:ext xmlns:c16="http://schemas.microsoft.com/office/drawing/2014/chart" uri="{C3380CC4-5D6E-409C-BE32-E72D297353CC}">
              <c16:uniqueId val="{00000005-1BD6-4C8D-B505-3A04FAD615AF}"/>
            </c:ext>
          </c:extLst>
        </c:ser>
        <c:ser>
          <c:idx val="6"/>
          <c:order val="6"/>
          <c:tx>
            <c:strRef>
              <c:f>'Additional Impact Indicators'!$M$1</c:f>
              <c:strCache>
                <c:ptCount val="1"/>
                <c:pt idx="0">
                  <c:v>Main - pothoile materials</c:v>
                </c:pt>
              </c:strCache>
            </c:strRef>
          </c:tx>
          <c:spPr>
            <a:solidFill>
              <a:schemeClr val="accent1">
                <a:lumMod val="60000"/>
              </a:schemeClr>
            </a:solidFill>
            <a:ln>
              <a:noFill/>
            </a:ln>
            <a:effectLst/>
          </c:spPr>
          <c:invertIfNegative val="0"/>
          <c:cat>
            <c:multiLvlStrRef>
              <c:f>'Additional Impact Indicators'!$F$2:$F$4</c:f>
            </c:multiLvlStrRef>
          </c:cat>
          <c:val>
            <c:numRef>
              <c:f>'Additional Impact Indicators'!$M$2:$M$4</c:f>
            </c:numRef>
          </c:val>
          <c:extLst>
            <c:ext xmlns:c16="http://schemas.microsoft.com/office/drawing/2014/chart" uri="{C3380CC4-5D6E-409C-BE32-E72D297353CC}">
              <c16:uniqueId val="{00000006-1BD6-4C8D-B505-3A04FAD615AF}"/>
            </c:ext>
          </c:extLst>
        </c:ser>
        <c:ser>
          <c:idx val="7"/>
          <c:order val="7"/>
          <c:tx>
            <c:strRef>
              <c:f>'Additional Impact Indicators'!$N$1</c:f>
              <c:strCache>
                <c:ptCount val="1"/>
                <c:pt idx="0">
                  <c:v>Main - pothole transport</c:v>
                </c:pt>
              </c:strCache>
            </c:strRef>
          </c:tx>
          <c:spPr>
            <a:solidFill>
              <a:schemeClr val="accent2">
                <a:lumMod val="60000"/>
              </a:schemeClr>
            </a:solidFill>
            <a:ln>
              <a:noFill/>
            </a:ln>
            <a:effectLst/>
          </c:spPr>
          <c:invertIfNegative val="0"/>
          <c:cat>
            <c:multiLvlStrRef>
              <c:f>'Additional Impact Indicators'!$F$2:$F$4</c:f>
            </c:multiLvlStrRef>
          </c:cat>
          <c:val>
            <c:numRef>
              <c:f>'Additional Impact Indicators'!$N$2:$N$4</c:f>
            </c:numRef>
          </c:val>
          <c:extLst>
            <c:ext xmlns:c16="http://schemas.microsoft.com/office/drawing/2014/chart" uri="{C3380CC4-5D6E-409C-BE32-E72D297353CC}">
              <c16:uniqueId val="{00000007-1BD6-4C8D-B505-3A04FAD615AF}"/>
            </c:ext>
          </c:extLst>
        </c:ser>
        <c:ser>
          <c:idx val="8"/>
          <c:order val="8"/>
          <c:tx>
            <c:strRef>
              <c:f>'Additional Impact Indicators'!$O$1</c:f>
              <c:strCache>
                <c:ptCount val="1"/>
                <c:pt idx="0">
                  <c:v>Main - pothole paving</c:v>
                </c:pt>
              </c:strCache>
            </c:strRef>
          </c:tx>
          <c:spPr>
            <a:solidFill>
              <a:schemeClr val="accent3">
                <a:lumMod val="60000"/>
              </a:schemeClr>
            </a:solidFill>
            <a:ln>
              <a:noFill/>
            </a:ln>
            <a:effectLst/>
          </c:spPr>
          <c:invertIfNegative val="0"/>
          <c:cat>
            <c:multiLvlStrRef>
              <c:f>'Additional Impact Indicators'!$F$2:$F$4</c:f>
            </c:multiLvlStrRef>
          </c:cat>
          <c:val>
            <c:numRef>
              <c:f>'Additional Impact Indicators'!$O$2:$O$4</c:f>
            </c:numRef>
          </c:val>
          <c:extLst>
            <c:ext xmlns:c16="http://schemas.microsoft.com/office/drawing/2014/chart" uri="{C3380CC4-5D6E-409C-BE32-E72D297353CC}">
              <c16:uniqueId val="{00000008-1BD6-4C8D-B505-3A04FAD615AF}"/>
            </c:ext>
          </c:extLst>
        </c:ser>
        <c:ser>
          <c:idx val="9"/>
          <c:order val="9"/>
          <c:tx>
            <c:strRef>
              <c:f>'Additional Impact Indicators'!$V$1</c:f>
              <c:strCache>
                <c:ptCount val="1"/>
                <c:pt idx="0">
                  <c:v>Main - stabilisation materials</c:v>
                </c:pt>
              </c:strCache>
            </c:strRef>
          </c:tx>
          <c:spPr>
            <a:solidFill>
              <a:schemeClr val="accent4">
                <a:lumMod val="60000"/>
              </a:schemeClr>
            </a:solidFill>
            <a:ln>
              <a:noFill/>
            </a:ln>
            <a:effectLst/>
          </c:spPr>
          <c:invertIfNegative val="0"/>
          <c:cat>
            <c:multiLvlStrRef>
              <c:f>'Additional Impact Indicators'!$F$2:$F$4</c:f>
            </c:multiLvlStrRef>
          </c:cat>
          <c:val>
            <c:numRef>
              <c:f>'Additional Impact Indicators'!$V$2:$V$4</c:f>
            </c:numRef>
          </c:val>
          <c:extLst>
            <c:ext xmlns:c16="http://schemas.microsoft.com/office/drawing/2014/chart" uri="{C3380CC4-5D6E-409C-BE32-E72D297353CC}">
              <c16:uniqueId val="{00000009-1BD6-4C8D-B505-3A04FAD615AF}"/>
            </c:ext>
          </c:extLst>
        </c:ser>
        <c:ser>
          <c:idx val="10"/>
          <c:order val="10"/>
          <c:tx>
            <c:strRef>
              <c:f>'Additional Impact Indicators'!$W$1</c:f>
              <c:strCache>
                <c:ptCount val="1"/>
                <c:pt idx="0">
                  <c:v>Main - stabilisation transport</c:v>
                </c:pt>
              </c:strCache>
            </c:strRef>
          </c:tx>
          <c:spPr>
            <a:solidFill>
              <a:schemeClr val="accent5">
                <a:lumMod val="60000"/>
              </a:schemeClr>
            </a:solidFill>
            <a:ln>
              <a:noFill/>
            </a:ln>
            <a:effectLst/>
          </c:spPr>
          <c:invertIfNegative val="0"/>
          <c:cat>
            <c:multiLvlStrRef>
              <c:f>'Additional Impact Indicators'!$F$2:$F$4</c:f>
            </c:multiLvlStrRef>
          </c:cat>
          <c:val>
            <c:numRef>
              <c:f>'Additional Impact Indicators'!$W$2:$W$4</c:f>
            </c:numRef>
          </c:val>
          <c:extLst>
            <c:ext xmlns:c16="http://schemas.microsoft.com/office/drawing/2014/chart" uri="{C3380CC4-5D6E-409C-BE32-E72D297353CC}">
              <c16:uniqueId val="{0000000A-1BD6-4C8D-B505-3A04FAD615AF}"/>
            </c:ext>
          </c:extLst>
        </c:ser>
        <c:ser>
          <c:idx val="11"/>
          <c:order val="11"/>
          <c:tx>
            <c:strRef>
              <c:f>'Additional Impact Indicators'!$X$1</c:f>
              <c:strCache>
                <c:ptCount val="1"/>
                <c:pt idx="0">
                  <c:v>Main - stabilisation paving</c:v>
                </c:pt>
              </c:strCache>
            </c:strRef>
          </c:tx>
          <c:spPr>
            <a:solidFill>
              <a:schemeClr val="accent6">
                <a:lumMod val="60000"/>
              </a:schemeClr>
            </a:solidFill>
            <a:ln>
              <a:noFill/>
            </a:ln>
            <a:effectLst/>
          </c:spPr>
          <c:invertIfNegative val="0"/>
          <c:cat>
            <c:multiLvlStrRef>
              <c:f>'Additional Impact Indicators'!$F$2:$F$4</c:f>
            </c:multiLvlStrRef>
          </c:cat>
          <c:val>
            <c:numRef>
              <c:f>'Additional Impact Indicators'!$X$2:$X$4</c:f>
            </c:numRef>
          </c:val>
          <c:extLst>
            <c:ext xmlns:c16="http://schemas.microsoft.com/office/drawing/2014/chart" uri="{C3380CC4-5D6E-409C-BE32-E72D297353CC}">
              <c16:uniqueId val="{0000000B-1BD6-4C8D-B505-3A04FAD615AF}"/>
            </c:ext>
          </c:extLst>
        </c:ser>
        <c:ser>
          <c:idx val="12"/>
          <c:order val="12"/>
          <c:tx>
            <c:strRef>
              <c:f>'Additional Impact Indicators'!$AE$1</c:f>
              <c:strCache>
                <c:ptCount val="1"/>
                <c:pt idx="0">
                  <c:v>Main - dig outs materials</c:v>
                </c:pt>
              </c:strCache>
            </c:strRef>
          </c:tx>
          <c:spPr>
            <a:solidFill>
              <a:schemeClr val="accent1">
                <a:lumMod val="80000"/>
                <a:lumOff val="20000"/>
              </a:schemeClr>
            </a:solidFill>
            <a:ln>
              <a:noFill/>
            </a:ln>
            <a:effectLst/>
          </c:spPr>
          <c:invertIfNegative val="0"/>
          <c:cat>
            <c:multiLvlStrRef>
              <c:f>'Additional Impact Indicators'!$F$2:$F$4</c:f>
            </c:multiLvlStrRef>
          </c:cat>
          <c:val>
            <c:numRef>
              <c:f>'Additional Impact Indicators'!$AE$2:$AE$4</c:f>
            </c:numRef>
          </c:val>
          <c:extLst>
            <c:ext xmlns:c16="http://schemas.microsoft.com/office/drawing/2014/chart" uri="{C3380CC4-5D6E-409C-BE32-E72D297353CC}">
              <c16:uniqueId val="{0000000C-1BD6-4C8D-B505-3A04FAD615AF}"/>
            </c:ext>
          </c:extLst>
        </c:ser>
        <c:ser>
          <c:idx val="13"/>
          <c:order val="13"/>
          <c:tx>
            <c:strRef>
              <c:f>'Additional Impact Indicators'!$AF$1</c:f>
              <c:strCache>
                <c:ptCount val="1"/>
                <c:pt idx="0">
                  <c:v>Main - dig out transport</c:v>
                </c:pt>
              </c:strCache>
            </c:strRef>
          </c:tx>
          <c:spPr>
            <a:solidFill>
              <a:schemeClr val="accent2">
                <a:lumMod val="80000"/>
                <a:lumOff val="20000"/>
              </a:schemeClr>
            </a:solidFill>
            <a:ln>
              <a:noFill/>
            </a:ln>
            <a:effectLst/>
          </c:spPr>
          <c:invertIfNegative val="0"/>
          <c:cat>
            <c:multiLvlStrRef>
              <c:f>'Additional Impact Indicators'!$F$2:$F$4</c:f>
            </c:multiLvlStrRef>
          </c:cat>
          <c:val>
            <c:numRef>
              <c:f>'Additional Impact Indicators'!$AF$2:$AF$4</c:f>
            </c:numRef>
          </c:val>
          <c:extLst>
            <c:ext xmlns:c16="http://schemas.microsoft.com/office/drawing/2014/chart" uri="{C3380CC4-5D6E-409C-BE32-E72D297353CC}">
              <c16:uniqueId val="{0000000D-1BD6-4C8D-B505-3A04FAD615AF}"/>
            </c:ext>
          </c:extLst>
        </c:ser>
        <c:ser>
          <c:idx val="14"/>
          <c:order val="14"/>
          <c:tx>
            <c:strRef>
              <c:f>'Additional Impact Indicators'!$AG$1</c:f>
              <c:strCache>
                <c:ptCount val="1"/>
                <c:pt idx="0">
                  <c:v>Main - dig out paving</c:v>
                </c:pt>
              </c:strCache>
            </c:strRef>
          </c:tx>
          <c:spPr>
            <a:solidFill>
              <a:schemeClr val="accent3">
                <a:lumMod val="80000"/>
                <a:lumOff val="20000"/>
              </a:schemeClr>
            </a:solidFill>
            <a:ln>
              <a:noFill/>
            </a:ln>
            <a:effectLst/>
          </c:spPr>
          <c:invertIfNegative val="0"/>
          <c:cat>
            <c:multiLvlStrRef>
              <c:f>'Additional Impact Indicators'!$F$2:$F$4</c:f>
            </c:multiLvlStrRef>
          </c:cat>
          <c:val>
            <c:numRef>
              <c:f>'Additional Impact Indicators'!$AG$2:$AG$4</c:f>
            </c:numRef>
          </c:val>
          <c:extLst>
            <c:ext xmlns:c16="http://schemas.microsoft.com/office/drawing/2014/chart" uri="{C3380CC4-5D6E-409C-BE32-E72D297353CC}">
              <c16:uniqueId val="{0000000E-1BD6-4C8D-B505-3A04FAD615AF}"/>
            </c:ext>
          </c:extLst>
        </c:ser>
        <c:ser>
          <c:idx val="15"/>
          <c:order val="15"/>
          <c:tx>
            <c:strRef>
              <c:f>'Additional Impact Indicators'!$AH$1</c:f>
              <c:strCache>
                <c:ptCount val="1"/>
                <c:pt idx="0">
                  <c:v>Main - Lay materials</c:v>
                </c:pt>
              </c:strCache>
            </c:strRef>
          </c:tx>
          <c:spPr>
            <a:solidFill>
              <a:schemeClr val="accent4">
                <a:lumMod val="80000"/>
                <a:lumOff val="20000"/>
              </a:schemeClr>
            </a:solidFill>
            <a:ln>
              <a:noFill/>
            </a:ln>
            <a:effectLst/>
          </c:spPr>
          <c:invertIfNegative val="0"/>
          <c:cat>
            <c:multiLvlStrRef>
              <c:f>'Additional Impact Indicators'!$F$2:$F$4</c:f>
            </c:multiLvlStrRef>
          </c:cat>
          <c:val>
            <c:numRef>
              <c:f>'Additional Impact Indicators'!$AH$2:$AH$4</c:f>
            </c:numRef>
          </c:val>
          <c:extLst>
            <c:ext xmlns:c16="http://schemas.microsoft.com/office/drawing/2014/chart" uri="{C3380CC4-5D6E-409C-BE32-E72D297353CC}">
              <c16:uniqueId val="{0000000F-1BD6-4C8D-B505-3A04FAD615AF}"/>
            </c:ext>
          </c:extLst>
        </c:ser>
        <c:ser>
          <c:idx val="16"/>
          <c:order val="16"/>
          <c:tx>
            <c:strRef>
              <c:f>'Additional Impact Indicators'!$AI$1</c:f>
              <c:strCache>
                <c:ptCount val="1"/>
                <c:pt idx="0">
                  <c:v>Main - lay transport</c:v>
                </c:pt>
              </c:strCache>
            </c:strRef>
          </c:tx>
          <c:spPr>
            <a:solidFill>
              <a:schemeClr val="accent5">
                <a:lumMod val="80000"/>
                <a:lumOff val="20000"/>
              </a:schemeClr>
            </a:solidFill>
            <a:ln>
              <a:noFill/>
            </a:ln>
            <a:effectLst/>
          </c:spPr>
          <c:invertIfNegative val="0"/>
          <c:cat>
            <c:multiLvlStrRef>
              <c:f>'Additional Impact Indicators'!$F$2:$F$4</c:f>
            </c:multiLvlStrRef>
          </c:cat>
          <c:val>
            <c:numRef>
              <c:f>'Additional Impact Indicators'!$AI$2:$AI$4</c:f>
            </c:numRef>
          </c:val>
          <c:extLst>
            <c:ext xmlns:c16="http://schemas.microsoft.com/office/drawing/2014/chart" uri="{C3380CC4-5D6E-409C-BE32-E72D297353CC}">
              <c16:uniqueId val="{00000010-1BD6-4C8D-B505-3A04FAD615AF}"/>
            </c:ext>
          </c:extLst>
        </c:ser>
        <c:ser>
          <c:idx val="17"/>
          <c:order val="17"/>
          <c:tx>
            <c:strRef>
              <c:f>'Additional Impact Indicators'!$AJ$1</c:f>
              <c:strCache>
                <c:ptCount val="1"/>
                <c:pt idx="0">
                  <c:v>Main - lay paving</c:v>
                </c:pt>
              </c:strCache>
            </c:strRef>
          </c:tx>
          <c:spPr>
            <a:solidFill>
              <a:schemeClr val="accent6">
                <a:lumMod val="80000"/>
                <a:lumOff val="20000"/>
              </a:schemeClr>
            </a:solidFill>
            <a:ln>
              <a:noFill/>
            </a:ln>
            <a:effectLst/>
          </c:spPr>
          <c:invertIfNegative val="0"/>
          <c:cat>
            <c:multiLvlStrRef>
              <c:f>'Additional Impact Indicators'!$F$2:$F$4</c:f>
            </c:multiLvlStrRef>
          </c:cat>
          <c:val>
            <c:numRef>
              <c:f>'Additional Impact Indicators'!$AJ$2:$AJ$4</c:f>
            </c:numRef>
          </c:val>
          <c:extLst>
            <c:ext xmlns:c16="http://schemas.microsoft.com/office/drawing/2014/chart" uri="{C3380CC4-5D6E-409C-BE32-E72D297353CC}">
              <c16:uniqueId val="{00000011-1BD6-4C8D-B505-3A04FAD615AF}"/>
            </c:ext>
          </c:extLst>
        </c:ser>
        <c:ser>
          <c:idx val="18"/>
          <c:order val="18"/>
          <c:tx>
            <c:strRef>
              <c:f>'Additional Impact Indicators'!$AK$1</c:f>
              <c:strCache>
                <c:ptCount val="1"/>
                <c:pt idx="0">
                  <c:v>Deflection PVI</c:v>
                </c:pt>
              </c:strCache>
            </c:strRef>
          </c:tx>
          <c:spPr>
            <a:solidFill>
              <a:schemeClr val="accent1">
                <a:lumMod val="80000"/>
              </a:schemeClr>
            </a:solidFill>
            <a:ln>
              <a:noFill/>
            </a:ln>
            <a:effectLst/>
          </c:spPr>
          <c:invertIfNegative val="0"/>
          <c:cat>
            <c:multiLvlStrRef>
              <c:f>'Additional Impact Indicators'!$F$2:$F$4</c:f>
            </c:multiLvlStrRef>
          </c:cat>
          <c:val>
            <c:numRef>
              <c:f>'Additional Impact Indicators'!$AK$2:$AK$4</c:f>
            </c:numRef>
          </c:val>
          <c:extLst>
            <c:ext xmlns:c16="http://schemas.microsoft.com/office/drawing/2014/chart" uri="{C3380CC4-5D6E-409C-BE32-E72D297353CC}">
              <c16:uniqueId val="{00000012-1BD6-4C8D-B505-3A04FAD615AF}"/>
            </c:ext>
          </c:extLst>
        </c:ser>
        <c:ser>
          <c:idx val="19"/>
          <c:order val="19"/>
          <c:tx>
            <c:strRef>
              <c:f>'Additional Impact Indicators'!$AL$1</c:f>
              <c:strCache>
                <c:ptCount val="1"/>
                <c:pt idx="0">
                  <c:v>Roughness PVI</c:v>
                </c:pt>
              </c:strCache>
            </c:strRef>
          </c:tx>
          <c:spPr>
            <a:solidFill>
              <a:schemeClr val="accent2">
                <a:lumMod val="80000"/>
              </a:schemeClr>
            </a:solidFill>
            <a:ln>
              <a:noFill/>
            </a:ln>
            <a:effectLst/>
          </c:spPr>
          <c:invertIfNegative val="0"/>
          <c:cat>
            <c:multiLvlStrRef>
              <c:f>'Additional Impact Indicators'!$F$2:$F$4</c:f>
            </c:multiLvlStrRef>
          </c:cat>
          <c:val>
            <c:numRef>
              <c:f>'Additional Impact Indicators'!$AL$2:$AL$4</c:f>
            </c:numRef>
          </c:val>
          <c:extLst>
            <c:ext xmlns:c16="http://schemas.microsoft.com/office/drawing/2014/chart" uri="{C3380CC4-5D6E-409C-BE32-E72D297353CC}">
              <c16:uniqueId val="{00000013-1BD6-4C8D-B505-3A04FAD615AF}"/>
            </c:ext>
          </c:extLst>
        </c:ser>
        <c:ser>
          <c:idx val="20"/>
          <c:order val="20"/>
          <c:tx>
            <c:strRef>
              <c:f>'Additional Impact Indicators'!$AM$1</c:f>
              <c:strCache>
                <c:ptCount val="1"/>
                <c:pt idx="0">
                  <c:v>Traffic Delay - life extension</c:v>
                </c:pt>
              </c:strCache>
            </c:strRef>
          </c:tx>
          <c:spPr>
            <a:solidFill>
              <a:schemeClr val="accent3">
                <a:lumMod val="80000"/>
              </a:schemeClr>
            </a:solidFill>
            <a:ln>
              <a:noFill/>
            </a:ln>
            <a:effectLst/>
          </c:spPr>
          <c:invertIfNegative val="0"/>
          <c:cat>
            <c:multiLvlStrRef>
              <c:f>'Additional Impact Indicators'!$F$2:$F$4</c:f>
            </c:multiLvlStrRef>
          </c:cat>
          <c:val>
            <c:numRef>
              <c:f>'Additional Impact Indicators'!$AM$2:$AM$4</c:f>
            </c:numRef>
          </c:val>
          <c:extLst>
            <c:ext xmlns:c16="http://schemas.microsoft.com/office/drawing/2014/chart" uri="{C3380CC4-5D6E-409C-BE32-E72D297353CC}">
              <c16:uniqueId val="{00000014-1BD6-4C8D-B505-3A04FAD615AF}"/>
            </c:ext>
          </c:extLst>
        </c:ser>
        <c:ser>
          <c:idx val="21"/>
          <c:order val="21"/>
          <c:tx>
            <c:strRef>
              <c:f>'Additional Impact Indicators'!$AN$1</c:f>
              <c:strCache>
                <c:ptCount val="1"/>
                <c:pt idx="0">
                  <c:v>Traffic - delay replacement</c:v>
                </c:pt>
              </c:strCache>
            </c:strRef>
          </c:tx>
          <c:spPr>
            <a:solidFill>
              <a:schemeClr val="accent4">
                <a:lumMod val="80000"/>
              </a:schemeClr>
            </a:solidFill>
            <a:ln>
              <a:noFill/>
            </a:ln>
            <a:effectLst/>
          </c:spPr>
          <c:invertIfNegative val="0"/>
          <c:cat>
            <c:multiLvlStrRef>
              <c:f>'Additional Impact Indicators'!$F$2:$F$4</c:f>
            </c:multiLvlStrRef>
          </c:cat>
          <c:val>
            <c:numRef>
              <c:f>'Additional Impact Indicators'!$AN$2:$AN$4</c:f>
            </c:numRef>
          </c:val>
          <c:extLst>
            <c:ext xmlns:c16="http://schemas.microsoft.com/office/drawing/2014/chart" uri="{C3380CC4-5D6E-409C-BE32-E72D297353CC}">
              <c16:uniqueId val="{00000015-1BD6-4C8D-B505-3A04FAD615AF}"/>
            </c:ext>
          </c:extLst>
        </c:ser>
        <c:ser>
          <c:idx val="22"/>
          <c:order val="22"/>
          <c:tx>
            <c:strRef>
              <c:f>'Additional Impact Indicators'!$AO$1</c:f>
              <c:strCache>
                <c:ptCount val="1"/>
                <c:pt idx="0">
                  <c:v>Removal</c:v>
                </c:pt>
              </c:strCache>
            </c:strRef>
          </c:tx>
          <c:spPr>
            <a:solidFill>
              <a:schemeClr val="accent5">
                <a:lumMod val="80000"/>
              </a:schemeClr>
            </a:solidFill>
            <a:ln>
              <a:noFill/>
            </a:ln>
            <a:effectLst/>
          </c:spPr>
          <c:invertIfNegative val="0"/>
          <c:cat>
            <c:multiLvlStrRef>
              <c:f>'Additional Impact Indicators'!$F$2:$F$4</c:f>
            </c:multiLvlStrRef>
          </c:cat>
          <c:val>
            <c:numRef>
              <c:f>'Additional Impact Indicators'!$AO$2:$AO$4</c:f>
            </c:numRef>
          </c:val>
          <c:extLst>
            <c:ext xmlns:c16="http://schemas.microsoft.com/office/drawing/2014/chart" uri="{C3380CC4-5D6E-409C-BE32-E72D297353CC}">
              <c16:uniqueId val="{00000016-1BD6-4C8D-B505-3A04FAD615AF}"/>
            </c:ext>
          </c:extLst>
        </c:ser>
        <c:ser>
          <c:idx val="23"/>
          <c:order val="23"/>
          <c:tx>
            <c:strRef>
              <c:f>'Additional Impact Indicators'!$AP$1</c:f>
              <c:strCache>
                <c:ptCount val="1"/>
                <c:pt idx="0">
                  <c:v>Transport to landfill</c:v>
                </c:pt>
              </c:strCache>
            </c:strRef>
          </c:tx>
          <c:spPr>
            <a:solidFill>
              <a:schemeClr val="accent6">
                <a:lumMod val="80000"/>
              </a:schemeClr>
            </a:solidFill>
            <a:ln>
              <a:noFill/>
            </a:ln>
            <a:effectLst/>
          </c:spPr>
          <c:invertIfNegative val="0"/>
          <c:cat>
            <c:multiLvlStrRef>
              <c:f>'Additional Impact Indicators'!$F$2:$F$4</c:f>
            </c:multiLvlStrRef>
          </c:cat>
          <c:val>
            <c:numRef>
              <c:f>'Additional Impact Indicators'!$AP$2:$AP$4</c:f>
            </c:numRef>
          </c:val>
          <c:extLst>
            <c:ext xmlns:c16="http://schemas.microsoft.com/office/drawing/2014/chart" uri="{C3380CC4-5D6E-409C-BE32-E72D297353CC}">
              <c16:uniqueId val="{00000017-1BD6-4C8D-B505-3A04FAD615AF}"/>
            </c:ext>
          </c:extLst>
        </c:ser>
        <c:ser>
          <c:idx val="24"/>
          <c:order val="24"/>
          <c:tx>
            <c:strRef>
              <c:f>'Additional Impact Indicators'!$AQ$1</c:f>
              <c:strCache>
                <c:ptCount val="1"/>
                <c:pt idx="0">
                  <c:v>Transport to recycling facility</c:v>
                </c:pt>
              </c:strCache>
            </c:strRef>
          </c:tx>
          <c:spPr>
            <a:solidFill>
              <a:schemeClr val="accent1">
                <a:lumMod val="60000"/>
                <a:lumOff val="40000"/>
              </a:schemeClr>
            </a:solidFill>
            <a:ln>
              <a:noFill/>
            </a:ln>
            <a:effectLst/>
          </c:spPr>
          <c:invertIfNegative val="0"/>
          <c:cat>
            <c:multiLvlStrRef>
              <c:f>'Additional Impact Indicators'!$F$2:$F$4</c:f>
            </c:multiLvlStrRef>
          </c:cat>
          <c:val>
            <c:numRef>
              <c:f>'Additional Impact Indicators'!$AQ$2:$AQ$4</c:f>
            </c:numRef>
          </c:val>
          <c:extLst>
            <c:ext xmlns:c16="http://schemas.microsoft.com/office/drawing/2014/chart" uri="{C3380CC4-5D6E-409C-BE32-E72D297353CC}">
              <c16:uniqueId val="{00000018-1BD6-4C8D-B505-3A04FAD615AF}"/>
            </c:ext>
          </c:extLst>
        </c:ser>
        <c:dLbls>
          <c:showLegendKey val="0"/>
          <c:showVal val="0"/>
          <c:showCatName val="0"/>
          <c:showSerName val="0"/>
          <c:showPercent val="0"/>
          <c:showBubbleSize val="0"/>
        </c:dLbls>
        <c:gapWidth val="86"/>
        <c:overlap val="100"/>
        <c:axId val="167668944"/>
        <c:axId val="167673936"/>
      </c:barChart>
      <c:catAx>
        <c:axId val="167668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Scenario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673936"/>
        <c:crosses val="autoZero"/>
        <c:auto val="1"/>
        <c:lblAlgn val="ctr"/>
        <c:lblOffset val="100"/>
        <c:noMultiLvlLbl val="0"/>
      </c:catAx>
      <c:valAx>
        <c:axId val="16767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NZ" sz="1600" b="0"/>
                  <a:t>Global Warming Potential (t CO</a:t>
                </a:r>
                <a:r>
                  <a:rPr lang="en-NZ" sz="1600" b="0" baseline="-25000"/>
                  <a:t>2</a:t>
                </a:r>
                <a:r>
                  <a:rPr lang="en-NZ" sz="1600" b="0"/>
                  <a:t>-eq)</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668944"/>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Global Warming Potential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6123534336542"/>
          <c:y val="0.14997468998116195"/>
          <c:w val="0.827147535863478"/>
          <c:h val="0.60798904484765492"/>
        </c:manualLayout>
      </c:layout>
      <c:barChart>
        <c:barDir val="col"/>
        <c:grouping val="stacked"/>
        <c:varyColors val="0"/>
        <c:ser>
          <c:idx val="0"/>
          <c:order val="0"/>
          <c:tx>
            <c:strRef>
              <c:f>'Impact Analysis'!$B$20</c:f>
              <c:strCache>
                <c:ptCount val="1"/>
                <c:pt idx="0">
                  <c:v>Raw Materials Production</c:v>
                </c:pt>
              </c:strCache>
            </c:strRef>
          </c:tx>
          <c:spPr>
            <a:solidFill>
              <a:schemeClr val="accent1"/>
            </a:solidFill>
            <a:ln>
              <a:noFill/>
            </a:ln>
            <a:effectLst/>
          </c:spPr>
          <c:invertIfNegative val="0"/>
          <c:cat>
            <c:numRef>
              <c:f>'Data Entry'!$C$16:$C$18</c:f>
              <c:numCache>
                <c:formatCode>General</c:formatCode>
                <c:ptCount val="3"/>
              </c:numCache>
            </c:numRef>
          </c:cat>
          <c:val>
            <c:numRef>
              <c:f>'Impact Analysis'!$C$20:$E$20</c:f>
              <c:numCache>
                <c:formatCode>_-* #,##0.0_-;\-* #,##0.0_-;_-* "-"??_-;_-@_-</c:formatCode>
                <c:ptCount val="3"/>
                <c:pt idx="0">
                  <c:v>0</c:v>
                </c:pt>
                <c:pt idx="1">
                  <c:v>0</c:v>
                </c:pt>
                <c:pt idx="2">
                  <c:v>0</c:v>
                </c:pt>
              </c:numCache>
            </c:numRef>
          </c:val>
          <c:extLst>
            <c:ext xmlns:c16="http://schemas.microsoft.com/office/drawing/2014/chart" uri="{C3380CC4-5D6E-409C-BE32-E72D297353CC}">
              <c16:uniqueId val="{00000000-C97F-422F-ADBF-F7D4F90E855E}"/>
            </c:ext>
          </c:extLst>
        </c:ser>
        <c:ser>
          <c:idx val="1"/>
          <c:order val="1"/>
          <c:tx>
            <c:strRef>
              <c:f>'Impact Analysis'!$B$21</c:f>
              <c:strCache>
                <c:ptCount val="1"/>
                <c:pt idx="0">
                  <c:v>Transport Raw Materials</c:v>
                </c:pt>
              </c:strCache>
            </c:strRef>
          </c:tx>
          <c:spPr>
            <a:solidFill>
              <a:schemeClr val="accent2"/>
            </a:solidFill>
            <a:ln>
              <a:noFill/>
            </a:ln>
            <a:effectLst/>
          </c:spPr>
          <c:invertIfNegative val="0"/>
          <c:cat>
            <c:numRef>
              <c:f>'Data Entry'!$C$16:$C$18</c:f>
              <c:numCache>
                <c:formatCode>General</c:formatCode>
                <c:ptCount val="3"/>
              </c:numCache>
            </c:numRef>
          </c:cat>
          <c:val>
            <c:numRef>
              <c:f>'Impact Analysis'!$C$21:$E$21</c:f>
              <c:numCache>
                <c:formatCode>_-* #,##0.0_-;\-* #,##0.0_-;_-* "-"??_-;_-@_-</c:formatCode>
                <c:ptCount val="3"/>
                <c:pt idx="0">
                  <c:v>0</c:v>
                </c:pt>
                <c:pt idx="1">
                  <c:v>0</c:v>
                </c:pt>
                <c:pt idx="2">
                  <c:v>0</c:v>
                </c:pt>
              </c:numCache>
            </c:numRef>
          </c:val>
          <c:extLst>
            <c:ext xmlns:c16="http://schemas.microsoft.com/office/drawing/2014/chart" uri="{C3380CC4-5D6E-409C-BE32-E72D297353CC}">
              <c16:uniqueId val="{00000001-C97F-422F-ADBF-F7D4F90E855E}"/>
            </c:ext>
          </c:extLst>
        </c:ser>
        <c:ser>
          <c:idx val="2"/>
          <c:order val="2"/>
          <c:tx>
            <c:strRef>
              <c:f>'Impact Analysis'!$B$22</c:f>
              <c:strCache>
                <c:ptCount val="1"/>
                <c:pt idx="0">
                  <c:v>Construction</c:v>
                </c:pt>
              </c:strCache>
            </c:strRef>
          </c:tx>
          <c:spPr>
            <a:solidFill>
              <a:schemeClr val="accent3"/>
            </a:solidFill>
            <a:ln>
              <a:noFill/>
            </a:ln>
            <a:effectLst/>
          </c:spPr>
          <c:invertIfNegative val="0"/>
          <c:cat>
            <c:numRef>
              <c:f>'Data Entry'!$C$16:$C$18</c:f>
              <c:numCache>
                <c:formatCode>General</c:formatCode>
                <c:ptCount val="3"/>
              </c:numCache>
            </c:numRef>
          </c:cat>
          <c:val>
            <c:numRef>
              <c:f>'Impact Analysis'!$C$22:$E$22</c:f>
              <c:numCache>
                <c:formatCode>_-* #,##0.0_-;\-* #,##0.0_-;_-* "-"??_-;_-@_-</c:formatCode>
                <c:ptCount val="3"/>
                <c:pt idx="0">
                  <c:v>0</c:v>
                </c:pt>
                <c:pt idx="1">
                  <c:v>0</c:v>
                </c:pt>
                <c:pt idx="2">
                  <c:v>0</c:v>
                </c:pt>
              </c:numCache>
            </c:numRef>
          </c:val>
          <c:extLst>
            <c:ext xmlns:c16="http://schemas.microsoft.com/office/drawing/2014/chart" uri="{C3380CC4-5D6E-409C-BE32-E72D297353CC}">
              <c16:uniqueId val="{00000003-C97F-422F-ADBF-F7D4F90E855E}"/>
            </c:ext>
          </c:extLst>
        </c:ser>
        <c:ser>
          <c:idx val="3"/>
          <c:order val="3"/>
          <c:tx>
            <c:strRef>
              <c:f>'Impact Analysis'!$B$23</c:f>
              <c:strCache>
                <c:ptCount val="1"/>
                <c:pt idx="0">
                  <c:v>Maintenance</c:v>
                </c:pt>
              </c:strCache>
            </c:strRef>
          </c:tx>
          <c:spPr>
            <a:solidFill>
              <a:schemeClr val="accent4"/>
            </a:solidFill>
            <a:ln>
              <a:noFill/>
            </a:ln>
            <a:effectLst/>
          </c:spPr>
          <c:invertIfNegative val="0"/>
          <c:cat>
            <c:numRef>
              <c:f>'Data Entry'!$C$16:$C$18</c:f>
              <c:numCache>
                <c:formatCode>General</c:formatCode>
                <c:ptCount val="3"/>
              </c:numCache>
            </c:numRef>
          </c:cat>
          <c:val>
            <c:numRef>
              <c:f>'Impact Analysis'!$C$23:$E$23</c:f>
              <c:numCache>
                <c:formatCode>_-* #,##0.0_-;\-* #,##0.0_-;_-* "-"??_-;_-@_-</c:formatCode>
                <c:ptCount val="3"/>
                <c:pt idx="0">
                  <c:v>0</c:v>
                </c:pt>
                <c:pt idx="1">
                  <c:v>0</c:v>
                </c:pt>
                <c:pt idx="2">
                  <c:v>0</c:v>
                </c:pt>
              </c:numCache>
            </c:numRef>
          </c:val>
          <c:extLst>
            <c:ext xmlns:c16="http://schemas.microsoft.com/office/drawing/2014/chart" uri="{C3380CC4-5D6E-409C-BE32-E72D297353CC}">
              <c16:uniqueId val="{00000004-C97F-422F-ADBF-F7D4F90E855E}"/>
            </c:ext>
          </c:extLst>
        </c:ser>
        <c:ser>
          <c:idx val="5"/>
          <c:order val="4"/>
          <c:tx>
            <c:strRef>
              <c:f>'Impact Analysis'!$B$24</c:f>
              <c:strCache>
                <c:ptCount val="1"/>
                <c:pt idx="0">
                  <c:v>Maintenance Induced Traffic Delay</c:v>
                </c:pt>
              </c:strCache>
            </c:strRef>
          </c:tx>
          <c:spPr>
            <a:solidFill>
              <a:schemeClr val="accent6"/>
            </a:solidFill>
            <a:ln>
              <a:noFill/>
            </a:ln>
            <a:effectLst/>
          </c:spPr>
          <c:invertIfNegative val="0"/>
          <c:cat>
            <c:numRef>
              <c:f>'Data Entry'!$C$16:$C$18</c:f>
              <c:numCache>
                <c:formatCode>General</c:formatCode>
                <c:ptCount val="3"/>
              </c:numCache>
            </c:numRef>
          </c:cat>
          <c:val>
            <c:numRef>
              <c:f>'Impact Analysis'!$C$24:$E$24</c:f>
              <c:numCache>
                <c:formatCode>_-* #,##0.0_-;\-* #,##0.0_-;_-* "-"??_-;_-@_-</c:formatCode>
                <c:ptCount val="3"/>
                <c:pt idx="0">
                  <c:v>0</c:v>
                </c:pt>
                <c:pt idx="1">
                  <c:v>0</c:v>
                </c:pt>
                <c:pt idx="2">
                  <c:v>0</c:v>
                </c:pt>
              </c:numCache>
            </c:numRef>
          </c:val>
          <c:extLst>
            <c:ext xmlns:c16="http://schemas.microsoft.com/office/drawing/2014/chart" uri="{C3380CC4-5D6E-409C-BE32-E72D297353CC}">
              <c16:uniqueId val="{00000006-C97F-422F-ADBF-F7D4F90E855E}"/>
            </c:ext>
          </c:extLst>
        </c:ser>
        <c:ser>
          <c:idx val="6"/>
          <c:order val="5"/>
          <c:tx>
            <c:strRef>
              <c:f>'Impact Analysis'!$B$25</c:f>
              <c:strCache>
                <c:ptCount val="1"/>
                <c:pt idx="0">
                  <c:v>Roughness Induced Fuel Consumption</c:v>
                </c:pt>
              </c:strCache>
            </c:strRef>
          </c:tx>
          <c:spPr>
            <a:solidFill>
              <a:schemeClr val="accent1">
                <a:lumMod val="60000"/>
              </a:schemeClr>
            </a:solidFill>
            <a:ln>
              <a:noFill/>
            </a:ln>
            <a:effectLst/>
          </c:spPr>
          <c:invertIfNegative val="0"/>
          <c:cat>
            <c:numRef>
              <c:f>'Data Entry'!$C$16:$C$18</c:f>
              <c:numCache>
                <c:formatCode>General</c:formatCode>
                <c:ptCount val="3"/>
              </c:numCache>
            </c:numRef>
          </c:cat>
          <c:val>
            <c:numRef>
              <c:f>'Impact Analysis'!$C$25:$E$25</c:f>
              <c:numCache>
                <c:formatCode>_-* #,##0.0_-;\-* #,##0.0_-;_-* "-"??_-;_-@_-</c:formatCode>
                <c:ptCount val="3"/>
                <c:pt idx="0">
                  <c:v>0</c:v>
                </c:pt>
                <c:pt idx="1">
                  <c:v>0</c:v>
                </c:pt>
                <c:pt idx="2">
                  <c:v>0</c:v>
                </c:pt>
              </c:numCache>
            </c:numRef>
          </c:val>
          <c:extLst>
            <c:ext xmlns:c16="http://schemas.microsoft.com/office/drawing/2014/chart" uri="{C3380CC4-5D6E-409C-BE32-E72D297353CC}">
              <c16:uniqueId val="{00000007-C97F-422F-ADBF-F7D4F90E855E}"/>
            </c:ext>
          </c:extLst>
        </c:ser>
        <c:ser>
          <c:idx val="7"/>
          <c:order val="6"/>
          <c:tx>
            <c:strRef>
              <c:f>'Impact Analysis'!$B$26</c:f>
              <c:strCache>
                <c:ptCount val="1"/>
                <c:pt idx="0">
                  <c:v>Deflection Induced Fuel Consumption</c:v>
                </c:pt>
              </c:strCache>
            </c:strRef>
          </c:tx>
          <c:spPr>
            <a:solidFill>
              <a:schemeClr val="accent2">
                <a:lumMod val="60000"/>
              </a:schemeClr>
            </a:solidFill>
            <a:ln>
              <a:noFill/>
            </a:ln>
            <a:effectLst/>
          </c:spPr>
          <c:invertIfNegative val="0"/>
          <c:cat>
            <c:numRef>
              <c:f>'Data Entry'!$C$16:$C$18</c:f>
              <c:numCache>
                <c:formatCode>General</c:formatCode>
                <c:ptCount val="3"/>
              </c:numCache>
            </c:numRef>
          </c:cat>
          <c:val>
            <c:numRef>
              <c:f>'Impact Analysis'!$C$26:$E$26</c:f>
              <c:numCache>
                <c:formatCode>_-* #,##0.0_-;\-* #,##0.0_-;_-* "-"??_-;_-@_-</c:formatCode>
                <c:ptCount val="3"/>
                <c:pt idx="0">
                  <c:v>0</c:v>
                </c:pt>
                <c:pt idx="1">
                  <c:v>0</c:v>
                </c:pt>
                <c:pt idx="2">
                  <c:v>0</c:v>
                </c:pt>
              </c:numCache>
            </c:numRef>
          </c:val>
          <c:extLst>
            <c:ext xmlns:c16="http://schemas.microsoft.com/office/drawing/2014/chart" uri="{C3380CC4-5D6E-409C-BE32-E72D297353CC}">
              <c16:uniqueId val="{00000008-C97F-422F-ADBF-F7D4F90E855E}"/>
            </c:ext>
          </c:extLst>
        </c:ser>
        <c:ser>
          <c:idx val="8"/>
          <c:order val="7"/>
          <c:tx>
            <c:strRef>
              <c:f>'Impact Analysis'!$B$27</c:f>
              <c:strCache>
                <c:ptCount val="1"/>
                <c:pt idx="0">
                  <c:v>End of Life Removal and Recycling</c:v>
                </c:pt>
              </c:strCache>
            </c:strRef>
          </c:tx>
          <c:spPr>
            <a:solidFill>
              <a:schemeClr val="accent3">
                <a:lumMod val="60000"/>
              </a:schemeClr>
            </a:solidFill>
            <a:ln>
              <a:noFill/>
            </a:ln>
            <a:effectLst/>
          </c:spPr>
          <c:invertIfNegative val="0"/>
          <c:cat>
            <c:numRef>
              <c:f>'Data Entry'!$C$16:$C$18</c:f>
              <c:numCache>
                <c:formatCode>General</c:formatCode>
                <c:ptCount val="3"/>
              </c:numCache>
            </c:numRef>
          </c:cat>
          <c:val>
            <c:numRef>
              <c:f>'Impact Analysis'!$C$27:$E$27</c:f>
              <c:numCache>
                <c:formatCode>_-* #,##0.0_-;\-* #,##0.0_-;_-* "-"??_-;_-@_-</c:formatCode>
                <c:ptCount val="3"/>
                <c:pt idx="0">
                  <c:v>0</c:v>
                </c:pt>
                <c:pt idx="1">
                  <c:v>0</c:v>
                </c:pt>
                <c:pt idx="2">
                  <c:v>0</c:v>
                </c:pt>
              </c:numCache>
            </c:numRef>
          </c:val>
          <c:extLst>
            <c:ext xmlns:c16="http://schemas.microsoft.com/office/drawing/2014/chart" uri="{C3380CC4-5D6E-409C-BE32-E72D297353CC}">
              <c16:uniqueId val="{00000009-C97F-422F-ADBF-F7D4F90E855E}"/>
            </c:ext>
          </c:extLst>
        </c:ser>
        <c:dLbls>
          <c:showLegendKey val="0"/>
          <c:showVal val="0"/>
          <c:showCatName val="0"/>
          <c:showSerName val="0"/>
          <c:showPercent val="0"/>
          <c:showBubbleSize val="0"/>
        </c:dLbls>
        <c:gapWidth val="150"/>
        <c:overlap val="100"/>
        <c:axId val="1324347984"/>
        <c:axId val="1324347568"/>
      </c:barChart>
      <c:catAx>
        <c:axId val="132434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4347568"/>
        <c:crosses val="autoZero"/>
        <c:auto val="1"/>
        <c:lblAlgn val="ctr"/>
        <c:lblOffset val="100"/>
        <c:noMultiLvlLbl val="0"/>
      </c:catAx>
      <c:valAx>
        <c:axId val="1324347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Emissions </a:t>
                </a:r>
                <a:r>
                  <a:rPr lang="en-NZ" baseline="0"/>
                  <a:t>(</a:t>
                </a:r>
                <a:r>
                  <a:rPr lang="en-NZ"/>
                  <a:t>t</a:t>
                </a:r>
                <a:r>
                  <a:rPr lang="en-NZ" baseline="0"/>
                  <a:t> CO</a:t>
                </a:r>
                <a:r>
                  <a:rPr lang="en-NZ" baseline="-25000"/>
                  <a:t>2</a:t>
                </a:r>
                <a:r>
                  <a:rPr lang="en-NZ" baseline="0"/>
                  <a:t>-eq) </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434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Annual Impacts Across</a:t>
            </a:r>
            <a:r>
              <a:rPr lang="en-NZ" baseline="0"/>
              <a:t> Design Life</a:t>
            </a:r>
            <a:r>
              <a:rPr lang="en-NZ"/>
              <a:t>: </a:t>
            </a:r>
          </a:p>
          <a:p>
            <a:pPr>
              <a:defRPr/>
            </a:pPr>
            <a:r>
              <a:rPr lang="en-NZ"/>
              <a:t>Global Warming Potential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56782502700335"/>
          <c:y val="0.1503913043478261"/>
          <c:w val="0.85219206427012884"/>
          <c:h val="0.60596987333105101"/>
        </c:manualLayout>
      </c:layout>
      <c:barChart>
        <c:barDir val="col"/>
        <c:grouping val="stacked"/>
        <c:varyColors val="0"/>
        <c:ser>
          <c:idx val="0"/>
          <c:order val="0"/>
          <c:tx>
            <c:strRef>
              <c:f>'Impact Analysis'!$B$20</c:f>
              <c:strCache>
                <c:ptCount val="1"/>
                <c:pt idx="0">
                  <c:v>Raw Materials Production</c:v>
                </c:pt>
              </c:strCache>
            </c:strRef>
          </c:tx>
          <c:spPr>
            <a:solidFill>
              <a:schemeClr val="accent1"/>
            </a:solidFill>
            <a:ln>
              <a:noFill/>
            </a:ln>
            <a:effectLst/>
          </c:spPr>
          <c:invertIfNegative val="0"/>
          <c:cat>
            <c:numRef>
              <c:f>'Data Entry'!$C$16:$C$18</c:f>
              <c:numCache>
                <c:formatCode>General</c:formatCode>
                <c:ptCount val="3"/>
              </c:numCache>
            </c:numRef>
          </c:cat>
          <c:val>
            <c:numRef>
              <c:f>'Impact Analysis'!$F$20:$H$20</c:f>
              <c:numCache>
                <c:formatCode>_-* #,##0.0_-;\-* #,##0.0_-;_-* "-"??_-;_-@_-</c:formatCode>
                <c:ptCount val="3"/>
                <c:pt idx="0">
                  <c:v>0</c:v>
                </c:pt>
                <c:pt idx="1">
                  <c:v>0</c:v>
                </c:pt>
                <c:pt idx="2">
                  <c:v>0</c:v>
                </c:pt>
              </c:numCache>
            </c:numRef>
          </c:val>
          <c:extLst>
            <c:ext xmlns:c16="http://schemas.microsoft.com/office/drawing/2014/chart" uri="{C3380CC4-5D6E-409C-BE32-E72D297353CC}">
              <c16:uniqueId val="{00000000-E26E-4405-97B1-93C739EADEF7}"/>
            </c:ext>
          </c:extLst>
        </c:ser>
        <c:ser>
          <c:idx val="1"/>
          <c:order val="1"/>
          <c:tx>
            <c:strRef>
              <c:f>'Impact Analysis'!$B$21</c:f>
              <c:strCache>
                <c:ptCount val="1"/>
                <c:pt idx="0">
                  <c:v>Transport Raw Materials</c:v>
                </c:pt>
              </c:strCache>
            </c:strRef>
          </c:tx>
          <c:spPr>
            <a:solidFill>
              <a:schemeClr val="accent2"/>
            </a:solidFill>
            <a:ln>
              <a:noFill/>
            </a:ln>
            <a:effectLst/>
          </c:spPr>
          <c:invertIfNegative val="0"/>
          <c:cat>
            <c:numRef>
              <c:f>'Data Entry'!$C$16:$C$18</c:f>
              <c:numCache>
                <c:formatCode>General</c:formatCode>
                <c:ptCount val="3"/>
              </c:numCache>
            </c:numRef>
          </c:cat>
          <c:val>
            <c:numRef>
              <c:f>'Impact Analysis'!$F$21:$H$21</c:f>
              <c:numCache>
                <c:formatCode>_-* #,##0.0_-;\-* #,##0.0_-;_-* "-"??_-;_-@_-</c:formatCode>
                <c:ptCount val="3"/>
                <c:pt idx="0">
                  <c:v>0</c:v>
                </c:pt>
                <c:pt idx="1">
                  <c:v>0</c:v>
                </c:pt>
                <c:pt idx="2">
                  <c:v>0</c:v>
                </c:pt>
              </c:numCache>
            </c:numRef>
          </c:val>
          <c:extLst>
            <c:ext xmlns:c16="http://schemas.microsoft.com/office/drawing/2014/chart" uri="{C3380CC4-5D6E-409C-BE32-E72D297353CC}">
              <c16:uniqueId val="{00000001-E26E-4405-97B1-93C739EADEF7}"/>
            </c:ext>
          </c:extLst>
        </c:ser>
        <c:ser>
          <c:idx val="2"/>
          <c:order val="2"/>
          <c:tx>
            <c:strRef>
              <c:f>'Impact Analysis'!$B$22</c:f>
              <c:strCache>
                <c:ptCount val="1"/>
                <c:pt idx="0">
                  <c:v>Construction</c:v>
                </c:pt>
              </c:strCache>
            </c:strRef>
          </c:tx>
          <c:spPr>
            <a:solidFill>
              <a:schemeClr val="accent3"/>
            </a:solidFill>
            <a:ln>
              <a:noFill/>
            </a:ln>
            <a:effectLst/>
          </c:spPr>
          <c:invertIfNegative val="0"/>
          <c:cat>
            <c:numRef>
              <c:f>'Data Entry'!$C$16:$C$18</c:f>
              <c:numCache>
                <c:formatCode>General</c:formatCode>
                <c:ptCount val="3"/>
              </c:numCache>
            </c:numRef>
          </c:cat>
          <c:val>
            <c:numRef>
              <c:f>'Impact Analysis'!$F$22:$H$22</c:f>
              <c:numCache>
                <c:formatCode>_-* #,##0.0_-;\-* #,##0.0_-;_-* "-"??_-;_-@_-</c:formatCode>
                <c:ptCount val="3"/>
                <c:pt idx="0">
                  <c:v>0</c:v>
                </c:pt>
                <c:pt idx="1">
                  <c:v>0</c:v>
                </c:pt>
                <c:pt idx="2">
                  <c:v>0</c:v>
                </c:pt>
              </c:numCache>
            </c:numRef>
          </c:val>
          <c:extLst>
            <c:ext xmlns:c16="http://schemas.microsoft.com/office/drawing/2014/chart" uri="{C3380CC4-5D6E-409C-BE32-E72D297353CC}">
              <c16:uniqueId val="{00000002-E26E-4405-97B1-93C739EADEF7}"/>
            </c:ext>
          </c:extLst>
        </c:ser>
        <c:ser>
          <c:idx val="3"/>
          <c:order val="3"/>
          <c:tx>
            <c:strRef>
              <c:f>'Impact Analysis'!$B$23</c:f>
              <c:strCache>
                <c:ptCount val="1"/>
                <c:pt idx="0">
                  <c:v>Maintenance</c:v>
                </c:pt>
              </c:strCache>
            </c:strRef>
          </c:tx>
          <c:spPr>
            <a:solidFill>
              <a:schemeClr val="accent4"/>
            </a:solidFill>
            <a:ln>
              <a:noFill/>
            </a:ln>
            <a:effectLst/>
          </c:spPr>
          <c:invertIfNegative val="0"/>
          <c:cat>
            <c:numRef>
              <c:f>'Data Entry'!$C$16:$C$18</c:f>
              <c:numCache>
                <c:formatCode>General</c:formatCode>
                <c:ptCount val="3"/>
              </c:numCache>
            </c:numRef>
          </c:cat>
          <c:val>
            <c:numRef>
              <c:f>'Impact Analysis'!$F$23:$H$23</c:f>
              <c:numCache>
                <c:formatCode>_-* #,##0.0_-;\-* #,##0.0_-;_-* "-"??_-;_-@_-</c:formatCode>
                <c:ptCount val="3"/>
                <c:pt idx="0">
                  <c:v>0</c:v>
                </c:pt>
                <c:pt idx="1">
                  <c:v>0</c:v>
                </c:pt>
                <c:pt idx="2">
                  <c:v>0</c:v>
                </c:pt>
              </c:numCache>
            </c:numRef>
          </c:val>
          <c:extLst>
            <c:ext xmlns:c16="http://schemas.microsoft.com/office/drawing/2014/chart" uri="{C3380CC4-5D6E-409C-BE32-E72D297353CC}">
              <c16:uniqueId val="{00000003-E26E-4405-97B1-93C739EADEF7}"/>
            </c:ext>
          </c:extLst>
        </c:ser>
        <c:ser>
          <c:idx val="5"/>
          <c:order val="4"/>
          <c:tx>
            <c:strRef>
              <c:f>'Impact Analysis'!$B$24</c:f>
              <c:strCache>
                <c:ptCount val="1"/>
                <c:pt idx="0">
                  <c:v>Maintenance Induced Traffic Delay</c:v>
                </c:pt>
              </c:strCache>
            </c:strRef>
          </c:tx>
          <c:spPr>
            <a:solidFill>
              <a:schemeClr val="accent6"/>
            </a:solidFill>
            <a:ln>
              <a:noFill/>
            </a:ln>
            <a:effectLst/>
          </c:spPr>
          <c:invertIfNegative val="0"/>
          <c:cat>
            <c:numRef>
              <c:f>'Data Entry'!$C$16:$C$18</c:f>
              <c:numCache>
                <c:formatCode>General</c:formatCode>
                <c:ptCount val="3"/>
              </c:numCache>
            </c:numRef>
          </c:cat>
          <c:val>
            <c:numRef>
              <c:f>'Impact Analysis'!$F$24:$H$24</c:f>
              <c:numCache>
                <c:formatCode>_-* #,##0.0_-;\-* #,##0.0_-;_-* "-"??_-;_-@_-</c:formatCode>
                <c:ptCount val="3"/>
                <c:pt idx="0">
                  <c:v>0</c:v>
                </c:pt>
                <c:pt idx="1">
                  <c:v>0</c:v>
                </c:pt>
                <c:pt idx="2">
                  <c:v>0</c:v>
                </c:pt>
              </c:numCache>
            </c:numRef>
          </c:val>
          <c:extLst>
            <c:ext xmlns:c16="http://schemas.microsoft.com/office/drawing/2014/chart" uri="{C3380CC4-5D6E-409C-BE32-E72D297353CC}">
              <c16:uniqueId val="{00000005-E26E-4405-97B1-93C739EADEF7}"/>
            </c:ext>
          </c:extLst>
        </c:ser>
        <c:ser>
          <c:idx val="6"/>
          <c:order val="5"/>
          <c:tx>
            <c:strRef>
              <c:f>'Impact Analysis'!$B$25</c:f>
              <c:strCache>
                <c:ptCount val="1"/>
                <c:pt idx="0">
                  <c:v>Roughness Induced Fuel Consumption</c:v>
                </c:pt>
              </c:strCache>
            </c:strRef>
          </c:tx>
          <c:spPr>
            <a:solidFill>
              <a:schemeClr val="accent1">
                <a:lumMod val="60000"/>
              </a:schemeClr>
            </a:solidFill>
            <a:ln>
              <a:noFill/>
            </a:ln>
            <a:effectLst/>
          </c:spPr>
          <c:invertIfNegative val="0"/>
          <c:cat>
            <c:numRef>
              <c:f>'Data Entry'!$C$16:$C$18</c:f>
              <c:numCache>
                <c:formatCode>General</c:formatCode>
                <c:ptCount val="3"/>
              </c:numCache>
            </c:numRef>
          </c:cat>
          <c:val>
            <c:numRef>
              <c:f>'Impact Analysis'!$F$25:$H$25</c:f>
              <c:numCache>
                <c:formatCode>_-* #,##0.0_-;\-* #,##0.0_-;_-* "-"??_-;_-@_-</c:formatCode>
                <c:ptCount val="3"/>
                <c:pt idx="0">
                  <c:v>0</c:v>
                </c:pt>
                <c:pt idx="1">
                  <c:v>0</c:v>
                </c:pt>
                <c:pt idx="2">
                  <c:v>0</c:v>
                </c:pt>
              </c:numCache>
            </c:numRef>
          </c:val>
          <c:extLst>
            <c:ext xmlns:c16="http://schemas.microsoft.com/office/drawing/2014/chart" uri="{C3380CC4-5D6E-409C-BE32-E72D297353CC}">
              <c16:uniqueId val="{00000006-E26E-4405-97B1-93C739EADEF7}"/>
            </c:ext>
          </c:extLst>
        </c:ser>
        <c:ser>
          <c:idx val="7"/>
          <c:order val="6"/>
          <c:tx>
            <c:strRef>
              <c:f>'Impact Analysis'!$B$26</c:f>
              <c:strCache>
                <c:ptCount val="1"/>
                <c:pt idx="0">
                  <c:v>Deflection Induced Fuel Consumption</c:v>
                </c:pt>
              </c:strCache>
            </c:strRef>
          </c:tx>
          <c:spPr>
            <a:solidFill>
              <a:schemeClr val="accent2">
                <a:lumMod val="60000"/>
              </a:schemeClr>
            </a:solidFill>
            <a:ln>
              <a:noFill/>
            </a:ln>
            <a:effectLst/>
          </c:spPr>
          <c:invertIfNegative val="0"/>
          <c:cat>
            <c:numRef>
              <c:f>'Data Entry'!$C$16:$C$18</c:f>
              <c:numCache>
                <c:formatCode>General</c:formatCode>
                <c:ptCount val="3"/>
              </c:numCache>
            </c:numRef>
          </c:cat>
          <c:val>
            <c:numRef>
              <c:f>'Impact Analysis'!$F$26:$H$26</c:f>
              <c:numCache>
                <c:formatCode>_-* #,##0.0_-;\-* #,##0.0_-;_-* "-"??_-;_-@_-</c:formatCode>
                <c:ptCount val="3"/>
                <c:pt idx="0">
                  <c:v>0</c:v>
                </c:pt>
                <c:pt idx="1">
                  <c:v>0</c:v>
                </c:pt>
                <c:pt idx="2">
                  <c:v>0</c:v>
                </c:pt>
              </c:numCache>
            </c:numRef>
          </c:val>
          <c:extLst>
            <c:ext xmlns:c16="http://schemas.microsoft.com/office/drawing/2014/chart" uri="{C3380CC4-5D6E-409C-BE32-E72D297353CC}">
              <c16:uniqueId val="{00000007-E26E-4405-97B1-93C739EADEF7}"/>
            </c:ext>
          </c:extLst>
        </c:ser>
        <c:ser>
          <c:idx val="8"/>
          <c:order val="7"/>
          <c:tx>
            <c:strRef>
              <c:f>'Impact Analysis'!$B$27</c:f>
              <c:strCache>
                <c:ptCount val="1"/>
                <c:pt idx="0">
                  <c:v>End of Life Removal and Recycling</c:v>
                </c:pt>
              </c:strCache>
            </c:strRef>
          </c:tx>
          <c:spPr>
            <a:solidFill>
              <a:schemeClr val="accent3">
                <a:lumMod val="60000"/>
              </a:schemeClr>
            </a:solidFill>
            <a:ln>
              <a:noFill/>
            </a:ln>
            <a:effectLst/>
          </c:spPr>
          <c:invertIfNegative val="0"/>
          <c:cat>
            <c:numRef>
              <c:f>'Data Entry'!$C$16:$C$18</c:f>
              <c:numCache>
                <c:formatCode>General</c:formatCode>
                <c:ptCount val="3"/>
              </c:numCache>
            </c:numRef>
          </c:cat>
          <c:val>
            <c:numRef>
              <c:f>'Impact Analysis'!$F$27:$H$27</c:f>
              <c:numCache>
                <c:formatCode>_-* #,##0.0_-;\-* #,##0.0_-;_-* "-"??_-;_-@_-</c:formatCode>
                <c:ptCount val="3"/>
                <c:pt idx="0">
                  <c:v>0</c:v>
                </c:pt>
                <c:pt idx="1">
                  <c:v>0</c:v>
                </c:pt>
                <c:pt idx="2">
                  <c:v>0</c:v>
                </c:pt>
              </c:numCache>
            </c:numRef>
          </c:val>
          <c:extLst>
            <c:ext xmlns:c16="http://schemas.microsoft.com/office/drawing/2014/chart" uri="{C3380CC4-5D6E-409C-BE32-E72D297353CC}">
              <c16:uniqueId val="{00000008-E26E-4405-97B1-93C739EADEF7}"/>
            </c:ext>
          </c:extLst>
        </c:ser>
        <c:dLbls>
          <c:showLegendKey val="0"/>
          <c:showVal val="0"/>
          <c:showCatName val="0"/>
          <c:showSerName val="0"/>
          <c:showPercent val="0"/>
          <c:showBubbleSize val="0"/>
        </c:dLbls>
        <c:gapWidth val="150"/>
        <c:overlap val="100"/>
        <c:axId val="1324347984"/>
        <c:axId val="1324347568"/>
      </c:barChart>
      <c:catAx>
        <c:axId val="132434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4347568"/>
        <c:crosses val="autoZero"/>
        <c:auto val="1"/>
        <c:lblAlgn val="ctr"/>
        <c:lblOffset val="100"/>
        <c:noMultiLvlLbl val="0"/>
      </c:catAx>
      <c:valAx>
        <c:axId val="1324347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Emissions (t CO</a:t>
                </a:r>
                <a:r>
                  <a:rPr lang="en-NZ" baseline="-25000"/>
                  <a:t>2</a:t>
                </a:r>
                <a:r>
                  <a:rPr lang="en-NZ"/>
                  <a:t>-eq/year)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434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Additional Indicator</a:t>
            </a:r>
            <a:r>
              <a:rPr lang="en-NZ" baseline="0"/>
              <a:t> Breakdown</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4B-4831-88C2-6702C9CADB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4B-4831-88C2-6702C9CADB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34B-4831-88C2-6702C9CADB5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34B-4831-88C2-6702C9CADB5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34B-4831-88C2-6702C9CADB5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34B-4831-88C2-6702C9CADB5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4B-4831-88C2-6702C9CADB5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34B-4831-88C2-6702C9CADB5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4B-4831-88C2-6702C9CADB5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4B-4831-88C2-6702C9CADB5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34B-4831-88C2-6702C9CADB5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34B-4831-88C2-6702C9CADB5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34B-4831-88C2-6702C9CADB5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34B-4831-88C2-6702C9CADB5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34B-4831-88C2-6702C9CADB5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A34B-4831-88C2-6702C9CADB5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A34B-4831-88C2-6702C9CADB5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A34B-4831-88C2-6702C9CADB5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A34B-4831-88C2-6702C9CADB5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A34B-4831-88C2-6702C9CADB5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A34B-4831-88C2-6702C9CADB5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A34B-4831-88C2-6702C9CADB5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A3D9-49F9-A161-84042CE0481F}"/>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A3D9-49F9-A161-84042CE0481F}"/>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A3D9-49F9-A161-84042CE0481F}"/>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0599-4495-AF0C-37011E771F9C}"/>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0599-4495-AF0C-37011E771F9C}"/>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0599-4495-AF0C-37011E771F9C}"/>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0599-4495-AF0C-37011E771F9C}"/>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0599-4495-AF0C-37011E771F9C}"/>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0599-4495-AF0C-37011E771F9C}"/>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0599-4495-AF0C-37011E771F9C}"/>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0599-4495-AF0C-37011E771F9C}"/>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0599-4495-AF0C-37011E771F9C}"/>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0599-4495-AF0C-37011E771F9C}"/>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0599-4495-AF0C-37011E771F9C}"/>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0599-4495-AF0C-37011E771F9C}"/>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0599-4495-AF0C-37011E771F9C}"/>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745C-43AF-90A3-724BF3D69CDB}"/>
              </c:ext>
            </c:extLst>
          </c:dPt>
          <c:cat>
            <c:strRef>
              <c:f>'Additional Impact Indicators'!$G$8:$AQ$8</c:f>
              <c:strCache>
                <c:ptCount val="37"/>
                <c:pt idx="0">
                  <c:v>Raw-Materials</c:v>
                </c:pt>
                <c:pt idx="1">
                  <c:v>Raw-Transport</c:v>
                </c:pt>
                <c:pt idx="2">
                  <c:v>Raw-Paving</c:v>
                </c:pt>
                <c:pt idx="3">
                  <c:v>Main - crack materials</c:v>
                </c:pt>
                <c:pt idx="4">
                  <c:v>Main - crack transport</c:v>
                </c:pt>
                <c:pt idx="5">
                  <c:v>Main - crack paving</c:v>
                </c:pt>
                <c:pt idx="6">
                  <c:v>Main - pothole materials</c:v>
                </c:pt>
                <c:pt idx="7">
                  <c:v>Main - pothole transport</c:v>
                </c:pt>
                <c:pt idx="8">
                  <c:v>Main - pothole paving</c:v>
                </c:pt>
                <c:pt idx="9">
                  <c:v>Main - Surface Defect Repair</c:v>
                </c:pt>
                <c:pt idx="10">
                  <c:v>Main - Surface Defect Repair Transport</c:v>
                </c:pt>
                <c:pt idx="11">
                  <c:v>Main - Surface Defect Repair Paving</c:v>
                </c:pt>
                <c:pt idx="12">
                  <c:v>Main - Shoulder Maintenance Repair</c:v>
                </c:pt>
                <c:pt idx="13">
                  <c:v>Main - Shoulder Maintenance Transport</c:v>
                </c:pt>
                <c:pt idx="14">
                  <c:v>Main - Shoulder Maintenance Paving</c:v>
                </c:pt>
                <c:pt idx="15">
                  <c:v>Main - stabilisation materials</c:v>
                </c:pt>
                <c:pt idx="16">
                  <c:v>Main - stabilisation transport</c:v>
                </c:pt>
                <c:pt idx="17">
                  <c:v>Main - stabilisation paving</c:v>
                </c:pt>
                <c:pt idx="18">
                  <c:v>Main - Mill and fill materials</c:v>
                </c:pt>
                <c:pt idx="19">
                  <c:v>Main - Mill and fill transport</c:v>
                </c:pt>
                <c:pt idx="20">
                  <c:v>Main - Mill and fill paving</c:v>
                </c:pt>
                <c:pt idx="21">
                  <c:v>Main - Rip and remake materials</c:v>
                </c:pt>
                <c:pt idx="22">
                  <c:v>Main - Rip and remake transport</c:v>
                </c:pt>
                <c:pt idx="23">
                  <c:v>Main - Rip and remake paving</c:v>
                </c:pt>
                <c:pt idx="24">
                  <c:v>Main - dig outs materials</c:v>
                </c:pt>
                <c:pt idx="25">
                  <c:v>Main - dig out transport</c:v>
                </c:pt>
                <c:pt idx="26">
                  <c:v>Main - dig out paving</c:v>
                </c:pt>
                <c:pt idx="27">
                  <c:v>Main - Lay materials</c:v>
                </c:pt>
                <c:pt idx="28">
                  <c:v>Main - lay transport</c:v>
                </c:pt>
                <c:pt idx="29">
                  <c:v>Main - lay paving</c:v>
                </c:pt>
                <c:pt idx="30">
                  <c:v>Deflection PVI</c:v>
                </c:pt>
                <c:pt idx="31">
                  <c:v>Roughness PVI</c:v>
                </c:pt>
                <c:pt idx="32">
                  <c:v>Traffic Delay - life extension</c:v>
                </c:pt>
                <c:pt idx="33">
                  <c:v>Traffic - delay replacement</c:v>
                </c:pt>
                <c:pt idx="34">
                  <c:v>Removal</c:v>
                </c:pt>
                <c:pt idx="35">
                  <c:v>Transport to landfill</c:v>
                </c:pt>
                <c:pt idx="36">
                  <c:v>Transport to recycling facility</c:v>
                </c:pt>
              </c:strCache>
            </c:strRef>
          </c:cat>
          <c:val>
            <c:numRef>
              <c:f>'Additional Impact Indicators'!$G$114:$AS$114</c:f>
              <c:numCache>
                <c:formatCode>_-* #,##0_-;\-* #,##0_-;_-* "-"??_-;_-@_-</c:formatCode>
                <c:ptCount val="39"/>
                <c:pt idx="0">
                  <c:v>0</c:v>
                </c:pt>
                <c:pt idx="1">
                  <c:v>0</c:v>
                </c:pt>
                <c:pt idx="2">
                  <c:v>0</c:v>
                </c:pt>
                <c:pt idx="3" formatCode="0.000">
                  <c:v>0</c:v>
                </c:pt>
                <c:pt idx="4" formatCode="0.000">
                  <c:v>0</c:v>
                </c:pt>
                <c:pt idx="5" formatCode="General">
                  <c:v>0</c:v>
                </c:pt>
                <c:pt idx="6" formatCode="0.000">
                  <c:v>0</c:v>
                </c:pt>
                <c:pt idx="7" formatCode="0.000">
                  <c:v>0</c:v>
                </c:pt>
                <c:pt idx="8" formatCode="General">
                  <c:v>0</c:v>
                </c:pt>
                <c:pt idx="9" formatCode="0.000">
                  <c:v>0</c:v>
                </c:pt>
                <c:pt idx="10" formatCode="0.000">
                  <c:v>0</c:v>
                </c:pt>
                <c:pt idx="11" formatCode="General">
                  <c:v>0</c:v>
                </c:pt>
                <c:pt idx="12" formatCode="0.000">
                  <c:v>0</c:v>
                </c:pt>
                <c:pt idx="13" formatCode="0.000">
                  <c:v>0</c:v>
                </c:pt>
                <c:pt idx="14" formatCode="General">
                  <c:v>0</c:v>
                </c:pt>
                <c:pt idx="15" formatCode="0.000">
                  <c:v>0</c:v>
                </c:pt>
                <c:pt idx="16" formatCode="0.000">
                  <c:v>0</c:v>
                </c:pt>
                <c:pt idx="17" formatCode="General">
                  <c:v>0</c:v>
                </c:pt>
                <c:pt idx="18" formatCode="0.000">
                  <c:v>0</c:v>
                </c:pt>
                <c:pt idx="19" formatCode="0.000">
                  <c:v>0</c:v>
                </c:pt>
                <c:pt idx="20" formatCode="General">
                  <c:v>0</c:v>
                </c:pt>
                <c:pt idx="21" formatCode="0.000">
                  <c:v>0</c:v>
                </c:pt>
                <c:pt idx="22" formatCode="0.000">
                  <c:v>0</c:v>
                </c:pt>
                <c:pt idx="23" formatCode="General">
                  <c:v>0</c:v>
                </c:pt>
                <c:pt idx="24" formatCode="0.000">
                  <c:v>0</c:v>
                </c:pt>
                <c:pt idx="25" formatCode="0.000">
                  <c:v>0</c:v>
                </c:pt>
                <c:pt idx="26" formatCode="General">
                  <c:v>0</c:v>
                </c:pt>
                <c:pt idx="27" formatCode="0.000">
                  <c:v>0</c:v>
                </c:pt>
                <c:pt idx="28" formatCode="0.000">
                  <c:v>0</c:v>
                </c:pt>
                <c:pt idx="29" formatCode="General">
                  <c:v>0</c:v>
                </c:pt>
                <c:pt idx="30">
                  <c:v>0</c:v>
                </c:pt>
                <c:pt idx="31">
                  <c:v>0</c:v>
                </c:pt>
                <c:pt idx="32">
                  <c:v>0</c:v>
                </c:pt>
                <c:pt idx="33">
                  <c:v>0</c:v>
                </c:pt>
                <c:pt idx="34" formatCode="0.00E+00">
                  <c:v>0</c:v>
                </c:pt>
                <c:pt idx="35" formatCode="0.00E+00">
                  <c:v>0</c:v>
                </c:pt>
                <c:pt idx="36" formatCode="0.00E+00">
                  <c:v>0</c:v>
                </c:pt>
                <c:pt idx="37" formatCode="_(* #,##0.00_);_(* \(#,##0.00\);_(* &quot;-&quot;??_);_(@_)">
                  <c:v>0</c:v>
                </c:pt>
                <c:pt idx="38" formatCode="General">
                  <c:v>0</c:v>
                </c:pt>
              </c:numCache>
            </c:numRef>
          </c:val>
          <c:extLst>
            <c:ext xmlns:c16="http://schemas.microsoft.com/office/drawing/2014/chart" uri="{C3380CC4-5D6E-409C-BE32-E72D297353CC}">
              <c16:uniqueId val="{00000000-ADB6-4B22-9676-698D29AF3DD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v>V=20 km/h</c:v>
          </c:tx>
          <c:spPr>
            <a:ln w="28575" cap="rnd">
              <a:solidFill>
                <a:schemeClr val="accent2"/>
              </a:solidFill>
              <a:round/>
            </a:ln>
            <a:effectLst/>
          </c:spPr>
          <c:marker>
            <c:symbol val="none"/>
          </c:marker>
          <c:cat>
            <c:numRef>
              <c:f>'Surface Roughness'!$O$5:$O$21</c:f>
              <c:numCache>
                <c:formatCode>General</c:formatCode>
                <c:ptCount val="17"/>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numCache>
            </c:numRef>
          </c:cat>
          <c:val>
            <c:numRef>
              <c:f>'Surface Roughness'!$R$5:$R$21</c:f>
              <c:numCache>
                <c:formatCode>0.00E+00</c:formatCode>
                <c:ptCount val="17"/>
                <c:pt idx="0">
                  <c:v>2.3657284222716698E-6</c:v>
                </c:pt>
                <c:pt idx="1">
                  <c:v>9.4629136890866791E-6</c:v>
                </c:pt>
                <c:pt idx="2">
                  <c:v>2.1291555800445029E-5</c:v>
                </c:pt>
                <c:pt idx="3">
                  <c:v>3.7851654756346716E-5</c:v>
                </c:pt>
                <c:pt idx="4">
                  <c:v>5.9143210556791748E-5</c:v>
                </c:pt>
                <c:pt idx="5">
                  <c:v>8.5166223201780115E-5</c:v>
                </c:pt>
                <c:pt idx="6">
                  <c:v>1.1592069269131184E-4</c:v>
                </c:pt>
                <c:pt idx="7">
                  <c:v>1.5140661902538687E-4</c:v>
                </c:pt>
                <c:pt idx="8">
                  <c:v>1.9162400220400531E-4</c:v>
                </c:pt>
                <c:pt idx="9">
                  <c:v>2.3657284222716699E-4</c:v>
                </c:pt>
                <c:pt idx="10">
                  <c:v>2.8625313909487205E-4</c:v>
                </c:pt>
                <c:pt idx="11">
                  <c:v>3.4066489280712046E-4</c:v>
                </c:pt>
                <c:pt idx="12">
                  <c:v>3.998081033639123E-4</c:v>
                </c:pt>
                <c:pt idx="13">
                  <c:v>4.6368277076524735E-4</c:v>
                </c:pt>
                <c:pt idx="14">
                  <c:v>5.3228889501112577E-4</c:v>
                </c:pt>
                <c:pt idx="15">
                  <c:v>6.0562647610154746E-4</c:v>
                </c:pt>
              </c:numCache>
            </c:numRef>
          </c:val>
          <c:smooth val="0"/>
          <c:extLst>
            <c:ext xmlns:c16="http://schemas.microsoft.com/office/drawing/2014/chart" uri="{C3380CC4-5D6E-409C-BE32-E72D297353CC}">
              <c16:uniqueId val="{00000000-48BB-4BFA-B053-E5B1321CB98E}"/>
            </c:ext>
          </c:extLst>
        </c:ser>
        <c:ser>
          <c:idx val="3"/>
          <c:order val="3"/>
          <c:tx>
            <c:v>V=40 km/h</c:v>
          </c:tx>
          <c:spPr>
            <a:ln w="28575" cap="rnd">
              <a:solidFill>
                <a:schemeClr val="accent4"/>
              </a:solidFill>
              <a:round/>
            </a:ln>
            <a:effectLst/>
          </c:spPr>
          <c:marker>
            <c:symbol val="none"/>
          </c:marker>
          <c:cat>
            <c:numRef>
              <c:f>'Surface Roughness'!$O$5:$O$21</c:f>
              <c:numCache>
                <c:formatCode>General</c:formatCode>
                <c:ptCount val="17"/>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numCache>
            </c:numRef>
          </c:cat>
          <c:val>
            <c:numRef>
              <c:f>'Surface Roughness'!$T$5:$T$21</c:f>
              <c:numCache>
                <c:formatCode>0.00E+00</c:formatCode>
                <c:ptCount val="17"/>
                <c:pt idx="0">
                  <c:v>3.1470158975390692E-6</c:v>
                </c:pt>
                <c:pt idx="1">
                  <c:v>1.2588063590156277E-5</c:v>
                </c:pt>
                <c:pt idx="2">
                  <c:v>2.8323143077851622E-5</c:v>
                </c:pt>
                <c:pt idx="3">
                  <c:v>5.0352254360625107E-5</c:v>
                </c:pt>
                <c:pt idx="4">
                  <c:v>7.8675397438476743E-5</c:v>
                </c:pt>
                <c:pt idx="5">
                  <c:v>1.1329257231140649E-4</c:v>
                </c:pt>
                <c:pt idx="6">
                  <c:v>1.5420377897941439E-4</c:v>
                </c:pt>
                <c:pt idx="7">
                  <c:v>2.0140901744250043E-4</c:v>
                </c:pt>
                <c:pt idx="8">
                  <c:v>2.5490828770066465E-4</c:v>
                </c:pt>
                <c:pt idx="9">
                  <c:v>3.1470158975390697E-4</c:v>
                </c:pt>
                <c:pt idx="10">
                  <c:v>3.8078892360222732E-4</c:v>
                </c:pt>
                <c:pt idx="11">
                  <c:v>4.5317028924562596E-4</c:v>
                </c:pt>
                <c:pt idx="12">
                  <c:v>5.3184568668410278E-4</c:v>
                </c:pt>
                <c:pt idx="13">
                  <c:v>6.1681511591765758E-4</c:v>
                </c:pt>
                <c:pt idx="14">
                  <c:v>7.0807857694629055E-4</c:v>
                </c:pt>
                <c:pt idx="15">
                  <c:v>8.0563606977000172E-4</c:v>
                </c:pt>
              </c:numCache>
            </c:numRef>
          </c:val>
          <c:smooth val="0"/>
          <c:extLst>
            <c:ext xmlns:c16="http://schemas.microsoft.com/office/drawing/2014/chart" uri="{C3380CC4-5D6E-409C-BE32-E72D297353CC}">
              <c16:uniqueId val="{00000001-48BB-4BFA-B053-E5B1321CB98E}"/>
            </c:ext>
          </c:extLst>
        </c:ser>
        <c:ser>
          <c:idx val="4"/>
          <c:order val="4"/>
          <c:tx>
            <c:v>V=60 km/h</c:v>
          </c:tx>
          <c:spPr>
            <a:ln w="28575" cap="rnd">
              <a:solidFill>
                <a:schemeClr val="accent5"/>
              </a:solidFill>
              <a:round/>
            </a:ln>
            <a:effectLst/>
          </c:spPr>
          <c:marker>
            <c:symbol val="none"/>
          </c:marker>
          <c:cat>
            <c:numRef>
              <c:f>'Surface Roughness'!$O$5:$O$21</c:f>
              <c:numCache>
                <c:formatCode>General</c:formatCode>
                <c:ptCount val="17"/>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numCache>
            </c:numRef>
          </c:cat>
          <c:val>
            <c:numRef>
              <c:f>'Surface Roughness'!$V$5:$V$21</c:f>
              <c:numCache>
                <c:formatCode>0.00E+00</c:formatCode>
                <c:ptCount val="17"/>
                <c:pt idx="0">
                  <c:v>3.7187390833083112E-6</c:v>
                </c:pt>
                <c:pt idx="1">
                  <c:v>1.4874956333233245E-5</c:v>
                </c:pt>
                <c:pt idx="2">
                  <c:v>3.3468651749774801E-5</c:v>
                </c:pt>
                <c:pt idx="3">
                  <c:v>5.9499825332932979E-5</c:v>
                </c:pt>
                <c:pt idx="4">
                  <c:v>9.2968477082707793E-5</c:v>
                </c:pt>
                <c:pt idx="5">
                  <c:v>1.338746069990992E-4</c:v>
                </c:pt>
                <c:pt idx="6">
                  <c:v>1.8221821508210729E-4</c:v>
                </c:pt>
                <c:pt idx="7">
                  <c:v>2.3799930133173192E-4</c:v>
                </c:pt>
                <c:pt idx="8">
                  <c:v>3.0121786574797326E-4</c:v>
                </c:pt>
                <c:pt idx="9">
                  <c:v>3.7187390833083117E-4</c:v>
                </c:pt>
                <c:pt idx="10">
                  <c:v>4.4996742908030564E-4</c:v>
                </c:pt>
                <c:pt idx="11">
                  <c:v>5.3549842799639682E-4</c:v>
                </c:pt>
                <c:pt idx="12">
                  <c:v>6.284669050791047E-4</c:v>
                </c:pt>
                <c:pt idx="13">
                  <c:v>7.2887286032842914E-4</c:v>
                </c:pt>
                <c:pt idx="14">
                  <c:v>8.3671629374437013E-4</c:v>
                </c:pt>
                <c:pt idx="15">
                  <c:v>9.5199720532692766E-4</c:v>
                </c:pt>
              </c:numCache>
            </c:numRef>
          </c:val>
          <c:smooth val="0"/>
          <c:extLst>
            <c:ext xmlns:c16="http://schemas.microsoft.com/office/drawing/2014/chart" uri="{C3380CC4-5D6E-409C-BE32-E72D297353CC}">
              <c16:uniqueId val="{00000002-48BB-4BFA-B053-E5B1321CB98E}"/>
            </c:ext>
          </c:extLst>
        </c:ser>
        <c:ser>
          <c:idx val="5"/>
          <c:order val="5"/>
          <c:tx>
            <c:v>V=80 km/h</c:v>
          </c:tx>
          <c:spPr>
            <a:ln w="28575" cap="rnd">
              <a:solidFill>
                <a:schemeClr val="accent6"/>
              </a:solidFill>
              <a:round/>
            </a:ln>
            <a:effectLst/>
          </c:spPr>
          <c:marker>
            <c:symbol val="none"/>
          </c:marker>
          <c:cat>
            <c:numRef>
              <c:f>'Surface Roughness'!$O$5:$O$21</c:f>
              <c:numCache>
                <c:formatCode>General</c:formatCode>
                <c:ptCount val="17"/>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numCache>
            </c:numRef>
          </c:cat>
          <c:val>
            <c:numRef>
              <c:f>'Surface Roughness'!$X$5:$X$21</c:f>
              <c:numCache>
                <c:formatCode>0.00E+00</c:formatCode>
                <c:ptCount val="17"/>
                <c:pt idx="0">
                  <c:v>4.1863254320010605E-6</c:v>
                </c:pt>
                <c:pt idx="1">
                  <c:v>1.6745301728004242E-5</c:v>
                </c:pt>
                <c:pt idx="2">
                  <c:v>3.7676928888009543E-5</c:v>
                </c:pt>
                <c:pt idx="3">
                  <c:v>6.6981206912016967E-5</c:v>
                </c:pt>
                <c:pt idx="4">
                  <c:v>1.0465813580002651E-4</c:v>
                </c:pt>
                <c:pt idx="5">
                  <c:v>1.5070771555203817E-4</c:v>
                </c:pt>
                <c:pt idx="6">
                  <c:v>2.0512994616805197E-4</c:v>
                </c:pt>
                <c:pt idx="7">
                  <c:v>2.6792482764806787E-4</c:v>
                </c:pt>
                <c:pt idx="8">
                  <c:v>3.3909235999208593E-4</c:v>
                </c:pt>
                <c:pt idx="9">
                  <c:v>4.1863254320010604E-4</c:v>
                </c:pt>
                <c:pt idx="10">
                  <c:v>5.0654537727212821E-4</c:v>
                </c:pt>
                <c:pt idx="11">
                  <c:v>6.0283086220815269E-4</c:v>
                </c:pt>
                <c:pt idx="12">
                  <c:v>7.0748899800817939E-4</c:v>
                </c:pt>
                <c:pt idx="13">
                  <c:v>8.2051978467220787E-4</c:v>
                </c:pt>
                <c:pt idx="14">
                  <c:v>9.4192322220023857E-4</c:v>
                </c:pt>
                <c:pt idx="15">
                  <c:v>1.0716993105922715E-3</c:v>
                </c:pt>
              </c:numCache>
            </c:numRef>
          </c:val>
          <c:smooth val="0"/>
          <c:extLst>
            <c:ext xmlns:c16="http://schemas.microsoft.com/office/drawing/2014/chart" uri="{C3380CC4-5D6E-409C-BE32-E72D297353CC}">
              <c16:uniqueId val="{00000003-48BB-4BFA-B053-E5B1321CB98E}"/>
            </c:ext>
          </c:extLst>
        </c:ser>
        <c:ser>
          <c:idx val="6"/>
          <c:order val="6"/>
          <c:tx>
            <c:v>V=100 km/h</c:v>
          </c:tx>
          <c:spPr>
            <a:ln w="28575" cap="rnd">
              <a:solidFill>
                <a:schemeClr val="accent1">
                  <a:lumMod val="60000"/>
                </a:schemeClr>
              </a:solidFill>
              <a:round/>
            </a:ln>
            <a:effectLst/>
          </c:spPr>
          <c:marker>
            <c:symbol val="none"/>
          </c:marker>
          <c:cat>
            <c:numRef>
              <c:f>'Surface Roughness'!$O$5:$O$21</c:f>
              <c:numCache>
                <c:formatCode>General</c:formatCode>
                <c:ptCount val="17"/>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numCache>
            </c:numRef>
          </c:cat>
          <c:val>
            <c:numRef>
              <c:f>'Surface Roughness'!$Z$5:$Z$21</c:f>
              <c:numCache>
                <c:formatCode>0.00E+00</c:formatCode>
                <c:ptCount val="17"/>
                <c:pt idx="0">
                  <c:v>4.5891350499165238E-6</c:v>
                </c:pt>
                <c:pt idx="1">
                  <c:v>1.8356540199666095E-5</c:v>
                </c:pt>
                <c:pt idx="2">
                  <c:v>4.1302215449248718E-5</c:v>
                </c:pt>
                <c:pt idx="3">
                  <c:v>7.342616079866438E-5</c:v>
                </c:pt>
                <c:pt idx="4">
                  <c:v>1.147283762479131E-4</c:v>
                </c:pt>
                <c:pt idx="5">
                  <c:v>1.6520886179699487E-4</c:v>
                </c:pt>
                <c:pt idx="6">
                  <c:v>2.2486761744590968E-4</c:v>
                </c:pt>
                <c:pt idx="7">
                  <c:v>2.9370464319465752E-4</c:v>
                </c:pt>
                <c:pt idx="8">
                  <c:v>3.7171993904323852E-4</c:v>
                </c:pt>
                <c:pt idx="9">
                  <c:v>4.5891350499165242E-4</c:v>
                </c:pt>
                <c:pt idx="10">
                  <c:v>5.5528534103989932E-4</c:v>
                </c:pt>
                <c:pt idx="11">
                  <c:v>6.6083544718797949E-4</c:v>
                </c:pt>
                <c:pt idx="12">
                  <c:v>7.7556382343589266E-4</c:v>
                </c:pt>
                <c:pt idx="13">
                  <c:v>8.9947046978363873E-4</c:v>
                </c:pt>
                <c:pt idx="14">
                  <c:v>1.0325553862312179E-3</c:v>
                </c:pt>
                <c:pt idx="15">
                  <c:v>1.1748185727786301E-3</c:v>
                </c:pt>
              </c:numCache>
            </c:numRef>
          </c:val>
          <c:smooth val="0"/>
          <c:extLst>
            <c:ext xmlns:c16="http://schemas.microsoft.com/office/drawing/2014/chart" uri="{C3380CC4-5D6E-409C-BE32-E72D297353CC}">
              <c16:uniqueId val="{00000004-48BB-4BFA-B053-E5B1321CB98E}"/>
            </c:ext>
          </c:extLst>
        </c:ser>
        <c:ser>
          <c:idx val="7"/>
          <c:order val="7"/>
          <c:tx>
            <c:v>V=120 km/h</c:v>
          </c:tx>
          <c:spPr>
            <a:ln w="28575" cap="rnd">
              <a:solidFill>
                <a:schemeClr val="accent2">
                  <a:lumMod val="60000"/>
                </a:schemeClr>
              </a:solidFill>
              <a:round/>
            </a:ln>
            <a:effectLst/>
          </c:spPr>
          <c:marker>
            <c:symbol val="none"/>
          </c:marker>
          <c:cat>
            <c:numRef>
              <c:f>'Surface Roughness'!$O$5:$O$21</c:f>
              <c:numCache>
                <c:formatCode>General</c:formatCode>
                <c:ptCount val="17"/>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numCache>
            </c:numRef>
          </c:cat>
          <c:val>
            <c:numRef>
              <c:f>'Surface Roughness'!$AB$5:$AB$21</c:f>
              <c:numCache>
                <c:formatCode>0.00E+00</c:formatCode>
                <c:ptCount val="17"/>
                <c:pt idx="0">
                  <c:v>4.9468615686383329E-6</c:v>
                </c:pt>
                <c:pt idx="1">
                  <c:v>1.9787446274553331E-5</c:v>
                </c:pt>
                <c:pt idx="2">
                  <c:v>4.4521754117744998E-5</c:v>
                </c:pt>
                <c:pt idx="3">
                  <c:v>7.9149785098213326E-5</c:v>
                </c:pt>
                <c:pt idx="4">
                  <c:v>1.2367153921595834E-4</c:v>
                </c:pt>
                <c:pt idx="5">
                  <c:v>1.7808701647097999E-4</c:v>
                </c:pt>
                <c:pt idx="6">
                  <c:v>2.4239621686327834E-4</c:v>
                </c:pt>
                <c:pt idx="7">
                  <c:v>3.165991403928533E-4</c:v>
                </c:pt>
                <c:pt idx="8">
                  <c:v>4.0069578705970507E-4</c:v>
                </c:pt>
                <c:pt idx="9">
                  <c:v>4.9468615686383338E-4</c:v>
                </c:pt>
                <c:pt idx="10">
                  <c:v>5.9857024980523822E-4</c:v>
                </c:pt>
                <c:pt idx="11">
                  <c:v>7.1234806588391997E-4</c:v>
                </c:pt>
                <c:pt idx="12">
                  <c:v>8.3601960509987853E-4</c:v>
                </c:pt>
                <c:pt idx="13">
                  <c:v>9.6958486745311336E-4</c:v>
                </c:pt>
                <c:pt idx="14">
                  <c:v>1.1130438529436248E-3</c:v>
                </c:pt>
                <c:pt idx="15">
                  <c:v>1.2663965615714132E-3</c:v>
                </c:pt>
              </c:numCache>
            </c:numRef>
          </c:val>
          <c:smooth val="0"/>
          <c:extLst>
            <c:ext xmlns:c16="http://schemas.microsoft.com/office/drawing/2014/chart" uri="{C3380CC4-5D6E-409C-BE32-E72D297353CC}">
              <c16:uniqueId val="{00000005-48BB-4BFA-B053-E5B1321CB98E}"/>
            </c:ext>
          </c:extLst>
        </c:ser>
        <c:dLbls>
          <c:showLegendKey val="0"/>
          <c:showVal val="0"/>
          <c:showCatName val="0"/>
          <c:showSerName val="0"/>
          <c:showPercent val="0"/>
          <c:showBubbleSize val="0"/>
        </c:dLbls>
        <c:smooth val="0"/>
        <c:axId val="1781991072"/>
        <c:axId val="1781991904"/>
        <c:extLst>
          <c:ext xmlns:c15="http://schemas.microsoft.com/office/drawing/2012/chart" uri="{02D57815-91ED-43cb-92C2-25804820EDAC}">
            <c15:filteredLineSeries>
              <c15:ser>
                <c:idx val="0"/>
                <c:order val="0"/>
                <c:tx>
                  <c:v>V=10 km/h</c:v>
                </c:tx>
                <c:spPr>
                  <a:ln w="28575" cap="rnd">
                    <a:solidFill>
                      <a:schemeClr val="accent1"/>
                    </a:solidFill>
                    <a:round/>
                  </a:ln>
                  <a:effectLst/>
                </c:spPr>
                <c:marker>
                  <c:symbol val="none"/>
                </c:marker>
                <c:cat>
                  <c:numRef>
                    <c:extLst>
                      <c:ext uri="{02D57815-91ED-43cb-92C2-25804820EDAC}">
                        <c15:formulaRef>
                          <c15:sqref>'Surface Roughness'!$O$5:$O$21</c15:sqref>
                        </c15:formulaRef>
                      </c:ext>
                    </c:extLst>
                    <c:numCache>
                      <c:formatCode>General</c:formatCode>
                      <c:ptCount val="17"/>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numCache>
                  </c:numRef>
                </c:cat>
                <c:val>
                  <c:numRef>
                    <c:extLst>
                      <c:ext uri="{02D57815-91ED-43cb-92C2-25804820EDAC}">
                        <c15:formulaRef>
                          <c15:sqref>'Surface Roughness'!$Q$5:$Q$21</c15:sqref>
                        </c15:formulaRef>
                      </c:ext>
                    </c:extLst>
                    <c:numCache>
                      <c:formatCode>0.00E+00</c:formatCode>
                      <c:ptCount val="17"/>
                      <c:pt idx="0">
                        <c:v>1.7784056865809095E-6</c:v>
                      </c:pt>
                      <c:pt idx="1">
                        <c:v>7.1136227463236378E-6</c:v>
                      </c:pt>
                      <c:pt idx="2">
                        <c:v>1.6005651179228185E-5</c:v>
                      </c:pt>
                      <c:pt idx="3">
                        <c:v>2.8454490985294551E-5</c:v>
                      </c:pt>
                      <c:pt idx="4">
                        <c:v>4.4460142164522739E-5</c:v>
                      </c:pt>
                      <c:pt idx="5">
                        <c:v>6.4022604716912739E-5</c:v>
                      </c:pt>
                      <c:pt idx="6">
                        <c:v>8.7141878642464556E-5</c:v>
                      </c:pt>
                      <c:pt idx="7">
                        <c:v>1.1381796394117821E-4</c:v>
                      </c:pt>
                      <c:pt idx="8">
                        <c:v>1.440508606130537E-4</c:v>
                      </c:pt>
                      <c:pt idx="9">
                        <c:v>1.7784056865809096E-4</c:v>
                      </c:pt>
                      <c:pt idx="10">
                        <c:v>2.1518708807629001E-4</c:v>
                      </c:pt>
                      <c:pt idx="11">
                        <c:v>2.5609041886765096E-4</c:v>
                      </c:pt>
                      <c:pt idx="12">
                        <c:v>3.0055056103217375E-4</c:v>
                      </c:pt>
                      <c:pt idx="13">
                        <c:v>3.4856751456985823E-4</c:v>
                      </c:pt>
                      <c:pt idx="14">
                        <c:v>4.001412794807046E-4</c:v>
                      </c:pt>
                      <c:pt idx="15">
                        <c:v>4.5527185576471282E-4</c:v>
                      </c:pt>
                    </c:numCache>
                  </c:numRef>
                </c:val>
                <c:smooth val="0"/>
                <c:extLst>
                  <c:ext xmlns:c16="http://schemas.microsoft.com/office/drawing/2014/chart" uri="{C3380CC4-5D6E-409C-BE32-E72D297353CC}">
                    <c16:uniqueId val="{00000006-48BB-4BFA-B053-E5B1321CB98E}"/>
                  </c:ext>
                </c:extLst>
              </c15:ser>
            </c15:filteredLineSeries>
            <c15:filteredLineSeries>
              <c15:ser>
                <c:idx val="2"/>
                <c:order val="2"/>
                <c:tx>
                  <c:v>V=30 km/h</c:v>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'Surface Roughness'!$O$5:$O$21</c15:sqref>
                        </c15:formulaRef>
                      </c:ext>
                    </c:extLst>
                    <c:numCache>
                      <c:formatCode>General</c:formatCode>
                      <c:ptCount val="17"/>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numCache>
                  </c:numRef>
                </c:cat>
                <c:val>
                  <c:numRef>
                    <c:extLst xmlns:c15="http://schemas.microsoft.com/office/drawing/2012/chart">
                      <c:ext xmlns:c15="http://schemas.microsoft.com/office/drawing/2012/chart" uri="{02D57815-91ED-43cb-92C2-25804820EDAC}">
                        <c15:formulaRef>
                          <c15:sqref>'Surface Roughness'!$S$5:$S$21</c15:sqref>
                        </c15:formulaRef>
                      </c:ext>
                    </c:extLst>
                    <c:numCache>
                      <c:formatCode>0.00E+00</c:formatCode>
                      <c:ptCount val="17"/>
                      <c:pt idx="0">
                        <c:v>2.795513918844367E-6</c:v>
                      </c:pt>
                      <c:pt idx="1">
                        <c:v>1.1182055675377468E-5</c:v>
                      </c:pt>
                      <c:pt idx="2">
                        <c:v>2.5159625269599302E-5</c:v>
                      </c:pt>
                      <c:pt idx="3">
                        <c:v>4.4728222701509871E-5</c:v>
                      </c:pt>
                      <c:pt idx="4">
                        <c:v>6.9887847971109173E-5</c:v>
                      </c:pt>
                      <c:pt idx="5">
                        <c:v>1.0063850107839721E-4</c:v>
                      </c:pt>
                      <c:pt idx="6">
                        <c:v>1.3698018202337397E-4</c:v>
                      </c:pt>
                      <c:pt idx="7">
                        <c:v>1.7891289080603949E-4</c:v>
                      </c:pt>
                      <c:pt idx="8">
                        <c:v>2.2643662742639377E-4</c:v>
                      </c:pt>
                      <c:pt idx="9">
                        <c:v>2.7955139188443669E-4</c:v>
                      </c:pt>
                      <c:pt idx="10">
                        <c:v>3.3825718418016836E-4</c:v>
                      </c:pt>
                      <c:pt idx="11">
                        <c:v>4.0255400431358883E-4</c:v>
                      </c:pt>
                      <c:pt idx="12">
                        <c:v>4.724418522846981E-4</c:v>
                      </c:pt>
                      <c:pt idx="13">
                        <c:v>5.4792072809349589E-4</c:v>
                      </c:pt>
                      <c:pt idx="14">
                        <c:v>6.2899063173998254E-4</c:v>
                      </c:pt>
                      <c:pt idx="15">
                        <c:v>7.1565156322415794E-4</c:v>
                      </c:pt>
                    </c:numCache>
                  </c:numRef>
                </c:val>
                <c:smooth val="0"/>
                <c:extLst xmlns:c15="http://schemas.microsoft.com/office/drawing/2012/chart">
                  <c:ext xmlns:c16="http://schemas.microsoft.com/office/drawing/2014/chart" uri="{C3380CC4-5D6E-409C-BE32-E72D297353CC}">
                    <c16:uniqueId val="{00000007-48BB-4BFA-B053-E5B1321CB98E}"/>
                  </c:ext>
                </c:extLst>
              </c15:ser>
            </c15:filteredLineSeries>
          </c:ext>
        </c:extLst>
      </c:lineChart>
      <c:catAx>
        <c:axId val="178199107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NZ" sz="1600"/>
                  <a:t>IRI [m/km]</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1991904"/>
        <c:crosses val="autoZero"/>
        <c:auto val="1"/>
        <c:lblAlgn val="ctr"/>
        <c:lblOffset val="100"/>
        <c:noMultiLvlLbl val="0"/>
      </c:catAx>
      <c:valAx>
        <c:axId val="178199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NZ" sz="1600"/>
                  <a:t>Energy</a:t>
                </a:r>
                <a:r>
                  <a:rPr lang="en-NZ" sz="1600" baseline="0"/>
                  <a:t> dissipation [MJ/km]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199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New</a:t>
            </a:r>
            <a:r>
              <a:rPr lang="en-NZ" baseline="0"/>
              <a:t> Zealand's Projected Electricity GWP Emissions</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Attributional</c:v>
          </c:tx>
          <c:spPr>
            <a:ln w="28575" cap="rnd">
              <a:solidFill>
                <a:schemeClr val="accent1"/>
              </a:solidFill>
              <a:round/>
            </a:ln>
            <a:effectLst/>
          </c:spPr>
          <c:marker>
            <c:symbol val="none"/>
          </c:marker>
          <c:cat>
            <c:numRef>
              <c:f>'Electricity projections'!$D$24:$AG$24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'Electricity projections'!$D$25:$AG$25</c:f>
              <c:numCache>
                <c:formatCode>General</c:formatCode>
                <c:ptCount val="30"/>
                <c:pt idx="0">
                  <c:v>5.0833333333333328E-2</c:v>
                </c:pt>
                <c:pt idx="1">
                  <c:v>4.9166666666666664E-2</c:v>
                </c:pt>
                <c:pt idx="2">
                  <c:v>4.4166666666666667E-2</c:v>
                </c:pt>
                <c:pt idx="3">
                  <c:v>4.4722222222222226E-2</c:v>
                </c:pt>
                <c:pt idx="4">
                  <c:v>4.4722222222222226E-2</c:v>
                </c:pt>
                <c:pt idx="5">
                  <c:v>4.3333333333333335E-2</c:v>
                </c:pt>
                <c:pt idx="6">
                  <c:v>4.2777777777777776E-2</c:v>
                </c:pt>
                <c:pt idx="7">
                  <c:v>4.2499999999999996E-2</c:v>
                </c:pt>
                <c:pt idx="8">
                  <c:v>4.225385667571694E-2</c:v>
                </c:pt>
                <c:pt idx="9">
                  <c:v>3.6937333191308611E-2</c:v>
                </c:pt>
                <c:pt idx="10">
                  <c:v>3.4177731874013052E-2</c:v>
                </c:pt>
                <c:pt idx="11">
                  <c:v>3.3922149169994725E-2</c:v>
                </c:pt>
                <c:pt idx="12">
                  <c:v>3.3402650558288331E-2</c:v>
                </c:pt>
                <c:pt idx="13">
                  <c:v>3.202205177416028E-2</c:v>
                </c:pt>
                <c:pt idx="14">
                  <c:v>3.1853568142263332E-2</c:v>
                </c:pt>
                <c:pt idx="15">
                  <c:v>3.0707977330255831E-2</c:v>
                </c:pt>
                <c:pt idx="16">
                  <c:v>3.0447174898282501E-2</c:v>
                </c:pt>
                <c:pt idx="17">
                  <c:v>2.6518926599471804E-2</c:v>
                </c:pt>
                <c:pt idx="18">
                  <c:v>2.46840054370915E-2</c:v>
                </c:pt>
                <c:pt idx="19">
                  <c:v>2.4476326130564972E-2</c:v>
                </c:pt>
                <c:pt idx="20">
                  <c:v>2.4143087420485498E-2</c:v>
                </c:pt>
                <c:pt idx="21">
                  <c:v>2.3757093426902416E-2</c:v>
                </c:pt>
                <c:pt idx="22">
                  <c:v>2.4119329730145498E-2</c:v>
                </c:pt>
                <c:pt idx="23">
                  <c:v>2.351218346106311E-2</c:v>
                </c:pt>
                <c:pt idx="24">
                  <c:v>2.375246755580622E-2</c:v>
                </c:pt>
                <c:pt idx="25">
                  <c:v>2.3662922918817612E-2</c:v>
                </c:pt>
                <c:pt idx="26">
                  <c:v>2.4154413095764139E-2</c:v>
                </c:pt>
                <c:pt idx="27">
                  <c:v>2.4132384533761028E-2</c:v>
                </c:pt>
                <c:pt idx="28">
                  <c:v>2.4360677620917304E-2</c:v>
                </c:pt>
                <c:pt idx="29">
                  <c:v>2.4572220941684389E-2</c:v>
                </c:pt>
              </c:numCache>
            </c:numRef>
          </c:val>
          <c:smooth val="0"/>
          <c:extLst>
            <c:ext xmlns:c16="http://schemas.microsoft.com/office/drawing/2014/chart" uri="{C3380CC4-5D6E-409C-BE32-E72D297353CC}">
              <c16:uniqueId val="{00000000-A750-4F8C-B200-15918D0629B1}"/>
            </c:ext>
          </c:extLst>
        </c:ser>
        <c:ser>
          <c:idx val="10"/>
          <c:order val="10"/>
          <c:tx>
            <c:v>Consequential</c:v>
          </c:tx>
          <c:spPr>
            <a:ln w="28575" cap="rnd">
              <a:solidFill>
                <a:schemeClr val="accent5">
                  <a:lumMod val="60000"/>
                </a:schemeClr>
              </a:solidFill>
              <a:round/>
            </a:ln>
            <a:effectLst/>
          </c:spPr>
          <c:marker>
            <c:symbol val="none"/>
          </c:marker>
          <c:cat>
            <c:numRef>
              <c:f>'Electricity projections'!$D$24:$AG$24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'Electricity projections'!$D$35:$AG$35</c:f>
              <c:numCache>
                <c:formatCode>General</c:formatCode>
                <c:ptCount val="30"/>
                <c:pt idx="0">
                  <c:v>5.0444702610357814E-2</c:v>
                </c:pt>
                <c:pt idx="1">
                  <c:v>4.8991301285203404E-2</c:v>
                </c:pt>
                <c:pt idx="2">
                  <c:v>4.2410786213655148E-2</c:v>
                </c:pt>
                <c:pt idx="3">
                  <c:v>4.2890590865403151E-2</c:v>
                </c:pt>
                <c:pt idx="4">
                  <c:v>4.4080283646511266E-2</c:v>
                </c:pt>
                <c:pt idx="5">
                  <c:v>4.1561168101184834E-2</c:v>
                </c:pt>
                <c:pt idx="6">
                  <c:v>4.1988796625319361E-2</c:v>
                </c:pt>
                <c:pt idx="7">
                  <c:v>4.0565711297837634E-2</c:v>
                </c:pt>
                <c:pt idx="8">
                  <c:v>4.2519309722809803E-2</c:v>
                </c:pt>
                <c:pt idx="9">
                  <c:v>3.5978924913536353E-2</c:v>
                </c:pt>
                <c:pt idx="10">
                  <c:v>3.3007487832659776E-2</c:v>
                </c:pt>
                <c:pt idx="11">
                  <c:v>3.1921366734475681E-2</c:v>
                </c:pt>
                <c:pt idx="12">
                  <c:v>3.2746480642243822E-2</c:v>
                </c:pt>
                <c:pt idx="13">
                  <c:v>3.105434052433155E-2</c:v>
                </c:pt>
                <c:pt idx="14">
                  <c:v>3.1828887573155766E-2</c:v>
                </c:pt>
                <c:pt idx="15">
                  <c:v>2.9386703330604277E-2</c:v>
                </c:pt>
                <c:pt idx="16">
                  <c:v>3.0198305130714011E-2</c:v>
                </c:pt>
                <c:pt idx="17">
                  <c:v>2.6232740658902274E-2</c:v>
                </c:pt>
                <c:pt idx="18">
                  <c:v>2.3608793681793059E-2</c:v>
                </c:pt>
                <c:pt idx="19">
                  <c:v>2.2738032977646958E-2</c:v>
                </c:pt>
                <c:pt idx="20">
                  <c:v>2.3382718495134694E-2</c:v>
                </c:pt>
                <c:pt idx="21">
                  <c:v>2.187939328297326E-2</c:v>
                </c:pt>
                <c:pt idx="22">
                  <c:v>2.2993753172484001E-2</c:v>
                </c:pt>
                <c:pt idx="23">
                  <c:v>2.2334082901055881E-2</c:v>
                </c:pt>
                <c:pt idx="24">
                  <c:v>2.3128813095884448E-2</c:v>
                </c:pt>
                <c:pt idx="25">
                  <c:v>2.2901805663521485E-2</c:v>
                </c:pt>
                <c:pt idx="26">
                  <c:v>2.2690173301688203E-2</c:v>
                </c:pt>
                <c:pt idx="27">
                  <c:v>2.2982159076169253E-2</c:v>
                </c:pt>
                <c:pt idx="28">
                  <c:v>2.2874813483237704E-2</c:v>
                </c:pt>
                <c:pt idx="29">
                  <c:v>2.3024396409403597E-2</c:v>
                </c:pt>
              </c:numCache>
            </c:numRef>
          </c:val>
          <c:smooth val="0"/>
          <c:extLst>
            <c:ext xmlns:c16="http://schemas.microsoft.com/office/drawing/2014/chart" uri="{C3380CC4-5D6E-409C-BE32-E72D297353CC}">
              <c16:uniqueId val="{0000000A-A750-4F8C-B200-15918D0629B1}"/>
            </c:ext>
          </c:extLst>
        </c:ser>
        <c:dLbls>
          <c:showLegendKey val="0"/>
          <c:showVal val="0"/>
          <c:showCatName val="0"/>
          <c:showSerName val="0"/>
          <c:showPercent val="0"/>
          <c:showBubbleSize val="0"/>
        </c:dLbls>
        <c:smooth val="0"/>
        <c:axId val="432476704"/>
        <c:axId val="432478368"/>
        <c:extLst>
          <c:ext xmlns:c15="http://schemas.microsoft.com/office/drawing/2012/chart" uri="{02D57815-91ED-43cb-92C2-25804820EDAC}">
            <c15:filteredLineSeries>
              <c15:ser>
                <c:idx val="1"/>
                <c:order val="1"/>
                <c:spPr>
                  <a:ln w="28575" cap="rnd">
                    <a:solidFill>
                      <a:schemeClr val="accent2"/>
                    </a:solidFill>
                    <a:round/>
                  </a:ln>
                  <a:effectLst/>
                </c:spPr>
                <c:marker>
                  <c:symbol val="none"/>
                </c:marker>
                <c:cat>
                  <c:numRef>
                    <c:extLst>
                      <c:ext uri="{02D57815-91ED-43cb-92C2-25804820EDAC}">
                        <c15:formulaRef>
                          <c15:sqref>'Electricity projections'!$D$24:$AG$24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uri="{02D57815-91ED-43cb-92C2-25804820EDAC}">
                        <c15:formulaRef>
                          <c15:sqref>'Electricity projections'!$D$26:$AG$26</c15:sqref>
                        </c15:formulaRef>
                      </c:ext>
                    </c:extLst>
                    <c:numCache>
                      <c:formatCode>0.00E+00</c:formatCode>
                      <c:ptCount val="30"/>
                      <c:pt idx="0">
                        <c:v>4.5555555555555552E-10</c:v>
                      </c:pt>
                      <c:pt idx="1">
                        <c:v>4.4722222222222221E-10</c:v>
                      </c:pt>
                      <c:pt idx="2">
                        <c:v>4.3333333333333334E-10</c:v>
                      </c:pt>
                      <c:pt idx="3">
                        <c:v>4.3611111111111107E-10</c:v>
                      </c:pt>
                      <c:pt idx="4">
                        <c:v>4.3611111111111107E-10</c:v>
                      </c:pt>
                      <c:pt idx="5">
                        <c:v>4.3611111111111107E-10</c:v>
                      </c:pt>
                      <c:pt idx="6">
                        <c:v>4.3333333333333334E-10</c:v>
                      </c:pt>
                      <c:pt idx="7">
                        <c:v>4.3333333333333334E-10</c:v>
                      </c:pt>
                      <c:pt idx="8">
                        <c:v>4.3287647134258884E-10</c:v>
                      </c:pt>
                      <c:pt idx="9">
                        <c:v>4.2186320540691665E-10</c:v>
                      </c:pt>
                      <c:pt idx="10">
                        <c:v>4.0869301380691946E-10</c:v>
                      </c:pt>
                      <c:pt idx="11">
                        <c:v>3.9990697974402225E-10</c:v>
                      </c:pt>
                      <c:pt idx="12">
                        <c:v>3.9938575713379166E-10</c:v>
                      </c:pt>
                      <c:pt idx="13">
                        <c:v>3.9760968904151387E-10</c:v>
                      </c:pt>
                      <c:pt idx="14">
                        <c:v>3.987735663426555E-10</c:v>
                      </c:pt>
                      <c:pt idx="15">
                        <c:v>4.0693344646864998E-10</c:v>
                      </c:pt>
                      <c:pt idx="16">
                        <c:v>4.0933981424419164E-10</c:v>
                      </c:pt>
                      <c:pt idx="17">
                        <c:v>4.0696363659486943E-10</c:v>
                      </c:pt>
                      <c:pt idx="18">
                        <c:v>4.0968748440527221E-10</c:v>
                      </c:pt>
                      <c:pt idx="19">
                        <c:v>4.1244536479598607E-10</c:v>
                      </c:pt>
                      <c:pt idx="20">
                        <c:v>4.1473696040551667E-10</c:v>
                      </c:pt>
                      <c:pt idx="21">
                        <c:v>4.161135510621722E-10</c:v>
                      </c:pt>
                      <c:pt idx="22">
                        <c:v>4.1879125264128607E-10</c:v>
                      </c:pt>
                      <c:pt idx="23">
                        <c:v>4.1994046253753057E-10</c:v>
                      </c:pt>
                      <c:pt idx="24">
                        <c:v>4.2357395187286945E-10</c:v>
                      </c:pt>
                      <c:pt idx="25">
                        <c:v>4.2633458803548057E-10</c:v>
                      </c:pt>
                      <c:pt idx="26">
                        <c:v>4.3099362380229722E-10</c:v>
                      </c:pt>
                      <c:pt idx="27">
                        <c:v>4.3493473624910276E-10</c:v>
                      </c:pt>
                      <c:pt idx="28">
                        <c:v>4.3895116331831947E-10</c:v>
                      </c:pt>
                      <c:pt idx="29">
                        <c:v>4.4319706639468337E-10</c:v>
                      </c:pt>
                    </c:numCache>
                  </c:numRef>
                </c:val>
                <c:smooth val="0"/>
                <c:extLst>
                  <c:ext xmlns:c16="http://schemas.microsoft.com/office/drawing/2014/chart" uri="{C3380CC4-5D6E-409C-BE32-E72D297353CC}">
                    <c16:uniqueId val="{00000001-A750-4F8C-B200-15918D0629B1}"/>
                  </c:ext>
                </c:extLst>
              </c15:ser>
            </c15:filteredLineSeries>
            <c15:filteredLineSeries>
              <c15:ser>
                <c:idx val="2"/>
                <c:order val="2"/>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'Electricity projections'!$D$24:$AG$24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xmlns:c15="http://schemas.microsoft.com/office/drawing/2012/chart">
                      <c:ext xmlns:c15="http://schemas.microsoft.com/office/drawing/2012/chart" uri="{02D57815-91ED-43cb-92C2-25804820EDAC}">
                        <c15:formulaRef>
                          <c15:sqref>'Electricity projections'!$D$27:$AG$27</c15:sqref>
                        </c15:formulaRef>
                      </c:ext>
                    </c:extLst>
                    <c:numCache>
                      <c:formatCode>General</c:formatCode>
                      <c:ptCount val="30"/>
                      <c:pt idx="0">
                        <c:v>4.1944444444444445E-4</c:v>
                      </c:pt>
                      <c:pt idx="1">
                        <c:v>4.6666666666666666E-4</c:v>
                      </c:pt>
                      <c:pt idx="2">
                        <c:v>5.3333333333333336E-4</c:v>
                      </c:pt>
                      <c:pt idx="3">
                        <c:v>5.3333333333333336E-4</c:v>
                      </c:pt>
                      <c:pt idx="4">
                        <c:v>5.2499999999999997E-4</c:v>
                      </c:pt>
                      <c:pt idx="5">
                        <c:v>5.1388888888888892E-4</c:v>
                      </c:pt>
                      <c:pt idx="6">
                        <c:v>5.1388888888888892E-4</c:v>
                      </c:pt>
                      <c:pt idx="7">
                        <c:v>5.0833333333333329E-4</c:v>
                      </c:pt>
                      <c:pt idx="8">
                        <c:v>5.0555544759089727E-4</c:v>
                      </c:pt>
                      <c:pt idx="9">
                        <c:v>4.6364974702455832E-4</c:v>
                      </c:pt>
                      <c:pt idx="10">
                        <c:v>4.4047239251962777E-4</c:v>
                      </c:pt>
                      <c:pt idx="11">
                        <c:v>4.8156336287383613E-4</c:v>
                      </c:pt>
                      <c:pt idx="12">
                        <c:v>4.7953073044861391E-4</c:v>
                      </c:pt>
                      <c:pt idx="13">
                        <c:v>4.8513263963917777E-4</c:v>
                      </c:pt>
                      <c:pt idx="14">
                        <c:v>4.8359637170600558E-4</c:v>
                      </c:pt>
                      <c:pt idx="15">
                        <c:v>4.4965828370920551E-4</c:v>
                      </c:pt>
                      <c:pt idx="16">
                        <c:v>4.4452081545291109E-4</c:v>
                      </c:pt>
                      <c:pt idx="17">
                        <c:v>4.5633859443573889E-4</c:v>
                      </c:pt>
                      <c:pt idx="18">
                        <c:v>4.3501603824203051E-4</c:v>
                      </c:pt>
                      <c:pt idx="19">
                        <c:v>4.3028853622299724E-4</c:v>
                      </c:pt>
                      <c:pt idx="20">
                        <c:v>4.2335822395436664E-4</c:v>
                      </c:pt>
                      <c:pt idx="21">
                        <c:v>4.2466861035897219E-4</c:v>
                      </c:pt>
                      <c:pt idx="22">
                        <c:v>4.2661064808408332E-4</c:v>
                      </c:pt>
                      <c:pt idx="23">
                        <c:v>4.3313899190600835E-4</c:v>
                      </c:pt>
                      <c:pt idx="24">
                        <c:v>4.3230596941745832E-4</c:v>
                      </c:pt>
                      <c:pt idx="25">
                        <c:v>4.3720960298703333E-4</c:v>
                      </c:pt>
                      <c:pt idx="26">
                        <c:v>4.3811791298734167E-4</c:v>
                      </c:pt>
                      <c:pt idx="27">
                        <c:v>4.3640483520506661E-4</c:v>
                      </c:pt>
                      <c:pt idx="28">
                        <c:v>4.3772974753277221E-4</c:v>
                      </c:pt>
                      <c:pt idx="29">
                        <c:v>4.3659238177945557E-4</c:v>
                      </c:pt>
                    </c:numCache>
                  </c:numRef>
                </c:val>
                <c:smooth val="0"/>
                <c:extLst xmlns:c15="http://schemas.microsoft.com/office/drawing/2012/chart">
                  <c:ext xmlns:c16="http://schemas.microsoft.com/office/drawing/2014/chart" uri="{C3380CC4-5D6E-409C-BE32-E72D297353CC}">
                    <c16:uniqueId val="{00000002-A750-4F8C-B200-15918D0629B1}"/>
                  </c:ext>
                </c:extLst>
              </c15:ser>
            </c15:filteredLineSeries>
            <c15:filteredLineSeries>
              <c15:ser>
                <c:idx val="3"/>
                <c:order val="3"/>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'Electricity projections'!$D$24:$AG$24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xmlns:c15="http://schemas.microsoft.com/office/drawing/2012/chart">
                      <c:ext xmlns:c15="http://schemas.microsoft.com/office/drawing/2012/chart" uri="{02D57815-91ED-43cb-92C2-25804820EDAC}">
                        <c15:formulaRef>
                          <c15:sqref>'Electricity projections'!$D$28:$AG$28</c15:sqref>
                        </c15:formulaRef>
                      </c:ext>
                    </c:extLst>
                    <c:numCache>
                      <c:formatCode>General</c:formatCode>
                      <c:ptCount val="30"/>
                      <c:pt idx="0">
                        <c:v>1.0583333333333332E-4</c:v>
                      </c:pt>
                      <c:pt idx="1">
                        <c:v>1.0333333333333333E-4</c:v>
                      </c:pt>
                      <c:pt idx="2">
                        <c:v>1.0083333333333332E-4</c:v>
                      </c:pt>
                      <c:pt idx="3">
                        <c:v>1.0083333333333332E-4</c:v>
                      </c:pt>
                      <c:pt idx="4">
                        <c:v>1.0027777777777777E-4</c:v>
                      </c:pt>
                      <c:pt idx="5">
                        <c:v>9.9444444444444428E-5</c:v>
                      </c:pt>
                      <c:pt idx="6">
                        <c:v>9.8611111111111111E-5</c:v>
                      </c:pt>
                      <c:pt idx="7">
                        <c:v>9.8055555555555561E-5</c:v>
                      </c:pt>
                      <c:pt idx="8">
                        <c:v>9.7282962788951938E-5</c:v>
                      </c:pt>
                      <c:pt idx="9">
                        <c:v>8.1911934094823337E-5</c:v>
                      </c:pt>
                      <c:pt idx="10">
                        <c:v>6.366126880913306E-5</c:v>
                      </c:pt>
                      <c:pt idx="11">
                        <c:v>6.2230776542506112E-5</c:v>
                      </c:pt>
                      <c:pt idx="12">
                        <c:v>6.1757151833814996E-5</c:v>
                      </c:pt>
                      <c:pt idx="13">
                        <c:v>6.1007590361804168E-5</c:v>
                      </c:pt>
                      <c:pt idx="14">
                        <c:v>6.0905091987008892E-5</c:v>
                      </c:pt>
                      <c:pt idx="15">
                        <c:v>6.1511818121219168E-5</c:v>
                      </c:pt>
                      <c:pt idx="16">
                        <c:v>6.1530302703148329E-5</c:v>
                      </c:pt>
                      <c:pt idx="17">
                        <c:v>6.0223201707662775E-5</c:v>
                      </c:pt>
                      <c:pt idx="18">
                        <c:v>5.9681300435295829E-5</c:v>
                      </c:pt>
                      <c:pt idx="19">
                        <c:v>5.9631005049339167E-5</c:v>
                      </c:pt>
                      <c:pt idx="20">
                        <c:v>5.9368712743327497E-5</c:v>
                      </c:pt>
                      <c:pt idx="21">
                        <c:v>5.898480806565639E-5</c:v>
                      </c:pt>
                      <c:pt idx="22">
                        <c:v>5.8942015744653607E-5</c:v>
                      </c:pt>
                      <c:pt idx="23">
                        <c:v>5.8453454393287222E-5</c:v>
                      </c:pt>
                      <c:pt idx="24">
                        <c:v>5.8431187234058055E-5</c:v>
                      </c:pt>
                      <c:pt idx="25">
                        <c:v>5.8229935475606661E-5</c:v>
                      </c:pt>
                      <c:pt idx="26">
                        <c:v>5.8319411239332493E-5</c:v>
                      </c:pt>
                      <c:pt idx="27">
                        <c:v>5.8210984312723336E-5</c:v>
                      </c:pt>
                      <c:pt idx="28">
                        <c:v>5.8206092368124445E-5</c:v>
                      </c:pt>
                      <c:pt idx="29">
                        <c:v>5.821531267068944E-5</c:v>
                      </c:pt>
                    </c:numCache>
                  </c:numRef>
                </c:val>
                <c:smooth val="0"/>
                <c:extLst xmlns:c15="http://schemas.microsoft.com/office/drawing/2012/chart">
                  <c:ext xmlns:c16="http://schemas.microsoft.com/office/drawing/2014/chart" uri="{C3380CC4-5D6E-409C-BE32-E72D297353CC}">
                    <c16:uniqueId val="{00000003-A750-4F8C-B200-15918D0629B1}"/>
                  </c:ext>
                </c:extLst>
              </c15:ser>
            </c15:filteredLineSeries>
            <c15:filteredLineSeries>
              <c15:ser>
                <c:idx val="4"/>
                <c:order val="4"/>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'Electricity projections'!$D$24:$AG$24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xmlns:c15="http://schemas.microsoft.com/office/drawing/2012/chart">
                      <c:ext xmlns:c15="http://schemas.microsoft.com/office/drawing/2012/chart" uri="{02D57815-91ED-43cb-92C2-25804820EDAC}">
                        <c15:formulaRef>
                          <c15:sqref>'Electricity projections'!$D$29:$AG$29</c15:sqref>
                        </c15:formulaRef>
                      </c:ext>
                    </c:extLst>
                    <c:numCache>
                      <c:formatCode>0.00E+00</c:formatCode>
                      <c:ptCount val="30"/>
                      <c:pt idx="0">
                        <c:v>1.3916666666666665E-5</c:v>
                      </c:pt>
                      <c:pt idx="1">
                        <c:v>1.3472222222222222E-5</c:v>
                      </c:pt>
                      <c:pt idx="2">
                        <c:v>1.2583333333333334E-5</c:v>
                      </c:pt>
                      <c:pt idx="3">
                        <c:v>1.263888888888889E-5</c:v>
                      </c:pt>
                      <c:pt idx="4">
                        <c:v>1.2611111111111111E-5</c:v>
                      </c:pt>
                      <c:pt idx="5">
                        <c:v>1.2416666666666667E-5</c:v>
                      </c:pt>
                      <c:pt idx="6">
                        <c:v>1.2305555555555556E-5</c:v>
                      </c:pt>
                      <c:pt idx="7">
                        <c:v>1.2194444444444445E-5</c:v>
                      </c:pt>
                      <c:pt idx="8">
                        <c:v>1.2122755845321972E-5</c:v>
                      </c:pt>
                      <c:pt idx="9">
                        <c:v>1.0616371525028083E-5</c:v>
                      </c:pt>
                      <c:pt idx="10">
                        <c:v>9.4747134093899443E-6</c:v>
                      </c:pt>
                      <c:pt idx="11">
                        <c:v>9.2882668529784722E-6</c:v>
                      </c:pt>
                      <c:pt idx="12">
                        <c:v>9.184992952471611E-6</c:v>
                      </c:pt>
                      <c:pt idx="13">
                        <c:v>8.9428823746421113E-6</c:v>
                      </c:pt>
                      <c:pt idx="14">
                        <c:v>8.9192584192166663E-6</c:v>
                      </c:pt>
                      <c:pt idx="15">
                        <c:v>8.8606044256057791E-6</c:v>
                      </c:pt>
                      <c:pt idx="16">
                        <c:v>8.8380361048655834E-6</c:v>
                      </c:pt>
                      <c:pt idx="17">
                        <c:v>8.2163245009391935E-6</c:v>
                      </c:pt>
                      <c:pt idx="18">
                        <c:v>7.9568137020398619E-6</c:v>
                      </c:pt>
                      <c:pt idx="19">
                        <c:v>7.9362208313459717E-6</c:v>
                      </c:pt>
                      <c:pt idx="20">
                        <c:v>7.8812385944421394E-6</c:v>
                      </c:pt>
                      <c:pt idx="21">
                        <c:v>7.8032493650300827E-6</c:v>
                      </c:pt>
                      <c:pt idx="22">
                        <c:v>7.8505066507932504E-6</c:v>
                      </c:pt>
                      <c:pt idx="23">
                        <c:v>7.7315268414223059E-6</c:v>
                      </c:pt>
                      <c:pt idx="24">
                        <c:v>7.7669299710090003E-6</c:v>
                      </c:pt>
                      <c:pt idx="25">
                        <c:v>7.7408723587250828E-6</c:v>
                      </c:pt>
                      <c:pt idx="26">
                        <c:v>7.8194422183141667E-6</c:v>
                      </c:pt>
                      <c:pt idx="27">
                        <c:v>7.8146030344519161E-6</c:v>
                      </c:pt>
                      <c:pt idx="28">
                        <c:v>7.8489895426215004E-6</c:v>
                      </c:pt>
                      <c:pt idx="29">
                        <c:v>7.8839053921509431E-6</c:v>
                      </c:pt>
                    </c:numCache>
                  </c:numRef>
                </c:val>
                <c:smooth val="0"/>
                <c:extLst xmlns:c15="http://schemas.microsoft.com/office/drawing/2012/chart">
                  <c:ext xmlns:c16="http://schemas.microsoft.com/office/drawing/2014/chart" uri="{C3380CC4-5D6E-409C-BE32-E72D297353CC}">
                    <c16:uniqueId val="{00000004-A750-4F8C-B200-15918D0629B1}"/>
                  </c:ext>
                </c:extLst>
              </c15:ser>
            </c15:filteredLineSeries>
            <c15:filteredLineSeries>
              <c15:ser>
                <c:idx val="5"/>
                <c:order val="5"/>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'Electricity projections'!$D$24:$AG$24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xmlns:c15="http://schemas.microsoft.com/office/drawing/2012/chart">
                      <c:ext xmlns:c15="http://schemas.microsoft.com/office/drawing/2012/chart" uri="{02D57815-91ED-43cb-92C2-25804820EDAC}">
                        <c15:formulaRef>
                          <c15:sqref>'Electricity projections'!$D$30:$AG$30</c15:sqref>
                        </c15:formulaRef>
                      </c:ext>
                    </c:extLst>
                    <c:numCache>
                      <c:formatCode>0.00E+00</c:formatCode>
                      <c:ptCount val="30"/>
                      <c:pt idx="0">
                        <c:v>1.1944444444444445E-7</c:v>
                      </c:pt>
                      <c:pt idx="1">
                        <c:v>1.175E-7</c:v>
                      </c:pt>
                      <c:pt idx="2">
                        <c:v>1.186111111111111E-7</c:v>
                      </c:pt>
                      <c:pt idx="3">
                        <c:v>1.1944444444444445E-7</c:v>
                      </c:pt>
                      <c:pt idx="4">
                        <c:v>1.1999999999999999E-7</c:v>
                      </c:pt>
                      <c:pt idx="5">
                        <c:v>1.2333333333333333E-7</c:v>
                      </c:pt>
                      <c:pt idx="6">
                        <c:v>1.236111111111111E-7</c:v>
                      </c:pt>
                      <c:pt idx="7">
                        <c:v>1.2499999999999999E-7</c:v>
                      </c:pt>
                      <c:pt idx="8">
                        <c:v>1.2433470508885833E-7</c:v>
                      </c:pt>
                      <c:pt idx="9">
                        <c:v>1.3198453570263305E-7</c:v>
                      </c:pt>
                      <c:pt idx="10">
                        <c:v>1.3552342775908803E-7</c:v>
                      </c:pt>
                      <c:pt idx="11">
                        <c:v>1.2964577583786223E-7</c:v>
                      </c:pt>
                      <c:pt idx="12">
                        <c:v>1.3023666538564445E-7</c:v>
                      </c:pt>
                      <c:pt idx="13">
                        <c:v>1.3189845812326251E-7</c:v>
                      </c:pt>
                      <c:pt idx="14">
                        <c:v>1.3462050102658803E-7</c:v>
                      </c:pt>
                      <c:pt idx="15">
                        <c:v>1.4492870882611138E-7</c:v>
                      </c:pt>
                      <c:pt idx="16">
                        <c:v>1.4831037854388915E-7</c:v>
                      </c:pt>
                      <c:pt idx="17">
                        <c:v>1.5261232395407861E-7</c:v>
                      </c:pt>
                      <c:pt idx="18">
                        <c:v>1.5742413201758583E-7</c:v>
                      </c:pt>
                      <c:pt idx="19">
                        <c:v>1.6069215912184973E-7</c:v>
                      </c:pt>
                      <c:pt idx="20">
                        <c:v>1.6251875896206918E-7</c:v>
                      </c:pt>
                      <c:pt idx="21">
                        <c:v>1.6387979644680499E-7</c:v>
                      </c:pt>
                      <c:pt idx="22">
                        <c:v>1.6521834547317666E-7</c:v>
                      </c:pt>
                      <c:pt idx="23">
                        <c:v>1.665147488995489E-7</c:v>
                      </c:pt>
                      <c:pt idx="24">
                        <c:v>1.6811061961526722E-7</c:v>
                      </c:pt>
                      <c:pt idx="25">
                        <c:v>1.6971025434232167E-7</c:v>
                      </c:pt>
                      <c:pt idx="26">
                        <c:v>1.7149266563345278E-7</c:v>
                      </c:pt>
                      <c:pt idx="27">
                        <c:v>1.732234919985886E-7</c:v>
                      </c:pt>
                      <c:pt idx="28">
                        <c:v>1.7500493766752555E-7</c:v>
                      </c:pt>
                      <c:pt idx="29">
                        <c:v>1.7675812923890585E-7</c:v>
                      </c:pt>
                    </c:numCache>
                  </c:numRef>
                </c:val>
                <c:smooth val="0"/>
                <c:extLst xmlns:c15="http://schemas.microsoft.com/office/drawing/2012/chart">
                  <c:ext xmlns:c16="http://schemas.microsoft.com/office/drawing/2014/chart" uri="{C3380CC4-5D6E-409C-BE32-E72D297353CC}">
                    <c16:uniqueId val="{00000005-A750-4F8C-B200-15918D0629B1}"/>
                  </c:ext>
                </c:extLst>
              </c15:ser>
            </c15:filteredLineSeries>
            <c15:filteredLineSeries>
              <c15:ser>
                <c:idx val="6"/>
                <c:order val="6"/>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'Electricity projections'!$D$24:$AG$24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xmlns:c15="http://schemas.microsoft.com/office/drawing/2012/chart">
                      <c:ext xmlns:c15="http://schemas.microsoft.com/office/drawing/2012/chart" uri="{02D57815-91ED-43cb-92C2-25804820EDAC}">
                        <c15:formulaRef>
                          <c15:sqref>'Electricity projections'!$D$31:$AG$31</c15:sqref>
                        </c15:formulaRef>
                      </c:ext>
                    </c:extLst>
                    <c:numCache>
                      <c:formatCode>General</c:formatCode>
                      <c:ptCount val="30"/>
                      <c:pt idx="0">
                        <c:v>0.65833333333333333</c:v>
                      </c:pt>
                      <c:pt idx="1">
                        <c:v>0.61388888888888882</c:v>
                      </c:pt>
                      <c:pt idx="2">
                        <c:v>0.51388888888888895</c:v>
                      </c:pt>
                      <c:pt idx="3">
                        <c:v>0.52222222222222214</c:v>
                      </c:pt>
                      <c:pt idx="4">
                        <c:v>0.52499999999999991</c:v>
                      </c:pt>
                      <c:pt idx="5">
                        <c:v>0.5083333333333333</c:v>
                      </c:pt>
                      <c:pt idx="6">
                        <c:v>0.5</c:v>
                      </c:pt>
                      <c:pt idx="7">
                        <c:v>0.49444444444444446</c:v>
                      </c:pt>
                      <c:pt idx="8">
                        <c:v>0.49309492822187223</c:v>
                      </c:pt>
                      <c:pt idx="9">
                        <c:v>0.41087926788570278</c:v>
                      </c:pt>
                      <c:pt idx="10">
                        <c:v>0.36146779194080553</c:v>
                      </c:pt>
                      <c:pt idx="11">
                        <c:v>0.34231577551852782</c:v>
                      </c:pt>
                      <c:pt idx="12">
                        <c:v>0.33492308859901948</c:v>
                      </c:pt>
                      <c:pt idx="13">
                        <c:v>0.31176527236559443</c:v>
                      </c:pt>
                      <c:pt idx="14">
                        <c:v>0.30986584404673057</c:v>
                      </c:pt>
                      <c:pt idx="15">
                        <c:v>0.30517822817847778</c:v>
                      </c:pt>
                      <c:pt idx="16">
                        <c:v>0.30321123633759722</c:v>
                      </c:pt>
                      <c:pt idx="17">
                        <c:v>0.23913283349628361</c:v>
                      </c:pt>
                      <c:pt idx="18">
                        <c:v>0.21862623035984111</c:v>
                      </c:pt>
                      <c:pt idx="19">
                        <c:v>0.21725997442924222</c:v>
                      </c:pt>
                      <c:pt idx="20">
                        <c:v>0.21452270352793359</c:v>
                      </c:pt>
                      <c:pt idx="21">
                        <c:v>0.20805049477182136</c:v>
                      </c:pt>
                      <c:pt idx="22">
                        <c:v>0.21288630136920694</c:v>
                      </c:pt>
                      <c:pt idx="23">
                        <c:v>0.20119067770536109</c:v>
                      </c:pt>
                      <c:pt idx="24">
                        <c:v>0.20514076038445861</c:v>
                      </c:pt>
                      <c:pt idx="25">
                        <c:v>0.20201610360490946</c:v>
                      </c:pt>
                      <c:pt idx="26">
                        <c:v>0.20926393485941527</c:v>
                      </c:pt>
                      <c:pt idx="27">
                        <c:v>0.20948498613468164</c:v>
                      </c:pt>
                      <c:pt idx="28">
                        <c:v>0.21251934689562804</c:v>
                      </c:pt>
                      <c:pt idx="29">
                        <c:v>0.21615080811415693</c:v>
                      </c:pt>
                    </c:numCache>
                  </c:numRef>
                </c:val>
                <c:smooth val="0"/>
                <c:extLst xmlns:c15="http://schemas.microsoft.com/office/drawing/2012/chart">
                  <c:ext xmlns:c16="http://schemas.microsoft.com/office/drawing/2014/chart" uri="{C3380CC4-5D6E-409C-BE32-E72D297353CC}">
                    <c16:uniqueId val="{00000006-A750-4F8C-B200-15918D0629B1}"/>
                  </c:ext>
                </c:extLst>
              </c15:ser>
            </c15:filteredLineSeries>
            <c15:filteredLineSeries>
              <c15:ser>
                <c:idx val="7"/>
                <c:order val="7"/>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'Electricity projections'!$D$24:$AG$24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xmlns:c15="http://schemas.microsoft.com/office/drawing/2012/chart">
                      <c:ext xmlns:c15="http://schemas.microsoft.com/office/drawing/2012/chart" uri="{02D57815-91ED-43cb-92C2-25804820EDAC}">
                        <c15:formulaRef>
                          <c15:sqref>'Electricity projections'!$D$32:$AG$32</c15:sqref>
                        </c15:formulaRef>
                      </c:ext>
                    </c:extLst>
                    <c:numCache>
                      <c:formatCode>General</c:formatCode>
                      <c:ptCount val="30"/>
                      <c:pt idx="0">
                        <c:v>0.66111111111111109</c:v>
                      </c:pt>
                      <c:pt idx="1">
                        <c:v>0.6166666666666667</c:v>
                      </c:pt>
                      <c:pt idx="2">
                        <c:v>0.51666666666666672</c:v>
                      </c:pt>
                      <c:pt idx="3">
                        <c:v>0.52499999999999991</c:v>
                      </c:pt>
                      <c:pt idx="4">
                        <c:v>0.52777777777777779</c:v>
                      </c:pt>
                      <c:pt idx="5">
                        <c:v>0.51111111111111107</c:v>
                      </c:pt>
                      <c:pt idx="6">
                        <c:v>0.50277777777777777</c:v>
                      </c:pt>
                      <c:pt idx="7">
                        <c:v>0.49722222222222223</c:v>
                      </c:pt>
                      <c:pt idx="8">
                        <c:v>0.49444444444444446</c:v>
                      </c:pt>
                      <c:pt idx="9">
                        <c:v>0.41388888888888886</c:v>
                      </c:pt>
                      <c:pt idx="10">
                        <c:v>0.36388888888888887</c:v>
                      </c:pt>
                      <c:pt idx="11">
                        <c:v>0.34444444444444444</c:v>
                      </c:pt>
                      <c:pt idx="12">
                        <c:v>0.33611111111111108</c:v>
                      </c:pt>
                      <c:pt idx="13">
                        <c:v>0.31388888888888883</c:v>
                      </c:pt>
                      <c:pt idx="14">
                        <c:v>0.31111111111111112</c:v>
                      </c:pt>
                      <c:pt idx="15">
                        <c:v>0.30833333333333335</c:v>
                      </c:pt>
                      <c:pt idx="16">
                        <c:v>0.30555555555555558</c:v>
                      </c:pt>
                      <c:pt idx="17">
                        <c:v>0.24194444444444443</c:v>
                      </c:pt>
                      <c:pt idx="18">
                        <c:v>0.22166666666666668</c:v>
                      </c:pt>
                      <c:pt idx="19">
                        <c:v>0.22027777777777779</c:v>
                      </c:pt>
                      <c:pt idx="20">
                        <c:v>0.2175</c:v>
                      </c:pt>
                      <c:pt idx="21">
                        <c:v>0.21111111111111111</c:v>
                      </c:pt>
                      <c:pt idx="22">
                        <c:v>0.21611111111111111</c:v>
                      </c:pt>
                      <c:pt idx="23">
                        <c:v>0.20444444444444443</c:v>
                      </c:pt>
                      <c:pt idx="24">
                        <c:v>0.20861111111111111</c:v>
                      </c:pt>
                      <c:pt idx="25">
                        <c:v>0.20555555555555555</c:v>
                      </c:pt>
                      <c:pt idx="26">
                        <c:v>0.21277777777777779</c:v>
                      </c:pt>
                      <c:pt idx="27">
                        <c:v>0.21305555555555555</c:v>
                      </c:pt>
                      <c:pt idx="28">
                        <c:v>0.21611111111111111</c:v>
                      </c:pt>
                      <c:pt idx="29">
                        <c:v>0.22</c:v>
                      </c:pt>
                    </c:numCache>
                  </c:numRef>
                </c:val>
                <c:smooth val="0"/>
                <c:extLst xmlns:c15="http://schemas.microsoft.com/office/drawing/2012/chart">
                  <c:ext xmlns:c16="http://schemas.microsoft.com/office/drawing/2014/chart" uri="{C3380CC4-5D6E-409C-BE32-E72D297353CC}">
                    <c16:uniqueId val="{00000007-A750-4F8C-B200-15918D0629B1}"/>
                  </c:ext>
                </c:extLst>
              </c15:ser>
            </c15:filteredLineSeries>
            <c15:filteredLineSeries>
              <c15:ser>
                <c:idx val="8"/>
                <c:order val="8"/>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'Electricity projections'!$D$24:$AG$24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xmlns:c15="http://schemas.microsoft.com/office/drawing/2012/chart">
                      <c:ext xmlns:c15="http://schemas.microsoft.com/office/drawing/2012/chart" uri="{02D57815-91ED-43cb-92C2-25804820EDAC}">
                        <c15:formulaRef>
                          <c15:sqref>'Electricity projections'!$D$33:$AG$33</c15:sqref>
                        </c15:formulaRef>
                      </c:ext>
                    </c:extLst>
                    <c:numCache>
                      <c:formatCode>General</c:formatCode>
                      <c:ptCount val="30"/>
                      <c:pt idx="0">
                        <c:v>0.78333333333333321</c:v>
                      </c:pt>
                      <c:pt idx="1">
                        <c:v>0.7583333333333333</c:v>
                      </c:pt>
                      <c:pt idx="2">
                        <c:v>0.74722222222222223</c:v>
                      </c:pt>
                      <c:pt idx="3">
                        <c:v>0.74444444444444446</c:v>
                      </c:pt>
                      <c:pt idx="4">
                        <c:v>0.74722222222222223</c:v>
                      </c:pt>
                      <c:pt idx="5">
                        <c:v>0.76111111111111118</c:v>
                      </c:pt>
                      <c:pt idx="6">
                        <c:v>0.76388888888888884</c:v>
                      </c:pt>
                      <c:pt idx="7">
                        <c:v>0.76944444444444438</c:v>
                      </c:pt>
                      <c:pt idx="8">
                        <c:v>0.76944444444444438</c:v>
                      </c:pt>
                      <c:pt idx="9">
                        <c:v>0.80555555555555547</c:v>
                      </c:pt>
                      <c:pt idx="10">
                        <c:v>0.80833333333333335</c:v>
                      </c:pt>
                      <c:pt idx="11">
                        <c:v>0.78055555555555556</c:v>
                      </c:pt>
                      <c:pt idx="12">
                        <c:v>0.78333333333333321</c:v>
                      </c:pt>
                      <c:pt idx="13">
                        <c:v>0.78888888888888886</c:v>
                      </c:pt>
                      <c:pt idx="14">
                        <c:v>0.78888888888888886</c:v>
                      </c:pt>
                      <c:pt idx="15">
                        <c:v>0.81944444444444442</c:v>
                      </c:pt>
                      <c:pt idx="16">
                        <c:v>0.82500000000000007</c:v>
                      </c:pt>
                      <c:pt idx="17">
                        <c:v>0.84444444444444444</c:v>
                      </c:pt>
                      <c:pt idx="18">
                        <c:v>0.86944444444444435</c:v>
                      </c:pt>
                      <c:pt idx="19">
                        <c:v>0.875</c:v>
                      </c:pt>
                      <c:pt idx="20">
                        <c:v>0.88055555555555554</c:v>
                      </c:pt>
                      <c:pt idx="21">
                        <c:v>0.88055555555555554</c:v>
                      </c:pt>
                      <c:pt idx="22">
                        <c:v>0.875</c:v>
                      </c:pt>
                      <c:pt idx="23">
                        <c:v>0.875</c:v>
                      </c:pt>
                      <c:pt idx="24">
                        <c:v>0.87222222222222223</c:v>
                      </c:pt>
                      <c:pt idx="25">
                        <c:v>0.86944444444444435</c:v>
                      </c:pt>
                      <c:pt idx="26">
                        <c:v>0.86388888888888882</c:v>
                      </c:pt>
                      <c:pt idx="27">
                        <c:v>0.8666666666666667</c:v>
                      </c:pt>
                      <c:pt idx="28">
                        <c:v>0.86111111111111116</c:v>
                      </c:pt>
                      <c:pt idx="29">
                        <c:v>0.86111111111111116</c:v>
                      </c:pt>
                    </c:numCache>
                  </c:numRef>
                </c:val>
                <c:smooth val="0"/>
                <c:extLst xmlns:c15="http://schemas.microsoft.com/office/drawing/2012/chart">
                  <c:ext xmlns:c16="http://schemas.microsoft.com/office/drawing/2014/chart" uri="{C3380CC4-5D6E-409C-BE32-E72D297353CC}">
                    <c16:uniqueId val="{00000008-A750-4F8C-B200-15918D0629B1}"/>
                  </c:ext>
                </c:extLst>
              </c15:ser>
            </c15:filteredLineSeries>
            <c15:filteredLineSeries>
              <c15:ser>
                <c:idx val="9"/>
                <c:order val="9"/>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'Electricity projections'!$D$24:$AG$24</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xmlns:c15="http://schemas.microsoft.com/office/drawing/2012/chart">
                      <c:ext xmlns:c15="http://schemas.microsoft.com/office/drawing/2012/chart" uri="{02D57815-91ED-43cb-92C2-25804820EDAC}">
                        <c15:formulaRef>
                          <c15:sqref>'Electricity projections'!$D$34:$AG$34</c15:sqref>
                        </c15:formulaRef>
                      </c:ext>
                    </c:extLst>
                    <c:numCache>
                      <c:formatCode>General</c:formatCode>
                      <c:ptCount val="30"/>
                      <c:pt idx="0">
                        <c:v>1.4444444444444444</c:v>
                      </c:pt>
                      <c:pt idx="1">
                        <c:v>1.375</c:v>
                      </c:pt>
                      <c:pt idx="2">
                        <c:v>1.2638888888888888</c:v>
                      </c:pt>
                      <c:pt idx="3">
                        <c:v>1.2694444444444446</c:v>
                      </c:pt>
                      <c:pt idx="4">
                        <c:v>1.2749999999999999</c:v>
                      </c:pt>
                      <c:pt idx="5">
                        <c:v>1.2722222222222221</c:v>
                      </c:pt>
                      <c:pt idx="6">
                        <c:v>1.2666666666666666</c:v>
                      </c:pt>
                      <c:pt idx="7">
                        <c:v>1.2666666666666666</c:v>
                      </c:pt>
                      <c:pt idx="8">
                        <c:v>1.2666666666666666</c:v>
                      </c:pt>
                      <c:pt idx="9">
                        <c:v>1.2166666666666666</c:v>
                      </c:pt>
                      <c:pt idx="10">
                        <c:v>1.1722222222222221</c:v>
                      </c:pt>
                      <c:pt idx="11">
                        <c:v>1.125</c:v>
                      </c:pt>
                      <c:pt idx="12">
                        <c:v>1.1194444444444445</c:v>
                      </c:pt>
                      <c:pt idx="13">
                        <c:v>1.1027777777777779</c:v>
                      </c:pt>
                      <c:pt idx="14">
                        <c:v>1.1027777777777779</c:v>
                      </c:pt>
                      <c:pt idx="15">
                        <c:v>1.1277777777777775</c:v>
                      </c:pt>
                      <c:pt idx="16">
                        <c:v>1.1305555555555555</c:v>
                      </c:pt>
                      <c:pt idx="17">
                        <c:v>1.086111111111111</c:v>
                      </c:pt>
                      <c:pt idx="18">
                        <c:v>1.0916666666666668</c:v>
                      </c:pt>
                      <c:pt idx="19">
                        <c:v>1.0944444444444443</c:v>
                      </c:pt>
                      <c:pt idx="20">
                        <c:v>1.0972222222222223</c:v>
                      </c:pt>
                      <c:pt idx="21">
                        <c:v>1.0916666666666668</c:v>
                      </c:pt>
                      <c:pt idx="22">
                        <c:v>1.0916666666666668</c:v>
                      </c:pt>
                      <c:pt idx="23">
                        <c:v>1.0805555555555555</c:v>
                      </c:pt>
                      <c:pt idx="24">
                        <c:v>1.0805555555555555</c:v>
                      </c:pt>
                      <c:pt idx="25">
                        <c:v>1.075</c:v>
                      </c:pt>
                      <c:pt idx="26">
                        <c:v>1.0777777777777777</c:v>
                      </c:pt>
                      <c:pt idx="27">
                        <c:v>1.0777777777777777</c:v>
                      </c:pt>
                      <c:pt idx="28">
                        <c:v>1.0777777777777777</c:v>
                      </c:pt>
                      <c:pt idx="29">
                        <c:v>1.0805555555555555</c:v>
                      </c:pt>
                    </c:numCache>
                  </c:numRef>
                </c:val>
                <c:smooth val="0"/>
                <c:extLst xmlns:c15="http://schemas.microsoft.com/office/drawing/2012/chart">
                  <c:ext xmlns:c16="http://schemas.microsoft.com/office/drawing/2014/chart" uri="{C3380CC4-5D6E-409C-BE32-E72D297353CC}">
                    <c16:uniqueId val="{00000009-A750-4F8C-B200-15918D0629B1}"/>
                  </c:ext>
                </c:extLst>
              </c15:ser>
            </c15:filteredLineSeries>
          </c:ext>
        </c:extLst>
      </c:lineChart>
      <c:catAx>
        <c:axId val="43247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478368"/>
        <c:crosses val="autoZero"/>
        <c:auto val="1"/>
        <c:lblAlgn val="ctr"/>
        <c:lblOffset val="100"/>
        <c:noMultiLvlLbl val="0"/>
      </c:catAx>
      <c:valAx>
        <c:axId val="43247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kgCO</a:t>
                </a:r>
                <a:r>
                  <a:rPr lang="en-NZ" sz="1000" baseline="-25000"/>
                  <a:t>2</a:t>
                </a:r>
                <a:r>
                  <a:rPr lang="en-NZ"/>
                  <a:t>-eq/MJ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47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67759174507518E-2"/>
          <c:y val="2.1798360020590633E-2"/>
          <c:w val="0.93034776429119648"/>
          <c:h val="0.85122939161666589"/>
        </c:manualLayout>
      </c:layout>
      <c:lineChart>
        <c:grouping val="standard"/>
        <c:varyColors val="0"/>
        <c:ser>
          <c:idx val="0"/>
          <c:order val="0"/>
          <c:tx>
            <c:strRef>
              <c:f>'Fleet Projection'!$AA$4</c:f>
              <c:strCache>
                <c:ptCount val="1"/>
                <c:pt idx="0">
                  <c:v>P/C - Petrol</c:v>
                </c:pt>
              </c:strCache>
            </c:strRef>
          </c:tx>
          <c:spPr>
            <a:ln w="28575" cap="rnd">
              <a:solidFill>
                <a:schemeClr val="accent1"/>
              </a:solidFill>
              <a:round/>
            </a:ln>
            <a:effectLst/>
          </c:spPr>
          <c:marker>
            <c:symbol val="none"/>
          </c:marker>
          <c:cat>
            <c:numRef>
              <c:f>'Fleet Projection'!$A$25:$A$59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cat>
          <c:val>
            <c:numRef>
              <c:f>'Fleet Projection'!$AA$5:$AA$59</c:f>
              <c:numCache>
                <c:formatCode>0.0%</c:formatCode>
                <c:ptCount val="35"/>
                <c:pt idx="0">
                  <c:v>0.72730187389597056</c:v>
                </c:pt>
                <c:pt idx="1">
                  <c:v>0.7258340707942984</c:v>
                </c:pt>
                <c:pt idx="2">
                  <c:v>0.72434355165204678</c:v>
                </c:pt>
                <c:pt idx="3">
                  <c:v>0.72273342377559768</c:v>
                </c:pt>
                <c:pt idx="4">
                  <c:v>0.72114327254294452</c:v>
                </c:pt>
                <c:pt idx="5">
                  <c:v>0.71933773021047676</c:v>
                </c:pt>
                <c:pt idx="6">
                  <c:v>0.71727445252159394</c:v>
                </c:pt>
                <c:pt idx="7">
                  <c:v>0.71478367249274954</c:v>
                </c:pt>
                <c:pt idx="8">
                  <c:v>0.71154998673685788</c:v>
                </c:pt>
                <c:pt idx="9">
                  <c:v>0.70693499431864337</c:v>
                </c:pt>
                <c:pt idx="10">
                  <c:v>0.70083891839663826</c:v>
                </c:pt>
                <c:pt idx="11">
                  <c:v>0.69322847845814128</c:v>
                </c:pt>
                <c:pt idx="12">
                  <c:v>0.68386210699256678</c:v>
                </c:pt>
                <c:pt idx="13">
                  <c:v>0.67249466218198428</c:v>
                </c:pt>
                <c:pt idx="14">
                  <c:v>0.65877559929893614</c:v>
                </c:pt>
                <c:pt idx="15">
                  <c:v>0.64230943937814611</c:v>
                </c:pt>
                <c:pt idx="16">
                  <c:v>0.62255203441854434</c:v>
                </c:pt>
                <c:pt idx="17">
                  <c:v>0.5991389645457128</c:v>
                </c:pt>
                <c:pt idx="18">
                  <c:v>0.57171308096069295</c:v>
                </c:pt>
                <c:pt idx="19">
                  <c:v>0.54005716700228934</c:v>
                </c:pt>
                <c:pt idx="20">
                  <c:v>0.50423233629309416</c:v>
                </c:pt>
                <c:pt idx="21">
                  <c:v>0.46791781491403733</c:v>
                </c:pt>
                <c:pt idx="22">
                  <c:v>0.43281630480332506</c:v>
                </c:pt>
                <c:pt idx="23">
                  <c:v>0.3996077377660317</c:v>
                </c:pt>
                <c:pt idx="24">
                  <c:v>0.36817270028149529</c:v>
                </c:pt>
                <c:pt idx="25">
                  <c:v>0.3384554935583054</c:v>
                </c:pt>
                <c:pt idx="26">
                  <c:v>0.31077668193834851</c:v>
                </c:pt>
                <c:pt idx="27">
                  <c:v>0.28527543701631397</c:v>
                </c:pt>
                <c:pt idx="28">
                  <c:v>0.2620278635753398</c:v>
                </c:pt>
                <c:pt idx="29">
                  <c:v>0.24080081239322643</c:v>
                </c:pt>
                <c:pt idx="30">
                  <c:v>0.22155804054789871</c:v>
                </c:pt>
                <c:pt idx="31">
                  <c:v>0.20426284904613851</c:v>
                </c:pt>
                <c:pt idx="32">
                  <c:v>0.18886374810015208</c:v>
                </c:pt>
                <c:pt idx="33">
                  <c:v>0.17518872344538722</c:v>
                </c:pt>
                <c:pt idx="34">
                  <c:v>0.16305575148207962</c:v>
                </c:pt>
              </c:numCache>
            </c:numRef>
          </c:val>
          <c:smooth val="0"/>
          <c:extLst>
            <c:ext xmlns:c16="http://schemas.microsoft.com/office/drawing/2014/chart" uri="{C3380CC4-5D6E-409C-BE32-E72D297353CC}">
              <c16:uniqueId val="{00000000-BDFE-4283-B431-B64EA27F1184}"/>
            </c:ext>
          </c:extLst>
        </c:ser>
        <c:ser>
          <c:idx val="1"/>
          <c:order val="1"/>
          <c:tx>
            <c:strRef>
              <c:f>'Fleet Projection'!$AB$4</c:f>
              <c:strCache>
                <c:ptCount val="1"/>
                <c:pt idx="0">
                  <c:v>P/C - Diesel</c:v>
                </c:pt>
              </c:strCache>
            </c:strRef>
          </c:tx>
          <c:spPr>
            <a:ln w="28575" cap="rnd">
              <a:solidFill>
                <a:schemeClr val="accent2"/>
              </a:solidFill>
              <a:round/>
            </a:ln>
            <a:effectLst/>
          </c:spPr>
          <c:marker>
            <c:symbol val="none"/>
          </c:marker>
          <c:cat>
            <c:numRef>
              <c:f>'Fleet Projection'!$A$25:$A$59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cat>
          <c:val>
            <c:numRef>
              <c:f>'Fleet Projection'!$AB$5:$AB$59</c:f>
              <c:numCache>
                <c:formatCode>0.0%</c:formatCode>
                <c:ptCount val="35"/>
                <c:pt idx="0">
                  <c:v>0.25891640101376545</c:v>
                </c:pt>
                <c:pt idx="1">
                  <c:v>0.25909406292157239</c:v>
                </c:pt>
                <c:pt idx="2">
                  <c:v>0.25918410048734458</c:v>
                </c:pt>
                <c:pt idx="3">
                  <c:v>0.25920924303651627</c:v>
                </c:pt>
                <c:pt idx="4">
                  <c:v>0.25889068303055884</c:v>
                </c:pt>
                <c:pt idx="5">
                  <c:v>0.25832362430362688</c:v>
                </c:pt>
                <c:pt idx="6">
                  <c:v>0.25736937153593759</c:v>
                </c:pt>
                <c:pt idx="7">
                  <c:v>0.25597260750310419</c:v>
                </c:pt>
                <c:pt idx="8">
                  <c:v>0.25388610103041398</c:v>
                </c:pt>
                <c:pt idx="9">
                  <c:v>0.25119377947631188</c:v>
                </c:pt>
                <c:pt idx="10">
                  <c:v>0.24791769416037585</c:v>
                </c:pt>
                <c:pt idx="11">
                  <c:v>0.2441055851760498</c:v>
                </c:pt>
                <c:pt idx="12">
                  <c:v>0.23981880259653801</c:v>
                </c:pt>
                <c:pt idx="13">
                  <c:v>0.23510901244090951</c:v>
                </c:pt>
                <c:pt idx="14">
                  <c:v>0.2298457779292124</c:v>
                </c:pt>
                <c:pt idx="15">
                  <c:v>0.22389060046723</c:v>
                </c:pt>
                <c:pt idx="16">
                  <c:v>0.21730807940869515</c:v>
                </c:pt>
                <c:pt idx="17">
                  <c:v>0.21004536690368633</c:v>
                </c:pt>
                <c:pt idx="18">
                  <c:v>0.20223452656135049</c:v>
                </c:pt>
                <c:pt idx="19">
                  <c:v>0.19398932427103799</c:v>
                </c:pt>
                <c:pt idx="20">
                  <c:v>0.18553691531689079</c:v>
                </c:pt>
                <c:pt idx="21">
                  <c:v>0.17715483044521574</c:v>
                </c:pt>
                <c:pt idx="22">
                  <c:v>0.16891747017801176</c:v>
                </c:pt>
                <c:pt idx="23">
                  <c:v>0.16090242475418387</c:v>
                </c:pt>
                <c:pt idx="24">
                  <c:v>0.15311605110203166</c:v>
                </c:pt>
                <c:pt idx="25">
                  <c:v>0.14555190082799341</c:v>
                </c:pt>
                <c:pt idx="26">
                  <c:v>0.13823472308596488</c:v>
                </c:pt>
                <c:pt idx="27">
                  <c:v>0.13124012699276597</c:v>
                </c:pt>
                <c:pt idx="28">
                  <c:v>0.12461215634136587</c:v>
                </c:pt>
                <c:pt idx="29">
                  <c:v>0.11843835632368169</c:v>
                </c:pt>
                <c:pt idx="30">
                  <c:v>0.11262590780012056</c:v>
                </c:pt>
                <c:pt idx="31">
                  <c:v>0.10713266025451008</c:v>
                </c:pt>
                <c:pt idx="32">
                  <c:v>0.1019438862642482</c:v>
                </c:pt>
                <c:pt idx="33">
                  <c:v>9.7051468280876227E-2</c:v>
                </c:pt>
                <c:pt idx="34">
                  <c:v>9.243707485495406E-2</c:v>
                </c:pt>
              </c:numCache>
            </c:numRef>
          </c:val>
          <c:smooth val="0"/>
          <c:extLst>
            <c:ext xmlns:c16="http://schemas.microsoft.com/office/drawing/2014/chart" uri="{C3380CC4-5D6E-409C-BE32-E72D297353CC}">
              <c16:uniqueId val="{00000001-BDFE-4283-B431-B64EA27F1184}"/>
            </c:ext>
          </c:extLst>
        </c:ser>
        <c:ser>
          <c:idx val="2"/>
          <c:order val="2"/>
          <c:tx>
            <c:strRef>
              <c:f>'Fleet Projection'!$AC$4</c:f>
              <c:strCache>
                <c:ptCount val="1"/>
                <c:pt idx="0">
                  <c:v>P/C - Electric</c:v>
                </c:pt>
              </c:strCache>
            </c:strRef>
          </c:tx>
          <c:spPr>
            <a:ln w="28575" cap="rnd">
              <a:solidFill>
                <a:schemeClr val="accent3"/>
              </a:solidFill>
              <a:round/>
            </a:ln>
            <a:effectLst/>
          </c:spPr>
          <c:marker>
            <c:symbol val="none"/>
          </c:marker>
          <c:cat>
            <c:numRef>
              <c:f>'Fleet Projection'!$A$25:$A$59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cat>
          <c:val>
            <c:numRef>
              <c:f>'Fleet Projection'!$AC$5:$AC$59</c:f>
              <c:numCache>
                <c:formatCode>0.0%</c:formatCode>
                <c:ptCount val="35"/>
                <c:pt idx="0">
                  <c:v>4.4783489773012209E-3</c:v>
                </c:pt>
                <c:pt idx="1">
                  <c:v>5.8221046613402289E-3</c:v>
                </c:pt>
                <c:pt idx="2">
                  <c:v>7.2876357505062333E-3</c:v>
                </c:pt>
                <c:pt idx="3">
                  <c:v>8.9488601300723274E-3</c:v>
                </c:pt>
                <c:pt idx="4">
                  <c:v>1.0932125980896839E-2</c:v>
                </c:pt>
                <c:pt idx="5">
                  <c:v>1.3377588713284986E-2</c:v>
                </c:pt>
                <c:pt idx="6">
                  <c:v>1.6466155900707571E-2</c:v>
                </c:pt>
                <c:pt idx="7">
                  <c:v>2.0424507590677952E-2</c:v>
                </c:pt>
                <c:pt idx="8">
                  <c:v>2.5815140491998397E-2</c:v>
                </c:pt>
                <c:pt idx="9">
                  <c:v>3.3191380748182397E-2</c:v>
                </c:pt>
                <c:pt idx="10">
                  <c:v>4.2630853713177833E-2</c:v>
                </c:pt>
                <c:pt idx="11">
                  <c:v>5.4119301498724327E-2</c:v>
                </c:pt>
                <c:pt idx="12">
                  <c:v>6.7845788706045421E-2</c:v>
                </c:pt>
                <c:pt idx="13">
                  <c:v>8.4003447427613689E-2</c:v>
                </c:pt>
                <c:pt idx="14">
                  <c:v>0.10306464946392165</c:v>
                </c:pt>
                <c:pt idx="15">
                  <c:v>0.12556342655246094</c:v>
                </c:pt>
                <c:pt idx="16">
                  <c:v>0.15197972112744307</c:v>
                </c:pt>
                <c:pt idx="17">
                  <c:v>0.18273401857876306</c:v>
                </c:pt>
                <c:pt idx="18">
                  <c:v>0.21805154334900942</c:v>
                </c:pt>
                <c:pt idx="19">
                  <c:v>0.25803217584799865</c:v>
                </c:pt>
                <c:pt idx="20">
                  <c:v>0.30238759880255045</c:v>
                </c:pt>
                <c:pt idx="21">
                  <c:v>0.34716101158649676</c:v>
                </c:pt>
                <c:pt idx="22">
                  <c:v>0.39054651695273984</c:v>
                </c:pt>
                <c:pt idx="23">
                  <c:v>0.43178730805216903</c:v>
                </c:pt>
                <c:pt idx="24">
                  <c:v>0.47102562960733629</c:v>
                </c:pt>
                <c:pt idx="25">
                  <c:v>0.50832368202872025</c:v>
                </c:pt>
                <c:pt idx="26">
                  <c:v>0.54333607933883543</c:v>
                </c:pt>
                <c:pt idx="27">
                  <c:v>0.57584834391580553</c:v>
                </c:pt>
                <c:pt idx="28">
                  <c:v>0.605740354248132</c:v>
                </c:pt>
                <c:pt idx="29">
                  <c:v>0.63315743462514318</c:v>
                </c:pt>
                <c:pt idx="30">
                  <c:v>0.65822865161797417</c:v>
                </c:pt>
                <c:pt idx="31">
                  <c:v>0.68103286100695137</c:v>
                </c:pt>
                <c:pt idx="32">
                  <c:v>0.70163523326285449</c:v>
                </c:pt>
                <c:pt idx="33">
                  <c:v>0.72021593678307416</c:v>
                </c:pt>
                <c:pt idx="34">
                  <c:v>0.73697639356371025</c:v>
                </c:pt>
              </c:numCache>
            </c:numRef>
          </c:val>
          <c:smooth val="0"/>
          <c:extLst>
            <c:ext xmlns:c16="http://schemas.microsoft.com/office/drawing/2014/chart" uri="{C3380CC4-5D6E-409C-BE32-E72D297353CC}">
              <c16:uniqueId val="{00000002-BDFE-4283-B431-B64EA27F1184}"/>
            </c:ext>
          </c:extLst>
        </c:ser>
        <c:ser>
          <c:idx val="3"/>
          <c:order val="3"/>
          <c:tx>
            <c:strRef>
              <c:f>'Fleet Projection'!$AD$4</c:f>
              <c:strCache>
                <c:ptCount val="1"/>
                <c:pt idx="0">
                  <c:v>P/C - Hydrogen</c:v>
                </c:pt>
              </c:strCache>
            </c:strRef>
          </c:tx>
          <c:spPr>
            <a:ln w="28575" cap="rnd">
              <a:solidFill>
                <a:schemeClr val="accent4"/>
              </a:solidFill>
              <a:round/>
            </a:ln>
            <a:effectLst/>
          </c:spPr>
          <c:marker>
            <c:symbol val="none"/>
          </c:marker>
          <c:cat>
            <c:numRef>
              <c:f>'Fleet Projection'!$A$25:$A$59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cat>
          <c:val>
            <c:numRef>
              <c:f>'Fleet Projection'!$AD$5:$AD$59</c:f>
              <c:numCache>
                <c:formatCode>0.0%</c:formatCode>
                <c:ptCount val="35"/>
                <c:pt idx="0">
                  <c:v>5.062198408447605E-6</c:v>
                </c:pt>
                <c:pt idx="1">
                  <c:v>3.9956205483771532E-6</c:v>
                </c:pt>
                <c:pt idx="2">
                  <c:v>3.6589180990386903E-6</c:v>
                </c:pt>
                <c:pt idx="3">
                  <c:v>3.5146928991744352E-6</c:v>
                </c:pt>
                <c:pt idx="4">
                  <c:v>3.666685492504942E-6</c:v>
                </c:pt>
                <c:pt idx="5">
                  <c:v>3.6423963731001493E-6</c:v>
                </c:pt>
                <c:pt idx="6">
                  <c:v>3.4861346406023059E-6</c:v>
                </c:pt>
                <c:pt idx="7">
                  <c:v>3.2647449423811399E-6</c:v>
                </c:pt>
                <c:pt idx="8">
                  <c:v>3.0221709455812819E-6</c:v>
                </c:pt>
                <c:pt idx="9">
                  <c:v>2.7593956605090157E-6</c:v>
                </c:pt>
                <c:pt idx="10">
                  <c:v>2.5220258506420913E-6</c:v>
                </c:pt>
                <c:pt idx="11">
                  <c:v>2.3101737561911914E-6</c:v>
                </c:pt>
                <c:pt idx="12">
                  <c:v>2.0738490115444113E-6</c:v>
                </c:pt>
                <c:pt idx="13">
                  <c:v>1.8364089191647294E-6</c:v>
                </c:pt>
                <c:pt idx="14">
                  <c:v>1.6137604133649064E-6</c:v>
                </c:pt>
                <c:pt idx="15">
                  <c:v>1.4065769725137231E-6</c:v>
                </c:pt>
                <c:pt idx="16">
                  <c:v>1.1461787592473707E-6</c:v>
                </c:pt>
                <c:pt idx="17">
                  <c:v>9.8290794300493509E-7</c:v>
                </c:pt>
                <c:pt idx="18">
                  <c:v>8.3268088196130466E-7</c:v>
                </c:pt>
                <c:pt idx="19">
                  <c:v>6.2947708888025979E-7</c:v>
                </c:pt>
                <c:pt idx="20">
                  <c:v>4.5460801590370032E-7</c:v>
                </c:pt>
                <c:pt idx="21">
                  <c:v>3.9617788443312531E-7</c:v>
                </c:pt>
                <c:pt idx="22">
                  <c:v>3.3892444100604372E-7</c:v>
                </c:pt>
                <c:pt idx="23">
                  <c:v>3.1332834514363026E-7</c:v>
                </c:pt>
                <c:pt idx="24">
                  <c:v>2.8967149218228767E-7</c:v>
                </c:pt>
                <c:pt idx="25">
                  <c:v>2.3263271017527872E-7</c:v>
                </c:pt>
                <c:pt idx="26">
                  <c:v>1.9460002275433229E-7</c:v>
                </c:pt>
                <c:pt idx="27">
                  <c:v>1.7407127916710642E-7</c:v>
                </c:pt>
                <c:pt idx="28">
                  <c:v>1.5571199027169381E-7</c:v>
                </c:pt>
                <c:pt idx="29">
                  <c:v>1.3918439390003411E-7</c:v>
                </c:pt>
                <c:pt idx="30">
                  <c:v>1.2442839532373187E-7</c:v>
                </c:pt>
                <c:pt idx="31">
                  <c:v>1.1126478298948819E-7</c:v>
                </c:pt>
                <c:pt idx="32">
                  <c:v>9.9535800892857126E-8</c:v>
                </c:pt>
                <c:pt idx="33">
                  <c:v>8.9098849446391979E-8</c:v>
                </c:pt>
                <c:pt idx="34">
                  <c:v>7.9790214254109326E-8</c:v>
                </c:pt>
              </c:numCache>
            </c:numRef>
          </c:val>
          <c:smooth val="0"/>
          <c:extLst>
            <c:ext xmlns:c16="http://schemas.microsoft.com/office/drawing/2014/chart" uri="{C3380CC4-5D6E-409C-BE32-E72D297353CC}">
              <c16:uniqueId val="{00000003-BDFE-4283-B431-B64EA27F1184}"/>
            </c:ext>
          </c:extLst>
        </c:ser>
        <c:ser>
          <c:idx val="5"/>
          <c:order val="5"/>
          <c:tx>
            <c:strRef>
              <c:f>'Fleet Projection'!$AF$4</c:f>
              <c:strCache>
                <c:ptCount val="1"/>
                <c:pt idx="0">
                  <c:v>H/V - Petrol</c:v>
                </c:pt>
              </c:strCache>
            </c:strRef>
          </c:tx>
          <c:spPr>
            <a:ln w="28575" cap="rnd">
              <a:solidFill>
                <a:schemeClr val="accent6"/>
              </a:solidFill>
              <a:round/>
            </a:ln>
            <a:effectLst/>
          </c:spPr>
          <c:marker>
            <c:symbol val="none"/>
          </c:marker>
          <c:cat>
            <c:numRef>
              <c:f>'Fleet Projection'!$A$25:$A$59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cat>
          <c:val>
            <c:numRef>
              <c:f>'Fleet Projection'!$AF$5:$AF$59</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5-BDFE-4283-B431-B64EA27F1184}"/>
            </c:ext>
          </c:extLst>
        </c:ser>
        <c:ser>
          <c:idx val="6"/>
          <c:order val="6"/>
          <c:tx>
            <c:strRef>
              <c:f>'Fleet Projection'!$AG$4</c:f>
              <c:strCache>
                <c:ptCount val="1"/>
                <c:pt idx="0">
                  <c:v>H/V - Diesel</c:v>
                </c:pt>
              </c:strCache>
            </c:strRef>
          </c:tx>
          <c:spPr>
            <a:ln w="28575" cap="rnd">
              <a:solidFill>
                <a:schemeClr val="accent1">
                  <a:lumMod val="60000"/>
                </a:schemeClr>
              </a:solidFill>
              <a:round/>
            </a:ln>
            <a:effectLst/>
          </c:spPr>
          <c:marker>
            <c:symbol val="none"/>
          </c:marker>
          <c:cat>
            <c:numRef>
              <c:f>'Fleet Projection'!$A$25:$A$59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cat>
          <c:val>
            <c:numRef>
              <c:f>'Fleet Projection'!$AG$5:$AG$59</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6-BDFE-4283-B431-B64EA27F1184}"/>
            </c:ext>
          </c:extLst>
        </c:ser>
        <c:ser>
          <c:idx val="7"/>
          <c:order val="7"/>
          <c:tx>
            <c:strRef>
              <c:f>'Fleet Projection'!$AH$4</c:f>
              <c:strCache>
                <c:ptCount val="1"/>
                <c:pt idx="0">
                  <c:v>H/V - Electric</c:v>
                </c:pt>
              </c:strCache>
            </c:strRef>
          </c:tx>
          <c:spPr>
            <a:ln w="28575" cap="rnd">
              <a:solidFill>
                <a:schemeClr val="accent2">
                  <a:lumMod val="60000"/>
                </a:schemeClr>
              </a:solidFill>
              <a:round/>
            </a:ln>
            <a:effectLst/>
          </c:spPr>
          <c:marker>
            <c:symbol val="none"/>
          </c:marker>
          <c:cat>
            <c:numRef>
              <c:f>'Fleet Projection'!$A$25:$A$59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cat>
          <c:val>
            <c:numRef>
              <c:f>'Fleet Projection'!$AH$5:$AH$59</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7-BDFE-4283-B431-B64EA27F1184}"/>
            </c:ext>
          </c:extLst>
        </c:ser>
        <c:ser>
          <c:idx val="8"/>
          <c:order val="8"/>
          <c:tx>
            <c:strRef>
              <c:f>'Fleet Projection'!$AI$4</c:f>
              <c:strCache>
                <c:ptCount val="1"/>
                <c:pt idx="0">
                  <c:v>H/V - LPG/CNG</c:v>
                </c:pt>
              </c:strCache>
            </c:strRef>
          </c:tx>
          <c:spPr>
            <a:ln w="28575" cap="rnd">
              <a:solidFill>
                <a:schemeClr val="accent3">
                  <a:lumMod val="60000"/>
                </a:schemeClr>
              </a:solidFill>
              <a:round/>
            </a:ln>
            <a:effectLst/>
          </c:spPr>
          <c:marker>
            <c:symbol val="none"/>
          </c:marker>
          <c:cat>
            <c:numRef>
              <c:f>'Fleet Projection'!$A$25:$A$59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cat>
          <c:val>
            <c:numRef>
              <c:f>'Fleet Projection'!$AI$5:$AI$59</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8-BDFE-4283-B431-B64EA27F1184}"/>
            </c:ext>
          </c:extLst>
        </c:ser>
        <c:dLbls>
          <c:showLegendKey val="0"/>
          <c:showVal val="0"/>
          <c:showCatName val="0"/>
          <c:showSerName val="0"/>
          <c:showPercent val="0"/>
          <c:showBubbleSize val="0"/>
        </c:dLbls>
        <c:smooth val="0"/>
        <c:axId val="1818699295"/>
        <c:axId val="1818711359"/>
        <c:extLst>
          <c:ext xmlns:c15="http://schemas.microsoft.com/office/drawing/2012/chart" uri="{02D57815-91ED-43cb-92C2-25804820EDAC}">
            <c15:filteredLineSeries>
              <c15:ser>
                <c:idx val="4"/>
                <c:order val="4"/>
                <c:tx>
                  <c:strRef>
                    <c:extLst>
                      <c:ext uri="{02D57815-91ED-43cb-92C2-25804820EDAC}">
                        <c15:formulaRef>
                          <c15:sqref>'Fleet Projection'!$AE$4</c15:sqref>
                        </c15:formulaRef>
                      </c:ext>
                    </c:extLst>
                    <c:strCache>
                      <c:ptCount val="1"/>
                      <c:pt idx="0">
                        <c:v>P/C - Motorcycle</c:v>
                      </c:pt>
                    </c:strCache>
                  </c:strRef>
                </c:tx>
                <c:spPr>
                  <a:ln w="28575" cap="rnd">
                    <a:solidFill>
                      <a:schemeClr val="accent5"/>
                    </a:solidFill>
                    <a:round/>
                  </a:ln>
                  <a:effectLst/>
                </c:spPr>
                <c:marker>
                  <c:symbol val="none"/>
                </c:marker>
                <c:cat>
                  <c:numRef>
                    <c:extLst>
                      <c:ext uri="{02D57815-91ED-43cb-92C2-25804820EDAC}">
                        <c15:formulaRef>
                          <c15:sqref>'Fleet Projection'!$A$25:$A$59</c15:sqref>
                        </c15:formulaRef>
                      </c:ext>
                    </c:extLst>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cat>
                <c:val>
                  <c:numRef>
                    <c:extLst>
                      <c:ext uri="{02D57815-91ED-43cb-92C2-25804820EDAC}">
                        <c15:formulaRef>
                          <c15:sqref>'Fleet Projection'!$AE$5:$AE$59</c15:sqref>
                        </c15:formulaRef>
                      </c:ext>
                    </c:extLst>
                    <c:numCache>
                      <c:formatCode>0.0%</c:formatCode>
                      <c:ptCount val="35"/>
                      <c:pt idx="0">
                        <c:v>9.2727311762046301E-3</c:v>
                      </c:pt>
                      <c:pt idx="1">
                        <c:v>9.2225259645822115E-3</c:v>
                      </c:pt>
                      <c:pt idx="2">
                        <c:v>9.1600429288351652E-3</c:v>
                      </c:pt>
                      <c:pt idx="3">
                        <c:v>9.0851915401323133E-3</c:v>
                      </c:pt>
                      <c:pt idx="4">
                        <c:v>9.0121795316656737E-3</c:v>
                      </c:pt>
                      <c:pt idx="5">
                        <c:v>8.9411002128722151E-3</c:v>
                      </c:pt>
                      <c:pt idx="6">
                        <c:v>8.8718460359649212E-3</c:v>
                      </c:pt>
                      <c:pt idx="7">
                        <c:v>8.8028621789481894E-3</c:v>
                      </c:pt>
                      <c:pt idx="8">
                        <c:v>8.7339717892319507E-3</c:v>
                      </c:pt>
                      <c:pt idx="9">
                        <c:v>8.6665581283369725E-3</c:v>
                      </c:pt>
                      <c:pt idx="10">
                        <c:v>8.6005813055531084E-3</c:v>
                      </c:pt>
                      <c:pt idx="11">
                        <c:v>8.5359320676824339E-3</c:v>
                      </c:pt>
                      <c:pt idx="12">
                        <c:v>8.4638788297886573E-3</c:v>
                      </c:pt>
                      <c:pt idx="13">
                        <c:v>8.3845068978111136E-3</c:v>
                      </c:pt>
                      <c:pt idx="14">
                        <c:v>8.3065055870149927E-3</c:v>
                      </c:pt>
                      <c:pt idx="15">
                        <c:v>8.2298287782399254E-3</c:v>
                      </c:pt>
                      <c:pt idx="16">
                        <c:v>8.1544307391055223E-3</c:v>
                      </c:pt>
                      <c:pt idx="17">
                        <c:v>8.0765982797879141E-3</c:v>
                      </c:pt>
                      <c:pt idx="18">
                        <c:v>7.9963858445736072E-3</c:v>
                      </c:pt>
                      <c:pt idx="19">
                        <c:v>7.9174622661765531E-3</c:v>
                      </c:pt>
                      <c:pt idx="20">
                        <c:v>7.8397941201619557E-3</c:v>
                      </c:pt>
                      <c:pt idx="21">
                        <c:v>7.7633580718695673E-3</c:v>
                      </c:pt>
                      <c:pt idx="22">
                        <c:v>7.7170461658156719E-3</c:v>
                      </c:pt>
                      <c:pt idx="23">
                        <c:v>7.7001348720654632E-3</c:v>
                      </c:pt>
                      <c:pt idx="24">
                        <c:v>7.6834670167087882E-3</c:v>
                      </c:pt>
                      <c:pt idx="25">
                        <c:v>7.6670333470834681E-3</c:v>
                      </c:pt>
                      <c:pt idx="26">
                        <c:v>7.6508410430754948E-3</c:v>
                      </c:pt>
                      <c:pt idx="27">
                        <c:v>7.6345973062561948E-3</c:v>
                      </c:pt>
                      <c:pt idx="28">
                        <c:v>7.6182926391317402E-3</c:v>
                      </c:pt>
                      <c:pt idx="29">
                        <c:v>7.6022087437090935E-3</c:v>
                      </c:pt>
                      <c:pt idx="30">
                        <c:v>7.5863410763158841E-3</c:v>
                      </c:pt>
                      <c:pt idx="31">
                        <c:v>7.5706852480230437E-3</c:v>
                      </c:pt>
                      <c:pt idx="32">
                        <c:v>7.5562893485519762E-3</c:v>
                      </c:pt>
                      <c:pt idx="33">
                        <c:v>7.5431189780682138E-3</c:v>
                      </c:pt>
                      <c:pt idx="34">
                        <c:v>7.530108510107711E-3</c:v>
                      </c:pt>
                    </c:numCache>
                  </c:numRef>
                </c:val>
                <c:smooth val="0"/>
                <c:extLst>
                  <c:ext xmlns:c16="http://schemas.microsoft.com/office/drawing/2014/chart" uri="{C3380CC4-5D6E-409C-BE32-E72D297353CC}">
                    <c16:uniqueId val="{00000004-BDFE-4283-B431-B64EA27F1184}"/>
                  </c:ext>
                </c:extLst>
              </c15:ser>
            </c15:filteredLineSeries>
          </c:ext>
        </c:extLst>
      </c:lineChart>
      <c:dateAx>
        <c:axId val="1818699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8711359"/>
        <c:crosses val="autoZero"/>
        <c:auto val="0"/>
        <c:lblOffset val="100"/>
        <c:baseTimeUnit val="days"/>
        <c:majorUnit val="3"/>
        <c:majorTimeUnit val="days"/>
        <c:minorUnit val="5"/>
        <c:minorTimeUnit val="years"/>
      </c:dateAx>
      <c:valAx>
        <c:axId val="18187113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8699295"/>
        <c:crosses val="autoZero"/>
        <c:crossBetween val="between"/>
      </c:valAx>
      <c:spPr>
        <a:noFill/>
        <a:ln>
          <a:noFill/>
        </a:ln>
        <a:effectLst/>
      </c:spPr>
    </c:plotArea>
    <c:legend>
      <c:legendPos val="b"/>
      <c:layout>
        <c:manualLayout>
          <c:xMode val="edge"/>
          <c:yMode val="edge"/>
          <c:x val="0.13519849910457943"/>
          <c:y val="0.91786028421503829"/>
          <c:w val="0.72960288808664264"/>
          <c:h val="6.94312874966510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4</xdr:col>
      <xdr:colOff>219499</xdr:colOff>
      <xdr:row>9</xdr:row>
      <xdr:rowOff>73025</xdr:rowOff>
    </xdr:to>
    <xdr:pic>
      <xdr:nvPicPr>
        <xdr:cNvPr id="2" name="Picture 1" descr="Using our logo | Waka Kotahi NZ Transport Agency">
          <a:extLst>
            <a:ext uri="{FF2B5EF4-FFF2-40B4-BE49-F238E27FC236}">
              <a16:creationId xmlns:a16="http://schemas.microsoft.com/office/drawing/2014/main" id="{2105E104-C0D5-45E2-8750-8DB8A7D6D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314325"/>
          <a:ext cx="4588299" cy="149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88899</xdr:rowOff>
    </xdr:from>
    <xdr:to>
      <xdr:col>2</xdr:col>
      <xdr:colOff>1029822</xdr:colOff>
      <xdr:row>9</xdr:row>
      <xdr:rowOff>114299</xdr:rowOff>
    </xdr:to>
    <xdr:pic>
      <xdr:nvPicPr>
        <xdr:cNvPr id="4" name="Picture 3" descr="Using our logo | Waka Kotahi NZ Transport Agency">
          <a:extLst>
            <a:ext uri="{FF2B5EF4-FFF2-40B4-BE49-F238E27FC236}">
              <a16:creationId xmlns:a16="http://schemas.microsoft.com/office/drawing/2014/main" id="{71D3A142-9337-435D-AF60-DA53A7DDF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5599"/>
          <a:ext cx="4570134" cy="14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88899</xdr:rowOff>
    </xdr:from>
    <xdr:to>
      <xdr:col>4</xdr:col>
      <xdr:colOff>217714</xdr:colOff>
      <xdr:row>7</xdr:row>
      <xdr:rowOff>38099</xdr:rowOff>
    </xdr:to>
    <xdr:pic>
      <xdr:nvPicPr>
        <xdr:cNvPr id="2" name="Picture 1" descr="Using our logo | Waka Kotahi NZ Transport Agency">
          <a:extLst>
            <a:ext uri="{FF2B5EF4-FFF2-40B4-BE49-F238E27FC236}">
              <a16:creationId xmlns:a16="http://schemas.microsoft.com/office/drawing/2014/main" id="{407F94C0-190B-4D5C-91E4-504E0CAFF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7286" y="361042"/>
          <a:ext cx="4014107" cy="109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539750</xdr:colOff>
      <xdr:row>52</xdr:row>
      <xdr:rowOff>142875</xdr:rowOff>
    </xdr:from>
    <xdr:to>
      <xdr:col>32</xdr:col>
      <xdr:colOff>454025</xdr:colOff>
      <xdr:row>107</xdr:row>
      <xdr:rowOff>171449</xdr:rowOff>
    </xdr:to>
    <xdr:graphicFrame macro="">
      <xdr:nvGraphicFramePr>
        <xdr:cNvPr id="4" name="Chart 3">
          <a:extLst>
            <a:ext uri="{FF2B5EF4-FFF2-40B4-BE49-F238E27FC236}">
              <a16:creationId xmlns:a16="http://schemas.microsoft.com/office/drawing/2014/main" id="{204FAA0D-E507-4D1C-A281-E10A19046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447674</xdr:colOff>
      <xdr:row>127</xdr:row>
      <xdr:rowOff>125640</xdr:rowOff>
    </xdr:from>
    <xdr:to>
      <xdr:col>3</xdr:col>
      <xdr:colOff>1073699</xdr:colOff>
      <xdr:row>158</xdr:row>
      <xdr:rowOff>57978</xdr:rowOff>
    </xdr:to>
    <xdr:graphicFrame macro="">
      <xdr:nvGraphicFramePr>
        <xdr:cNvPr id="3" name="Chart 2">
          <a:extLst>
            <a:ext uri="{FF2B5EF4-FFF2-40B4-BE49-F238E27FC236}">
              <a16:creationId xmlns:a16="http://schemas.microsoft.com/office/drawing/2014/main" id="{DC008200-E004-4FBB-A16E-9FB3822BEC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1219199</xdr:colOff>
      <xdr:row>127</xdr:row>
      <xdr:rowOff>136072</xdr:rowOff>
    </xdr:from>
    <xdr:to>
      <xdr:col>6</xdr:col>
      <xdr:colOff>1581699</xdr:colOff>
      <xdr:row>158</xdr:row>
      <xdr:rowOff>67062</xdr:rowOff>
    </xdr:to>
    <xdr:graphicFrame macro="">
      <xdr:nvGraphicFramePr>
        <xdr:cNvPr id="5" name="Chart 4">
          <a:extLst>
            <a:ext uri="{FF2B5EF4-FFF2-40B4-BE49-F238E27FC236}">
              <a16:creationId xmlns:a16="http://schemas.microsoft.com/office/drawing/2014/main" id="{5919E35E-DB9F-43AD-ACC1-76E88DFA5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2</xdr:row>
      <xdr:rowOff>0</xdr:rowOff>
    </xdr:from>
    <xdr:to>
      <xdr:col>2</xdr:col>
      <xdr:colOff>2151531</xdr:colOff>
      <xdr:row>10</xdr:row>
      <xdr:rowOff>31003</xdr:rowOff>
    </xdr:to>
    <xdr:pic>
      <xdr:nvPicPr>
        <xdr:cNvPr id="6" name="Picture 5" descr="Using our logo | Waka Kotahi NZ Transport Agency">
          <a:extLst>
            <a:ext uri="{FF2B5EF4-FFF2-40B4-BE49-F238E27FC236}">
              <a16:creationId xmlns:a16="http://schemas.microsoft.com/office/drawing/2014/main" id="{438E2DE6-B714-4F77-9A0C-AC818DDBA2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447675"/>
          <a:ext cx="4561356" cy="1472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685800</xdr:colOff>
      <xdr:row>117</xdr:row>
      <xdr:rowOff>47624</xdr:rowOff>
    </xdr:from>
    <xdr:to>
      <xdr:col>9</xdr:col>
      <xdr:colOff>225425</xdr:colOff>
      <xdr:row>145</xdr:row>
      <xdr:rowOff>117473</xdr:rowOff>
    </xdr:to>
    <xdr:graphicFrame macro="">
      <xdr:nvGraphicFramePr>
        <xdr:cNvPr id="2" name="Chart 1">
          <a:extLst>
            <a:ext uri="{FF2B5EF4-FFF2-40B4-BE49-F238E27FC236}">
              <a16:creationId xmlns:a16="http://schemas.microsoft.com/office/drawing/2014/main" id="{44623ACA-F13F-4FB6-B8C4-6F0922C60F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447675</xdr:colOff>
      <xdr:row>0</xdr:row>
      <xdr:rowOff>0</xdr:rowOff>
    </xdr:from>
    <xdr:to>
      <xdr:col>21</xdr:col>
      <xdr:colOff>663575</xdr:colOff>
      <xdr:row>27</xdr:row>
      <xdr:rowOff>95851</xdr:rowOff>
    </xdr:to>
    <xdr:pic>
      <xdr:nvPicPr>
        <xdr:cNvPr id="2" name="Picture 1">
          <a:extLst>
            <a:ext uri="{FF2B5EF4-FFF2-40B4-BE49-F238E27FC236}">
              <a16:creationId xmlns:a16="http://schemas.microsoft.com/office/drawing/2014/main" id="{A77A157F-B803-4E31-8B01-8E9E2DD73241}"/>
            </a:ext>
          </a:extLst>
        </xdr:cNvPr>
        <xdr:cNvPicPr>
          <a:picLocks noChangeAspect="1"/>
        </xdr:cNvPicPr>
      </xdr:nvPicPr>
      <xdr:blipFill>
        <a:blip xmlns:r="http://schemas.openxmlformats.org/officeDocument/2006/relationships" r:embed="rId1"/>
        <a:stretch>
          <a:fillRect/>
        </a:stretch>
      </xdr:blipFill>
      <xdr:spPr>
        <a:xfrm>
          <a:off x="11029950" y="1568450"/>
          <a:ext cx="5245100" cy="6185501"/>
        </a:xfrm>
        <a:prstGeom prst="rect">
          <a:avLst/>
        </a:prstGeom>
      </xdr:spPr>
    </xdr:pic>
    <xdr:clientData/>
  </xdr:twoCellAnchor>
  <xdr:twoCellAnchor editAs="oneCell">
    <xdr:from>
      <xdr:col>8</xdr:col>
      <xdr:colOff>371475</xdr:colOff>
      <xdr:row>3</xdr:row>
      <xdr:rowOff>54308</xdr:rowOff>
    </xdr:from>
    <xdr:to>
      <xdr:col>14</xdr:col>
      <xdr:colOff>288157</xdr:colOff>
      <xdr:row>7</xdr:row>
      <xdr:rowOff>60092</xdr:rowOff>
    </xdr:to>
    <xdr:pic>
      <xdr:nvPicPr>
        <xdr:cNvPr id="7" name="Picture 6">
          <a:extLst>
            <a:ext uri="{FF2B5EF4-FFF2-40B4-BE49-F238E27FC236}">
              <a16:creationId xmlns:a16="http://schemas.microsoft.com/office/drawing/2014/main" id="{D550D630-FDCF-463D-A25F-4F05FCF7ECDD}"/>
            </a:ext>
          </a:extLst>
        </xdr:cNvPr>
        <xdr:cNvPicPr>
          <a:picLocks noChangeAspect="1"/>
        </xdr:cNvPicPr>
      </xdr:nvPicPr>
      <xdr:blipFill>
        <a:blip xmlns:r="http://schemas.openxmlformats.org/officeDocument/2006/relationships" r:embed="rId2"/>
        <a:stretch>
          <a:fillRect/>
        </a:stretch>
      </xdr:blipFill>
      <xdr:spPr>
        <a:xfrm>
          <a:off x="13849350" y="15522908"/>
          <a:ext cx="4822057" cy="14726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173792</xdr:colOff>
      <xdr:row>18</xdr:row>
      <xdr:rowOff>96905</xdr:rowOff>
    </xdr:from>
    <xdr:to>
      <xdr:col>11</xdr:col>
      <xdr:colOff>9485</xdr:colOff>
      <xdr:row>29</xdr:row>
      <xdr:rowOff>189522</xdr:rowOff>
    </xdr:to>
    <xdr:pic>
      <xdr:nvPicPr>
        <xdr:cNvPr id="2" name="Picture 1">
          <a:extLst>
            <a:ext uri="{FF2B5EF4-FFF2-40B4-BE49-F238E27FC236}">
              <a16:creationId xmlns:a16="http://schemas.microsoft.com/office/drawing/2014/main" id="{BF92D6A4-8CCC-4455-A5D5-AC90A8249955}"/>
            </a:ext>
          </a:extLst>
        </xdr:cNvPr>
        <xdr:cNvPicPr>
          <a:picLocks noChangeAspect="1"/>
        </xdr:cNvPicPr>
      </xdr:nvPicPr>
      <xdr:blipFill>
        <a:blip xmlns:r="http://schemas.openxmlformats.org/officeDocument/2006/relationships" r:embed="rId1"/>
        <a:stretch>
          <a:fillRect/>
        </a:stretch>
      </xdr:blipFill>
      <xdr:spPr>
        <a:xfrm>
          <a:off x="14192351" y="3425052"/>
          <a:ext cx="5209660" cy="3215883"/>
        </a:xfrm>
        <a:prstGeom prst="rect">
          <a:avLst/>
        </a:prstGeom>
      </xdr:spPr>
    </xdr:pic>
    <xdr:clientData/>
  </xdr:twoCellAnchor>
  <xdr:twoCellAnchor editAs="oneCell">
    <xdr:from>
      <xdr:col>6</xdr:col>
      <xdr:colOff>557892</xdr:colOff>
      <xdr:row>1</xdr:row>
      <xdr:rowOff>0</xdr:rowOff>
    </xdr:from>
    <xdr:to>
      <xdr:col>9</xdr:col>
      <xdr:colOff>745218</xdr:colOff>
      <xdr:row>11</xdr:row>
      <xdr:rowOff>125594</xdr:rowOff>
    </xdr:to>
    <xdr:pic>
      <xdr:nvPicPr>
        <xdr:cNvPr id="3" name="Picture 2">
          <a:extLst>
            <a:ext uri="{FF2B5EF4-FFF2-40B4-BE49-F238E27FC236}">
              <a16:creationId xmlns:a16="http://schemas.microsoft.com/office/drawing/2014/main" id="{0559E744-84A4-4C3F-9711-06A6F0C02B19}"/>
            </a:ext>
          </a:extLst>
        </xdr:cNvPr>
        <xdr:cNvPicPr>
          <a:picLocks noChangeAspect="1"/>
        </xdr:cNvPicPr>
      </xdr:nvPicPr>
      <xdr:blipFill>
        <a:blip xmlns:r="http://schemas.openxmlformats.org/officeDocument/2006/relationships" r:embed="rId2"/>
        <a:stretch>
          <a:fillRect/>
        </a:stretch>
      </xdr:blipFill>
      <xdr:spPr>
        <a:xfrm>
          <a:off x="14581867" y="180975"/>
          <a:ext cx="3343276" cy="2154419"/>
        </a:xfrm>
        <a:prstGeom prst="rect">
          <a:avLst/>
        </a:prstGeom>
      </xdr:spPr>
    </xdr:pic>
    <xdr:clientData/>
  </xdr:twoCellAnchor>
  <xdr:twoCellAnchor>
    <xdr:from>
      <xdr:col>6</xdr:col>
      <xdr:colOff>261937</xdr:colOff>
      <xdr:row>35</xdr:row>
      <xdr:rowOff>83066</xdr:rowOff>
    </xdr:from>
    <xdr:to>
      <xdr:col>22</xdr:col>
      <xdr:colOff>188009</xdr:colOff>
      <xdr:row>67</xdr:row>
      <xdr:rowOff>185497</xdr:rowOff>
    </xdr:to>
    <xdr:graphicFrame macro="">
      <xdr:nvGraphicFramePr>
        <xdr:cNvPr id="4" name="Chart 3">
          <a:extLst>
            <a:ext uri="{FF2B5EF4-FFF2-40B4-BE49-F238E27FC236}">
              <a16:creationId xmlns:a16="http://schemas.microsoft.com/office/drawing/2014/main" id="{1B7B9098-D481-4CB6-B736-24FDCBF52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438150</xdr:colOff>
      <xdr:row>2</xdr:row>
      <xdr:rowOff>74611</xdr:rowOff>
    </xdr:from>
    <xdr:to>
      <xdr:col>8</xdr:col>
      <xdr:colOff>523875</xdr:colOff>
      <xdr:row>21</xdr:row>
      <xdr:rowOff>76199</xdr:rowOff>
    </xdr:to>
    <xdr:graphicFrame macro="">
      <xdr:nvGraphicFramePr>
        <xdr:cNvPr id="3" name="Chart 2">
          <a:extLst>
            <a:ext uri="{FF2B5EF4-FFF2-40B4-BE49-F238E27FC236}">
              <a16:creationId xmlns:a16="http://schemas.microsoft.com/office/drawing/2014/main" id="{BC973063-3C18-48AB-8C0D-4805CAF99D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41</xdr:col>
      <xdr:colOff>114300</xdr:colOff>
      <xdr:row>34</xdr:row>
      <xdr:rowOff>87311</xdr:rowOff>
    </xdr:from>
    <xdr:to>
      <xdr:col>51</xdr:col>
      <xdr:colOff>266700</xdr:colOff>
      <xdr:row>69</xdr:row>
      <xdr:rowOff>50800</xdr:rowOff>
    </xdr:to>
    <xdr:graphicFrame macro="">
      <xdr:nvGraphicFramePr>
        <xdr:cNvPr id="2" name="Chart 1">
          <a:extLst>
            <a:ext uri="{FF2B5EF4-FFF2-40B4-BE49-F238E27FC236}">
              <a16:creationId xmlns:a16="http://schemas.microsoft.com/office/drawing/2014/main" id="{70906333-DA4A-418B-B182-FF656C16BF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avier Aylwin" id="{185B92C5-056B-4196-92E4-3BA7AA19FE54}" userId="S::javier.aylwin@wsp.com::3c0b4d62-8fc7-4de8-8250-8fb8c547f9d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4ED636-9B99-497C-AE87-52277C54068E}" name="Prim_Materials" displayName="Prim_Materials" ref="B109:G116" headerRowDxfId="330" tableBorderDxfId="329">
  <tableColumns count="6">
    <tableColumn id="1" xr3:uid="{70C68F46-3B62-4ED7-9D76-1DEDF1AA7377}" name="Layer" dataDxfId="328"/>
    <tableColumn id="2" xr3:uid="{C6878D18-FE77-40A6-B3E8-A7000F21A994}" name="Material" dataDxfId="327" totalsRowDxfId="326"/>
    <tableColumn id="7" xr3:uid="{5DF27DDF-687C-401E-BC27-74DBBA0831C7}" name="Thickness of Layer (mm)" dataDxfId="325" totalsRowDxfId="324"/>
    <tableColumn id="4" xr3:uid="{7E5E380E-CF4A-4C43-AA00-CAC7534CE528}" name="Material Delivery Truck" dataDxfId="323" totalsRowDxfId="322"/>
    <tableColumn id="5" xr3:uid="{3169DF9D-BFEF-4D26-88DD-67DCA704F142}" name="Trucking Distance to Site (km)" dataDxfId="321" totalsRowDxfId="320"/>
    <tableColumn id="3" xr3:uid="{C334FBD8-E354-4324-8F84-6461D7660D72}" name="Mass (kg)" dataDxfId="319">
      <calculatedColumnFormula>IF(ISBLANK(Prim_Materials[[#This Row],[Material]]), 0, INDEX(Materials!$2:$2,MATCH(Prim_Materials[[#This Row],[Material]],Materials!$6:$6,0))*(Prim_Materials[[#This Row],[Thickness of Layer (mm)]]/1000)*Project_Area)</calculatedColumnFormula>
    </tableColumn>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2FDDC40-30A3-45B5-B68C-9BB664045F5C}" name="ChangeTypeList" displayName="ChangeTypeList" ref="B10:B16" totalsRowShown="0">
  <autoFilter ref="B10:B16" xr:uid="{D2FDDC40-30A3-45B5-B68C-9BB664045F5C}"/>
  <tableColumns count="1">
    <tableColumn id="1" xr3:uid="{C98F11E7-EEB8-49F7-B786-ED1A9A0327E2}" name="ChangeType"/>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45BC7F0-4F6E-4066-85A4-EE1215B21698}" name="WearingCourseList" displayName="WearingCourseList" ref="B26:B42" totalsRowShown="0">
  <autoFilter ref="B26:B42" xr:uid="{045BC7F0-4F6E-4066-85A4-EE1215B21698}"/>
  <tableColumns count="1">
    <tableColumn id="1" xr3:uid="{0A746E61-65FA-4FE4-B182-418A585B2C06}" name="WearingCours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487C472-81D5-4349-ADEF-62E0F6BB0524}" name="WearingCourseAdditiveList" displayName="WearingCourseAdditiveList" ref="D26:D43" totalsRowShown="0">
  <autoFilter ref="D26:D43" xr:uid="{3487C472-81D5-4349-ADEF-62E0F6BB0524}"/>
  <sortState xmlns:xlrd2="http://schemas.microsoft.com/office/spreadsheetml/2017/richdata2" ref="D27:D43">
    <sortCondition ref="D26:D43"/>
  </sortState>
  <tableColumns count="1">
    <tableColumn id="1" xr3:uid="{BC61B22C-9EC3-489C-B50D-6BA1E5CE71DC}" name="WearingCourseAdditiv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88CB282-39E8-49B0-B21F-EA403A1C2282}" name="BaseCourseList" displayName="BaseCourseList" ref="F26:F41" totalsRowShown="0">
  <autoFilter ref="F26:F41" xr:uid="{688CB282-39E8-49B0-B21F-EA403A1C2282}"/>
  <sortState xmlns:xlrd2="http://schemas.microsoft.com/office/spreadsheetml/2017/richdata2" ref="F27:F41">
    <sortCondition ref="F26:F41"/>
  </sortState>
  <tableColumns count="1">
    <tableColumn id="1" xr3:uid="{B2DEFD40-AFF2-403B-88E6-BB2367AF48B5}" name="BaseCourse"/>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916F51E-68E1-4054-9CCD-9B1A1BF9F522}" name="BaseCourseAdditiveList" displayName="BaseCourseAdditiveList" ref="H26:H42" totalsRowShown="0">
  <autoFilter ref="H26:H42" xr:uid="{B916F51E-68E1-4054-9CCD-9B1A1BF9F522}"/>
  <sortState xmlns:xlrd2="http://schemas.microsoft.com/office/spreadsheetml/2017/richdata2" ref="H27:H42">
    <sortCondition ref="H26:H42"/>
  </sortState>
  <tableColumns count="1">
    <tableColumn id="1" xr3:uid="{FBE6C986-CC4A-4799-AE29-E006F2EF826F}" name="BaseCourseAdditiv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1236592-0474-426C-A486-76446F85F26D}" name="UpperSubBaseList" displayName="UpperSubBaseList" ref="J26:J38" totalsRowShown="0">
  <autoFilter ref="J26:J38" xr:uid="{81236592-0474-426C-A486-76446F85F26D}"/>
  <sortState xmlns:xlrd2="http://schemas.microsoft.com/office/spreadsheetml/2017/richdata2" ref="J27:J38">
    <sortCondition ref="J26:J38"/>
  </sortState>
  <tableColumns count="1">
    <tableColumn id="1" xr3:uid="{B458BA27-55EF-4493-B950-046B34500E0C}" name="UpperSubBas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0AB02-B261-488E-8B06-0DF5B10436F8}" name="SubGradeImprovementList" displayName="SubGradeImprovementList" ref="L26:L36" totalsRowShown="0">
  <autoFilter ref="L26:L36" xr:uid="{1010AB02-B261-488E-8B06-0DF5B10436F8}"/>
  <sortState xmlns:xlrd2="http://schemas.microsoft.com/office/spreadsheetml/2017/richdata2" ref="L27:L36">
    <sortCondition ref="L26:L36"/>
  </sortState>
  <tableColumns count="1">
    <tableColumn id="1" xr3:uid="{2D6AE6F0-65FA-4601-9BB3-AB251EF89B56}" name="SubGradeImprovemen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3FE3214-0B9E-4B22-A90C-910C74D86535}" name="SubgradeList" displayName="SubgradeList" ref="N26:N32" totalsRowShown="0">
  <autoFilter ref="N26:N32" xr:uid="{73FE3214-0B9E-4B22-A90C-910C74D86535}"/>
  <sortState xmlns:xlrd2="http://schemas.microsoft.com/office/spreadsheetml/2017/richdata2" ref="N27:N32">
    <sortCondition ref="N26:N32"/>
  </sortState>
  <tableColumns count="1">
    <tableColumn id="1" xr3:uid="{4D462B5E-8E66-4259-AC3C-963F7C1AE62F}" name="Subgrade"/>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1326CE2-9E9A-470A-8B9B-7274AFCD721E}" name="MaterialDeliveryTruckList" displayName="MaterialDeliveryTruckList" ref="P26:P31" totalsRowShown="0">
  <autoFilter ref="P26:P31" xr:uid="{01326CE2-9E9A-470A-8B9B-7274AFCD721E}"/>
  <sortState xmlns:xlrd2="http://schemas.microsoft.com/office/spreadsheetml/2017/richdata2" ref="P27:P31">
    <sortCondition ref="P26:P31"/>
  </sortState>
  <tableColumns count="1">
    <tableColumn id="1" xr3:uid="{E5CCF153-FFBC-4536-A2A3-29A13150D66D}" name="MaterialDeliveryTruck"/>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1253B32-5E2E-402A-BDE8-5BF011B80A42}" name="CrackSealingList" displayName="CrackSealingList" ref="B55:B58" totalsRowShown="0">
  <autoFilter ref="B55:B58" xr:uid="{21253B32-5E2E-402A-BDE8-5BF011B80A42}"/>
  <tableColumns count="1">
    <tableColumn id="1" xr3:uid="{964814E3-F3CE-430B-8D81-1BCF81346DE4}" name="CrackSealing"/>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AC320F8-BEA6-4964-B143-1E10874A934D}" name="Sec_Materials" displayName="Sec_Materials" ref="B119:G126" totalsRowShown="0" headerRowDxfId="318" tableBorderDxfId="317">
  <tableColumns count="6">
    <tableColumn id="1" xr3:uid="{8221BA80-7E24-4DDC-A405-D2F1B00B5B14}" name="Layer" dataDxfId="316" totalsRowDxfId="315"/>
    <tableColumn id="2" xr3:uid="{385DC206-3A26-4B12-9134-80EDE9DF59BD}" name="Material" dataDxfId="314" totalsRowDxfId="313"/>
    <tableColumn id="7" xr3:uid="{A119B217-9DA1-4E10-9AB3-CB4ED8446F5A}" name="Thickness of Layer (mm)" dataDxfId="312" totalsRowDxfId="311"/>
    <tableColumn id="4" xr3:uid="{B284D647-57D6-4BB3-906A-9A6A7F985FE5}" name="Material Delivery Truck" dataDxfId="310" totalsRowDxfId="309"/>
    <tableColumn id="5" xr3:uid="{5B343810-54A6-41C6-BF30-9D42674700B4}" name="Trucking Distance to Site (km)" dataDxfId="308" totalsRowDxfId="307"/>
    <tableColumn id="3" xr3:uid="{2DBCDD49-172C-4934-BBB0-E70ACD2F1A19}" name="Mass (kg)" dataDxfId="306">
      <calculatedColumnFormula>IF(ISBLANK(Sec_Materials[[#This Row],[Material]]), 0, INDEX(Materials!$2:$2,MATCH(Sec_Materials[[#This Row],[Material]],Materials!$6:$6,0))*(Sec_Materials[[#This Row],[Thickness of Layer (mm)]]/1000)*Project_Area)</calculatedColumnFormula>
    </tableColumn>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2851848-3F3F-4554-9684-3AE7174374F9}" name="TypicalMaintainenceMaterialsList" displayName="TypicalMaintainenceMaterialsList" ref="D55:D63" totalsRowShown="0">
  <autoFilter ref="D55:D63" xr:uid="{A2851848-3F3F-4554-9684-3AE7174374F9}"/>
  <tableColumns count="1">
    <tableColumn id="1" xr3:uid="{8247C992-11E8-4DE1-884F-286E45FE1FB6}" name="TypicalMaintainenceMaterials"/>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9C71F92-1795-44D8-AB74-12E1E571A0D6}" name="FCList" displayName="FCList" ref="F55:F57" totalsRowShown="0">
  <autoFilter ref="F55:F57" xr:uid="{39C71F92-1795-44D8-AB74-12E1E571A0D6}"/>
  <tableColumns count="1">
    <tableColumn id="1" xr3:uid="{6A930B06-C190-48D1-9B3E-A512468E0DE6}" name="FC"/>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58D5780-D4A2-46EE-9610-8EA43F0A8B65}" name="SDR_SM_PS_Mat2List" displayName="SDR_SM_PS_Mat2List" ref="H55:H58" totalsRowShown="0">
  <autoFilter ref="H55:H58" xr:uid="{858D5780-D4A2-46EE-9610-8EA43F0A8B65}"/>
  <tableColumns count="1">
    <tableColumn id="1" xr3:uid="{06C33707-034A-49BB-B2FE-E4B7602D2A76}" name="SDR_SM_PS_Mat2"/>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3CCBCA2-6CD5-4CE6-B324-302A7AF6E180}" name="SDR_SM_Mat3List" displayName="SDR_SM_Mat3List" ref="J55:J58" totalsRowShown="0">
  <autoFilter ref="J55:J58" xr:uid="{73CCBCA2-6CD5-4CE6-B324-302A7AF6E180}"/>
  <tableColumns count="1">
    <tableColumn id="1" xr3:uid="{E414EDC3-7E3A-4185-BBDD-7178B153AEC8}" name="SDR_SM_Mat3"/>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D52E08C-7EBC-4022-9059-0863534F0C0F}" name="M_TD_ModifiersList" displayName="M_TD_ModifiersList" ref="L55:L57" totalsRowShown="0">
  <autoFilter ref="L55:L57" xr:uid="{1D52E08C-7EBC-4022-9059-0863534F0C0F}"/>
  <tableColumns count="1">
    <tableColumn id="1" xr3:uid="{1F06518F-3C8B-4686-802D-DD809D32BD0C}" name="M&amp;TD_Modifier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D33B6EE-39ED-401B-AE95-8171A07C613E}" name="MF_RR_LO_Mat2List" displayName="MF_RR_LO_Mat2List" ref="N55:N59" totalsRowShown="0">
  <autoFilter ref="N55:N59" xr:uid="{3D33B6EE-39ED-401B-AE95-8171A07C613E}"/>
  <tableColumns count="1">
    <tableColumn id="1" xr3:uid="{FDDE3D8C-6984-41E3-921D-D62351386096}" name="MF_RR_LO_Mat2"/>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48A005E-536A-452D-8350-9ECDF2C5DD24}" name="Table19" displayName="Table19" ref="A3:D37" totalsRowShown="0" headerRowDxfId="5" dataDxfId="4">
  <autoFilter ref="A3:D37" xr:uid="{548A005E-536A-452D-8350-9ECDF2C5DD24}"/>
  <tableColumns count="4">
    <tableColumn id="1" xr3:uid="{3C5A5726-8486-4D87-BBF6-D42F45D0808C}" name="Date Change Recorded" dataDxfId="3"/>
    <tableColumn id="2" xr3:uid="{0816F2CA-7485-43CB-86F4-5D090F68FF08}" name="Version" dataDxfId="2"/>
    <tableColumn id="3" xr3:uid="{F57D7BEA-B809-433C-AA08-8EE01447362A}" name="Change Type" dataDxfId="1"/>
    <tableColumn id="4" xr3:uid="{9AEF8F18-197C-4F33-A274-CBCB03E63C87}" name="Change"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F6476FB-5706-4F60-B658-CE44D1D487BC}" name="Tert_Materials" displayName="Tert_Materials" ref="B129:G136" headerRowDxfId="305" tableBorderDxfId="304">
  <tableColumns count="6">
    <tableColumn id="1" xr3:uid="{E6FE3A54-5C6F-494E-AEE0-6257DAD43DA5}" name="Layer" dataDxfId="303"/>
    <tableColumn id="2" xr3:uid="{FA6055BF-D9A4-4E08-B783-28E54118FD05}" name="Material" dataDxfId="302"/>
    <tableColumn id="7" xr3:uid="{EEC1DA8A-1B3C-4374-B79F-1993FCE28567}" name="Thickness of Layer (mm)" dataDxfId="301"/>
    <tableColumn id="4" xr3:uid="{6AC2C695-E528-4B7D-81C9-5DA7A2E2A6D9}" name="Material Delivery Truck" dataDxfId="300"/>
    <tableColumn id="5" xr3:uid="{355BF5C3-7CBE-4A25-8CED-B2723B2EF0B5}" name="Trucking Distance to Site (km)" dataDxfId="299"/>
    <tableColumn id="3" xr3:uid="{B7B1BD26-8BBA-4923-B138-715856FB85F3}" name="Mass (kg)" dataDxfId="298">
      <calculatedColumnFormula>IF(ISBLANK(Tert_Materials[[#This Row],[Material]]), 0, INDEX(Materials!$2:$2,MATCH(Tert_Materials[[#This Row],[Material]],Materials!$6:$6,0))*(Tert_Materials[[#This Row],[Thickness of Layer (mm)]]/1000)*Project_Area)</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5EAEED-84D7-4654-BA82-8EA7F8CFE67C}" name="Delay_emissions_table" displayName="Delay_emissions_table" ref="B93:AG194" totalsRowShown="0" headerRowDxfId="258">
  <autoFilter ref="B93:AG194" xr:uid="{DD14F759-A039-4B78-9B57-C5CE6CAF8CB3}"/>
  <tableColumns count="32">
    <tableColumn id="1" xr3:uid="{16BA2236-CE53-4DD4-AE46-75FAC7A886C2}" name="Year" dataDxfId="257">
      <calculatedColumnFormula array="1">IFERROR(IF(B93+1&lt;=Timespan,B93+1,""),"")</calculatedColumnFormula>
    </tableColumn>
    <tableColumn id="2" xr3:uid="{B325A238-CB7E-4E76-B5F5-81B74F9B482B}" name="Year number" dataDxfId="256">
      <calculatedColumnFormula array="1">IFERROR(IF(B93+1&lt;=Timespan,C93+1,""),"")</calculatedColumnFormula>
    </tableColumn>
    <tableColumn id="3" xr3:uid="{02EC64EE-1D62-4D77-970E-6CBFACE1683B}" name="Works Description - Primary Scenario" dataDxfId="255"/>
    <tableColumn id="17" xr3:uid="{A1DF4BD3-A609-4912-A5E8-996C0DC29F03}" name="Form of Maintenance - Primary Scenario" dataDxfId="254"/>
    <tableColumn id="31" xr3:uid="{1FB189C0-1E6B-4444-8228-54535FACAFE8}" name="Area of Works (m2) - Primary Scenario" dataDxfId="253"/>
    <tableColumn id="6" xr3:uid="{F870D906-942A-4B14-8EBB-97A5FE194658}" name="Total length of time to implement the maintenance [hrs] - Primary Scenario" dataDxfId="252"/>
    <tableColumn id="21" xr3:uid="{63415367-EC2A-4645-9B70-4A755706263F}" name="Average delay per vehicle [mins] - Primary Scenario" dataDxfId="251"/>
    <tableColumn id="8" xr3:uid="{D32C2738-CB2E-460F-82F3-4D2E13CF8217}" name="Consumption of electricity (MJ) - Primary Scenario" dataDxfId="250">
      <calculatedColumnFormula>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calculatedColumnFormula>
    </tableColumn>
    <tableColumn id="7" xr3:uid="{3ABC1EA5-9DAC-4E51-AF9C-6152E4ABAA95}" name="Consumption of Petrol (kg) - Primary Scenario" dataDxfId="249">
      <calculatedColumnFormula>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calculatedColumnFormula>
    </tableColumn>
    <tableColumn id="10" xr3:uid="{95348337-8C15-42A4-B68B-223522E1B339}" name="Consumption of Diesel (kg) - Primary Scenario" dataDxfId="248">
      <calculatedColumnFormula>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calculatedColumnFormula>
    </tableColumn>
    <tableColumn id="9" xr3:uid="{B502E859-D2E8-41AC-A464-CDD793C4FC81}" name="Consumption of Biodiesel (kg) - Primary Scenario" dataDxfId="247">
      <calculatedColumnFormula>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calculatedColumnFormula>
    </tableColumn>
    <tableColumn id="13" xr3:uid="{043BC96C-5FC5-4311-8BB1-303BD5ED30EF}" name="Works Description - Secondary Scenario" dataDxfId="246"/>
    <tableColumn id="18" xr3:uid="{E8FFF94F-1630-49C1-9F91-8782E8AC3488}" name="Form of Maintenance - Secondary Scenario" dataDxfId="245"/>
    <tableColumn id="5" xr3:uid="{4279B9CD-3F43-4485-B36E-407D46B4CA96}" name="Area of Works (m2) - Secondary Scenario" dataDxfId="244"/>
    <tableColumn id="11" xr3:uid="{FBAB2A08-A0F6-4F1B-8E59-C8CC331ADB8A}" name="Total length of time to implement the maintenance [hrs] - Secondary Scenario" dataDxfId="243"/>
    <tableColumn id="22" xr3:uid="{6ED56A93-918C-4592-B417-626EA67DD8C3}" name="Average delay per vehicle [mins] - Secondary Scenario" dataDxfId="242"/>
    <tableColumn id="19" xr3:uid="{E71FA077-6714-4BD5-BD48-C1B406ECEA5E}" name="Consumption of electricity (MJ) - Secondary Scenario" dataDxfId="241">
      <calculatedColumnFormula>IF(Delay_emissions_table[[#This Row],[Year]]&lt;&gt;"",SUMPRODUCT(Idiling_fuel_consumption,{0;0;0;0;0;0;0},OFFSET('Fleet Projection'!$AT$27:$AT$33,0,MATCH(Delay_emissions_table[[#This Row],[Year]],Delay_emissions_table[Year],0)-1))*#REF!*Delay_emissions_table[[#This Row],[Total length of time to implement the maintenance '[hrs'] - Secondary Scenario]]*(Delay_emissions_table[[#This Row],[Average delay per vehicle '[mins'] - Secondary Scenario]]/60)*#REF!/Charging_eff*(1-Rate_eff_change)^Delay_emissions_table[[#This Row],[Year number]],"")</calculatedColumnFormula>
    </tableColumn>
    <tableColumn id="16" xr3:uid="{62F986D2-D3AC-437E-9F6B-B8D4B538AC47}" name="Consumption of Petrol (kg) - Secondary Scenario" dataDxfId="240">
      <calculatedColumnFormula>IF(Delay_emissions_table[[#This Row],[Year]]&lt;&gt;"",SUMPRODUCT(Idiling_fuel_consumption,{0;0;0;0;0;0;0},OFFSET('Fleet Projection'!$AT$27:$AT$33,0,MATCH(Delay_emissions_table[[#This Row],[Year]],Delay_emissions_table[Year],0)-1))*#REF!*Delay_emissions_table[[#This Row],[Total length of time to implement the maintenance '[hrs'] - Secondary Scenario]]*(Delay_emissions_table[[#This Row],[Average delay per vehicle '[mins'] - Secondary Scenario]]/60)*#REF!*(1-Rate_eff_change)^Delay_emissions_table[[#This Row],[Year number]],"")</calculatedColumnFormula>
    </tableColumn>
    <tableColumn id="15" xr3:uid="{91C0E9E2-56AF-45BC-9D35-E8022F67EFCB}" name="Consumption of Diesel (kg) - Secondary Scenario" dataDxfId="239">
      <calculatedColumnFormula>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calculatedColumnFormula>
    </tableColumn>
    <tableColumn id="14" xr3:uid="{739194D6-4547-4528-95B9-8BD154BFB0A2}" name="Consumption of Biodiesel (kg) - Secondary Scenario" dataDxfId="238">
      <calculatedColumnFormula>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calculatedColumnFormula>
    </tableColumn>
    <tableColumn id="20" xr3:uid="{620DEDF1-60C3-4935-B7F6-242B5D58CBCC}" name="Works Description - Tertiary Scenario" dataDxfId="237"/>
    <tableColumn id="23" xr3:uid="{ECF31072-28BD-4991-80A4-72762EE530A6}" name="Form of Maintenance - Tertiary Scenario" dataDxfId="236"/>
    <tableColumn id="32" xr3:uid="{4E8E027B-5A36-42DC-BC6E-CDB998E73D4D}" name="Area of Works (m2) - Tertiary Scenario" dataDxfId="235"/>
    <tableColumn id="25" xr3:uid="{F9045D8C-D6D5-44C9-942D-CDDB7EEF283D}" name="Total length of time to implement the maintenance [hrs] - Tertiary Scenario" dataDxfId="234"/>
    <tableColumn id="26" xr3:uid="{FF433A4C-2FFD-4AB9-BF63-D37828C877C9}" name="Average delay per vehicle [mins] - Tertiary Scenario" dataDxfId="233"/>
    <tableColumn id="27" xr3:uid="{91BAB5D7-5A17-4442-9BEE-B7260D087AB8}" name="Consumption of electricity (MJ) - Tertiary Scenario" dataDxfId="232">
      <calculatedColumnFormula>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calculatedColumnFormula>
    </tableColumn>
    <tableColumn id="28" xr3:uid="{9438B587-36E7-4FC1-8AB7-E97E4C710120}" name="Consumption of Petrol (kg) - Tertiary Scenario" dataDxfId="231">
      <calculatedColumnFormula>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calculatedColumnFormula>
    </tableColumn>
    <tableColumn id="29" xr3:uid="{42121CBA-F817-4CB7-B24A-67FF345AE6BF}" name="Consumption of Diesel (kg) - Tertiary Scenario" dataDxfId="230">
      <calculatedColumnFormula>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calculatedColumnFormula>
    </tableColumn>
    <tableColumn id="30" xr3:uid="{178EDBA1-3010-4596-B0B6-F16342729E3B}" name="Consumption of Biodiesel (kg) - Tertiary Scenario" dataDxfId="229">
      <calculatedColumnFormula>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calculatedColumnFormula>
    </tableColumn>
    <tableColumn id="34" xr3:uid="{4AFE570C-263F-460E-B3B6-443907EBCD6A}" name="Traffic flow [vehs/hr]" dataDxfId="228">
      <calculatedColumnFormula>IF(Delay_emissions_table[[#This Row],[Year]]="","",#REF!*(1+Traffic_growth_rate))</calculatedColumnFormula>
    </tableColumn>
    <tableColumn id="35" xr3:uid="{A3C3486D-4BAC-4454-83C6-03443CB4A004}" name="Environmental Discount (%)" dataDxfId="227">
      <calculatedColumnFormula>IFERROR(((1-enviro_disc)^(Delay_emissions_table[[#This Row],[Year]]-YEAR(TODAY())))*IF(Delay_emissions_table[[#This Row],[Year]]&gt;=YEAR(TODAY()),1,0),0)</calculatedColumnFormula>
    </tableColumn>
    <tableColumn id="4" xr3:uid="{6117293F-006F-4DE1-BE69-EBD14F54F0D2}" name="AADT" dataDxfId="226">
      <calculatedColumnFormula>Traffic_flow</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9B629CB-2158-48EC-9DFB-58B618BB8C3C}" name="Table3" displayName="Table3" ref="AW8:CN114" totalsRowShown="0" headerRowDxfId="221" dataDxfId="219" headerRowBorderDxfId="220" tableBorderDxfId="218" dataCellStyle="Comma">
  <autoFilter ref="AW8:CN114" xr:uid="{A6C6D9B4-D9E0-4443-9292-0F65B1CF707F}">
    <filterColumn colId="36">
      <filters>
        <filter val="5,598"/>
      </filters>
    </filterColumn>
  </autoFilter>
  <tableColumns count="44">
    <tableColumn id="1" xr3:uid="{B335685C-C378-4537-BA78-712939F89B32}" name="Indicator" dataDxfId="217"/>
    <tableColumn id="2" xr3:uid="{E993F535-2148-45B6-9753-EC751F5CD119}" name="Acronym" dataDxfId="216"/>
    <tableColumn id="3" xr3:uid="{56EF1BEE-1AD3-4223-A82D-CD51BB4B55C9}" name="Version" dataDxfId="215">
      <calculatedColumnFormula>IF(ISNUMBER(SEARCH("A1",AW9)),"A1","A2")</calculatedColumnFormula>
    </tableColumn>
    <tableColumn id="4" xr3:uid="{CED2C75F-A710-4C80-B761-32F70FC93EFC}" name="Methodology" dataDxfId="214"/>
    <tableColumn id="5" xr3:uid="{6A3CF8BB-15B3-4C6F-906D-5A3D59958016}" name="Unit" dataDxfId="213"/>
    <tableColumn id="31" xr3:uid="{FF76F966-664D-4E0B-A6AB-C815462F77B2}" name="Impact Row" dataDxfId="212">
      <calculatedColumnFormula>MATCH(Table3[[#This Row],[Indicator]],Material_Impacts[Look up],0)</calculatedColumnFormula>
    </tableColumn>
    <tableColumn id="6" xr3:uid="{7A712066-BD1C-46B5-B29C-632A907331F5}" name="Raw-Materials" dataDxfId="211" dataCellStyle="Comma">
      <calculatedColumnFormula array="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calculatedColumnFormula>
    </tableColumn>
    <tableColumn id="7" xr3:uid="{D38AFF1C-7537-444E-B7E9-EF6504B5C867}" name="Raw-Transport" dataDxfId="210" dataCellStyle="Comma">
      <calculatedColumnFormula array="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calculatedColumnFormula>
    </tableColumn>
    <tableColumn id="8" xr3:uid="{15269C6E-CA0D-4CB6-BAD5-00D1AC873515}" name="Raw-Paving" dataDxfId="209" dataCellStyle="Comma">
      <calculatedColumnFormula>Diesel_RawM_Prim*INDEX(Indicators,MATCH(Impacts_Additional[[#This Row],[Indicator]],Materials!$D:$D,0),MATCH("Diesel Combustion",Materials!$1:$1,0))*Diesel_density*Project_Area*Prim_Lays*Area_trans</calculatedColumnFormula>
    </tableColumn>
    <tableColumn id="9" xr3:uid="{4268B399-C751-4F74-8963-F8CC0754E57B}" name="Main - crack materials" dataDxfId="208">
      <calculatedColumnFormula array="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calculatedColumnFormula>
    </tableColumn>
    <tableColumn id="10" xr3:uid="{972DDF08-1A7F-40EF-8809-9BCB5CA6CDEC}" name="Main - crack transport" dataDxfId="207">
      <calculatedColumnFormula array="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calculatedColumnFormula>
    </tableColumn>
    <tableColumn id="11" xr3:uid="{1059FD47-2C90-49FC-935C-367C3CE0D58E}" name="Main - crack paving" dataDxfId="206">
      <calculatedColumnFormula array="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calculatedColumnFormula>
    </tableColumn>
    <tableColumn id="12" xr3:uid="{0CCB7E92-EF13-41DB-8CBF-33F6E2AC93D9}" name="Main - pothole materials" dataDxfId="205">
      <calculatedColumnFormula array="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calculatedColumnFormula>
    </tableColumn>
    <tableColumn id="13" xr3:uid="{7BF33D56-3EC6-4D20-BD6F-462C91E4B3D5}" name="Main - pothole transport" dataDxfId="204">
      <calculatedColumnFormula array="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calculatedColumnFormula>
    </tableColumn>
    <tableColumn id="14" xr3:uid="{91A6D4BC-7225-4138-A500-0A0F854DDD3E}" name="Main - pothole paving" dataDxfId="203">
      <calculatedColumnFormula array="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calculatedColumnFormula>
    </tableColumn>
    <tableColumn id="37" xr3:uid="{0D6290F7-4E42-4FFA-93C9-802DC3A3651E}" name="Main - surface defect repair materials" dataDxfId="202">
      <calculatedColumnFormula array="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calculatedColumnFormula>
    </tableColumn>
    <tableColumn id="36" xr3:uid="{5E9A43DB-20D1-49FD-BBF5-CED5BF76C01B}" name="Main - surface defect repair transport" dataDxfId="201">
      <calculatedColumnFormula array="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calculatedColumnFormula>
    </tableColumn>
    <tableColumn id="35" xr3:uid="{8CCE5000-8FD0-49E8-9AAF-364CC8988B98}" name="Main - surface defect repair paving" dataDxfId="200">
      <calculatedColumnFormula array="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calculatedColumnFormula>
    </tableColumn>
    <tableColumn id="34" xr3:uid="{ECEDFEB6-4774-425F-912F-50EB9EC783C0}" name="Main - Shoulder maintenance materials" dataDxfId="199">
      <calculatedColumnFormula array="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calculatedColumnFormula>
    </tableColumn>
    <tableColumn id="33" xr3:uid="{6E374F12-3794-4DEC-BE3E-FEFC57087B10}" name="Main - Shoulder maintenance transport" dataDxfId="198">
      <calculatedColumnFormula array="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calculatedColumnFormula>
    </tableColumn>
    <tableColumn id="32" xr3:uid="{26FCBDFB-EF0A-4880-B24A-55C0913ACA8B}" name="Main - Shoulder maintenance paving" dataDxfId="197">
      <calculatedColumnFormula array="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calculatedColumnFormula>
    </tableColumn>
    <tableColumn id="15" xr3:uid="{A8D0E842-7A86-4B28-9934-15BBF6FAE711}" name="Main - stabilisation materials" dataDxfId="196">
      <calculatedColumnFormula array="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calculatedColumnFormula>
    </tableColumn>
    <tableColumn id="16" xr3:uid="{F84E7E6A-DB9D-4791-97FB-8EDDB3710AE3}" name="Main - stabilisation transport" dataDxfId="195">
      <calculatedColumnFormula array="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calculatedColumnFormula>
    </tableColumn>
    <tableColumn id="17" xr3:uid="{E2AF1ACE-109B-492A-B993-85454B34BA86}" name="Main - stabilisation paving" dataDxfId="194">
      <calculatedColumnFormula array="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calculatedColumnFormula>
    </tableColumn>
    <tableColumn id="43" xr3:uid="{C96C8EA9-F701-4372-A8C8-200F8AC43F89}" name="Main - Mill and fill materials" dataDxfId="193">
      <calculatedColumnFormula array="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calculatedColumnFormula>
    </tableColumn>
    <tableColumn id="42" xr3:uid="{165C0502-A364-46C1-8231-FCF8B11FDDB2}" name="Main - Mill and fill transport" dataDxfId="192">
      <calculatedColumnFormula array="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calculatedColumnFormula>
    </tableColumn>
    <tableColumn id="41" xr3:uid="{49A9EE9B-C7EF-4FC1-915C-E353E3E7A41F}" name="Main - Mill and fill paving" dataDxfId="191">
      <calculatedColumnFormula array="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calculatedColumnFormula>
    </tableColumn>
    <tableColumn id="40" xr3:uid="{D9215DCC-4125-4E49-9A59-C4E9498A26F4}" name="Main - Rip and remake materials" dataDxfId="190">
      <calculatedColumnFormula array="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calculatedColumnFormula>
    </tableColumn>
    <tableColumn id="39" xr3:uid="{0FB87A1A-3898-44CB-BAB3-11BD2228E554}" name="Main - Rip and remake transport" dataDxfId="189">
      <calculatedColumnFormula array="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calculatedColumnFormula>
    </tableColumn>
    <tableColumn id="38" xr3:uid="{67A8DDE1-E351-4CFA-ACE3-68989FDAC4EE}" name="Main - Rip and remake paving" dataDxfId="188">
      <calculatedColumnFormula array="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calculatedColumnFormula>
    </tableColumn>
    <tableColumn id="18" xr3:uid="{5764A50D-36F5-4846-ADB9-5DCD95492759}" name="Main - dig outs materials" dataDxfId="187">
      <calculatedColumnFormula array="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calculatedColumnFormula>
    </tableColumn>
    <tableColumn id="19" xr3:uid="{7FE3BCAD-1E8B-47BC-B477-314F452BF152}" name="Main - dig out transport" dataDxfId="186">
      <calculatedColumnFormula array="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calculatedColumnFormula>
    </tableColumn>
    <tableColumn id="20" xr3:uid="{B4159F21-E005-459E-A8AA-80222BE35608}" name="Main - dig out paving" dataDxfId="185">
      <calculatedColumnFormula array="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calculatedColumnFormula>
    </tableColumn>
    <tableColumn id="21" xr3:uid="{EE40267C-ECF0-4C79-B59A-AA564A85FC6C}" name="Main - Lay materials" dataDxfId="184">
      <calculatedColumnFormula array="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calculatedColumnFormula>
    </tableColumn>
    <tableColumn id="22" xr3:uid="{FC313D55-FB9C-4578-BB4F-19E4B2BF8F14}" name="Main - lay transport" dataDxfId="183">
      <calculatedColumnFormula array="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calculatedColumnFormula>
    </tableColumn>
    <tableColumn id="23" xr3:uid="{87B9B5C6-07F4-462B-9BD4-AFC797440237}" name="Main - lay paving" dataDxfId="182">
      <calculatedColumnFormula array="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calculatedColumnFormula>
    </tableColumn>
    <tableColumn id="24" xr3:uid="{88263C53-B154-4532-BF6E-6242682A8E24}" name="Deflection PVI" dataDxfId="181" dataCellStyle="Comma"/>
    <tableColumn id="25" xr3:uid="{9AF246EF-D2D0-4B53-BA62-BF94C2C6A1E9}" name="Roughness PVI" dataDxfId="180" dataCellStyle="Comma">
      <calculatedColumnFormula array="1">Traffic_flow*365*Area_trans*Roughness_switch*((epsi_2_light-epsi_0_light)*SUM(((INDEX(Indicators,MATCH(EPD_version&amp;"GWP",Materials!$D:$D,0),MATCH("diesel combustion",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EPD_version&amp;"GWP",Materials!$D:$D,0),MATCH("diesel combustion",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calculatedColumnFormula>
    </tableColumn>
    <tableColumn id="26" xr3:uid="{12BD8152-67EF-4BE9-820D-48308181A59F}" name="Traffic Delay - life extension" dataDxfId="179" dataCellStyle="Comma">
      <calculatedColumnFormula array="1">(SUMPRODUCT(Delay_emissions_table[Consumption of Diesel (kg) - Primary Scenario],IF(Delay_emissions_table[Form of Maintenance - Primary Scenario]="Life Extension",1,0))*INDEX(Indicators,MATCH('Additional Impact Indicators'!$A9,Materials!$D:$D,0),MATCH("diesel combustion",Materials!$1:$1,0))+SUMPRODUCT(Delay_emissions_table[Consumption of Petrol (kg) - Primary Scenario],IF(Delay_emissions_table[Form of Maintenance - Primary Scenario]="Life Extension",1,0))*INDEX(Indicators,MATCH('Additional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Primary Scenario],IF(Delay_emissions_table[Form of Maintenance - Primary Scenario]="Life Extension",1,0)),0))*Area_trans*Time_adj_Prim</calculatedColumnFormula>
    </tableColumn>
    <tableColumn id="27" xr3:uid="{6BE7B902-621F-4D16-81CD-CEFD8659BD8F}" name="Traffic - delay replacement" dataDxfId="178" dataCellStyle="Comma">
      <calculatedColumnFormula array="1">(SUMPRODUCT(Delay_emissions_table[Consumption of Diesel (kg) - Primary Scenario],IF(Delay_emissions_table[Form of Maintenance - Primary Scenario]="Replacement",1,0))*INDEX(Indicators,MATCH('Additional Impact Indicators'!$A9,Materials!$D:$D,0),MATCH("diesel combustion",Materials!$1:$1,0))+SUMPRODUCT(Delay_emissions_table[Consumption of Petrol (kg) - Primary Scenario],IF(Delay_emissions_table[Form of Maintenance - Primary Scenario]="Replacement",1,0))*INDEX(Indicators,MATCH('Additional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Primary Scenario],IF(Delay_emissions_table[Form of Maintenance - Primary Scenario]="Replacement",1,0)),0))*Area_trans*Time_adj_Prim</calculatedColumnFormula>
    </tableColumn>
    <tableColumn id="28" xr3:uid="{F9FF73A1-8262-4556-964B-BE9332762E1A}" name="Removal" dataDxfId="177" dataCellStyle="Comma">
      <calculatedColumnFormula array="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calculatedColumnFormula>
    </tableColumn>
    <tableColumn id="29" xr3:uid="{333755EC-0ADC-4104-82B7-C8B0696E35A7}" name="Transport to landfill" dataDxfId="176" dataCellStyle="Comma">
      <calculatedColumnFormula array="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calculatedColumnFormula>
    </tableColumn>
    <tableColumn id="30" xr3:uid="{30D977E4-ACA6-4D77-B862-30755797B7C0}" name="Transport to recycling facility" dataDxfId="175" dataCellStyle="Comma">
      <calculatedColumnFormula array="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calculatedColumnFormula>
    </tableColumn>
    <tableColumn id="44" xr3:uid="{0716CC7B-C5E8-4D61-A8F9-AFAD3D363373}" name="Concrete Crushing on Site" dataDxfId="174" dataCellStyle="Comma">
      <calculatedColumnFormula array="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3B991BD-E67C-4755-8EBB-336FAD916689}" name="Table611" displayName="Table611" ref="CT8:EK114" totalsRowShown="0" headerRowDxfId="173">
  <autoFilter ref="CT8:EK114" xr:uid="{2635ED0D-8256-4C0F-8C39-8D49E02DEB2A}"/>
  <tableColumns count="44">
    <tableColumn id="1" xr3:uid="{90AFFDC2-98E6-40C9-B21F-1DA370E6DE69}" name="Indicator"/>
    <tableColumn id="29" xr3:uid="{7BAB2CD5-AA85-4F3B-95CF-29E3DB27EB3D}" name="Acronym"/>
    <tableColumn id="2" xr3:uid="{ACE417AD-3982-4054-B41B-704750D6A604}" name="Version">
      <calculatedColumnFormula>IF(ISNUMBER(SEARCH("A1",CT9)),"A1","A2")</calculatedColumnFormula>
    </tableColumn>
    <tableColumn id="30" xr3:uid="{642ED93C-B74A-485C-8271-152DF6B956F0}" name="Methodology"/>
    <tableColumn id="27" xr3:uid="{951A163E-4E25-47AE-B07E-419544B95FFC}" name="Unit"/>
    <tableColumn id="31" xr3:uid="{89094C95-DD5D-4F63-B8BB-4E13479630CF}" name="Impact Row" dataDxfId="172">
      <calculatedColumnFormula>MATCH(Table611[[#This Row],[Indicator]],Material_Impacts[Look up],0)</calculatedColumnFormula>
    </tableColumn>
    <tableColumn id="3" xr3:uid="{0FCD54A1-7324-4602-8F1A-E69EA4A30267}" name="Raw-Materials" dataDxfId="171" dataCellStyle="Comma">
      <calculatedColumnFormula array="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calculatedColumnFormula>
    </tableColumn>
    <tableColumn id="4" xr3:uid="{5BC35D1F-B2AB-4492-B043-9AAE35164F0C}" name="Raw-Transport" dataDxfId="170" dataCellStyle="Comma">
      <calculatedColumnFormula array="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calculatedColumnFormula>
    </tableColumn>
    <tableColumn id="5" xr3:uid="{FB734919-DBFD-405A-A6CA-1E3410C74598}" name="Raw-Paving" dataDxfId="169" dataCellStyle="Comma">
      <calculatedColumnFormula>Diesel_RawM_Prim*INDEX(Indicators,MATCH(Impacts_Additional[[#This Row],[Indicator]],Materials!$D:$D,0),MATCH("Diesel Combustion",Materials!$1:$1,0))*Diesel_density*Project_Area*Prim_Lays*Area_trans</calculatedColumnFormula>
    </tableColumn>
    <tableColumn id="7" xr3:uid="{2BD58B5C-6C42-4CFC-90CB-54AF560E6834}" name="Main - crack materials" dataDxfId="168">
      <calculatedColumnFormula array="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calculatedColumnFormula>
    </tableColumn>
    <tableColumn id="8" xr3:uid="{7F5A41E8-7C7C-4BE3-BB41-8A26CD664A8F}" name="Main - crack transport" dataDxfId="167">
      <calculatedColumnFormula array="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calculatedColumnFormula>
    </tableColumn>
    <tableColumn id="9" xr3:uid="{23F8FA39-F73B-48DA-9AA6-13A43E909D82}" name="Main - crack paving" dataDxfId="166">
      <calculatedColumnFormula array="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calculatedColumnFormula>
    </tableColumn>
    <tableColumn id="10" xr3:uid="{58A3A5C1-1CAD-4802-974E-C323477F7992}" name="Main - pothole materials" dataDxfId="165">
      <calculatedColumnFormula array="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calculatedColumnFormula>
    </tableColumn>
    <tableColumn id="11" xr3:uid="{1CAB4DF2-313C-47EC-AC1B-3B8D4FD51376}" name="Main - pothole transport" dataDxfId="164">
      <calculatedColumnFormula array="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calculatedColumnFormula>
    </tableColumn>
    <tableColumn id="12" xr3:uid="{547E325B-CB7A-4A99-B6E2-7896362D4A27}" name="Main - pothole paving" dataDxfId="163">
      <calculatedColumnFormula array="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calculatedColumnFormula>
    </tableColumn>
    <tableColumn id="37" xr3:uid="{665B4FCB-B5BD-4EF7-9713-D6A2AF7154AC}" name="Main - surface defect materials" dataDxfId="162">
      <calculatedColumnFormula array="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calculatedColumnFormula>
    </tableColumn>
    <tableColumn id="36" xr3:uid="{D1568D52-0CAB-47DB-9BFA-E9EC5F7CD169}" name="Main - surface defect transport" dataDxfId="161">
      <calculatedColumnFormula array="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calculatedColumnFormula>
    </tableColumn>
    <tableColumn id="35" xr3:uid="{ED0FD090-8E95-4354-8E46-5E511A77D63D}" name="Main - surface defect paving" dataDxfId="160">
      <calculatedColumnFormula array="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calculatedColumnFormula>
    </tableColumn>
    <tableColumn id="34" xr3:uid="{5BC947DF-46C4-41CE-A82E-3399A4D10C17}" name="Main - Shoulder maintenance materials" dataDxfId="159">
      <calculatedColumnFormula array="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calculatedColumnFormula>
    </tableColumn>
    <tableColumn id="33" xr3:uid="{DB7C6895-2267-46FF-BDF9-A8364B7F9D0A}" name="Main - Shoulder maintenance transport" dataDxfId="158">
      <calculatedColumnFormula array="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calculatedColumnFormula>
    </tableColumn>
    <tableColumn id="32" xr3:uid="{88C01D7F-17D9-42A9-BD2C-D1E6AC9C6B48}" name="Main - Shoulder maintenance paving" dataDxfId="157">
      <calculatedColumnFormula array="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calculatedColumnFormula>
    </tableColumn>
    <tableColumn id="13" xr3:uid="{0FA1C9F8-D6F1-4B92-AAB2-C34836BA6D61}" name="Main - stabilisation materials" dataDxfId="156">
      <calculatedColumnFormula array="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calculatedColumnFormula>
    </tableColumn>
    <tableColumn id="14" xr3:uid="{AD189A4A-FA34-4A70-AF8C-BD340C12A6BB}" name="Main - stabilisation transport" dataDxfId="155">
      <calculatedColumnFormula array="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calculatedColumnFormula>
    </tableColumn>
    <tableColumn id="15" xr3:uid="{0A263F92-6176-4D91-B22F-54EC8BBB7F4B}" name="Main - stabilisation paving" dataDxfId="154">
      <calculatedColumnFormula array="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calculatedColumnFormula>
    </tableColumn>
    <tableColumn id="43" xr3:uid="{AF052B0D-C097-4BD5-9EBA-DE4B5BCE2B10}" name="Main - Mill and fill materials" dataDxfId="153">
      <calculatedColumnFormula array="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calculatedColumnFormula>
    </tableColumn>
    <tableColumn id="42" xr3:uid="{F8E5F901-68E9-421B-ABF1-D7867A233526}" name="Main - Mill and fill transport" dataDxfId="152">
      <calculatedColumnFormula array="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calculatedColumnFormula>
    </tableColumn>
    <tableColumn id="41" xr3:uid="{2A8DE88F-DCB2-4C2B-96E3-A3840BECCE07}" name="Main - Mill and fill paving" dataDxfId="151">
      <calculatedColumnFormula array="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calculatedColumnFormula>
    </tableColumn>
    <tableColumn id="40" xr3:uid="{B01F6177-596C-44B0-93E7-DF84071AD006}" name="Main - Rip and remake materials" dataDxfId="150">
      <calculatedColumnFormula array="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calculatedColumnFormula>
    </tableColumn>
    <tableColumn id="39" xr3:uid="{FE7D2241-43EE-46AD-9001-A5E90A6169C9}" name="Main - Rip and remake transport" dataDxfId="149">
      <calculatedColumnFormula array="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calculatedColumnFormula>
    </tableColumn>
    <tableColumn id="38" xr3:uid="{7E0A7A99-EC0E-44E3-9E40-58E497EEA41B}" name="Main - Rip and remake paving" dataDxfId="148">
      <calculatedColumnFormula array="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calculatedColumnFormula>
    </tableColumn>
    <tableColumn id="16" xr3:uid="{1CFE1FA8-86AD-46FD-8D50-D957548DF939}" name="Main - dig outs materials" dataDxfId="147">
      <calculatedColumnFormula array="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calculatedColumnFormula>
    </tableColumn>
    <tableColumn id="17" xr3:uid="{3136E302-4A93-4CF8-9085-EE5803A82190}" name="Main - dig out transport" dataDxfId="146">
      <calculatedColumnFormula array="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calculatedColumnFormula>
    </tableColumn>
    <tableColumn id="18" xr3:uid="{4CAFF73B-1D8E-4772-A20D-4442CA23C7F4}" name="Main - dig out paving" dataDxfId="145">
      <calculatedColumnFormula array="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calculatedColumnFormula>
    </tableColumn>
    <tableColumn id="19" xr3:uid="{2BB86C9D-41FF-466D-A12A-5A94808A347A}" name="Main - Lay materials" dataDxfId="144">
      <calculatedColumnFormula array="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calculatedColumnFormula>
    </tableColumn>
    <tableColumn id="20" xr3:uid="{4F983D3D-5825-4B5E-9027-7710A1E2A2FA}" name="Main - lay transport" dataDxfId="143">
      <calculatedColumnFormula array="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calculatedColumnFormula>
    </tableColumn>
    <tableColumn id="21" xr3:uid="{ECE3F617-EFBF-4411-BA00-10D3D0927C37}" name="Main - lay paving" dataDxfId="142">
      <calculatedColumnFormula array="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calculatedColumnFormula>
    </tableColumn>
    <tableColumn id="22" xr3:uid="{A1FC1E17-729D-4E70-9862-32EB3F2D0A2F}" name="Deflection PVI" dataDxfId="141" dataCellStyle="Comma"/>
    <tableColumn id="23" xr3:uid="{1519F25D-E91E-4C0B-B053-B06B6E4FE206}" name="Roughness PVI" dataDxfId="140">
      <calculatedColumnFormula array="1">Traffic_flow*365*Area_trans*Roughness_switch*((epsi_3_light-epsi_0_light)*SUM(((INDEX(Indicators,MATCH(EPD_version&amp;"GWP",Materials!$D:$D,0),MATCH("diesel combustion",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EPD_version&amp;"GWP",Materials!$D:$D,0),MATCH("diesel combustion",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calculatedColumnFormula>
    </tableColumn>
    <tableColumn id="24" xr3:uid="{D360812C-0BA2-4F9E-98E7-D5F5FE17EE5A}" name="Traffic Delay - life extension" dataDxfId="139" dataCellStyle="Comma">
      <calculatedColumnFormula array="1">(SUMPRODUCT(Delay_emissions_table[Consumption of Diesel (kg) - Primary Scenario],IF(Delay_emissions_table[Form of Maintenance - Primary Scenario]="Life Extension",1,0))*INDEX(Indicators,MATCH('Additional Impact Indicators'!$A9,Materials!$D:$D,0),MATCH("diesel combustion",Materials!$1:$1,0))+SUMPRODUCT(Delay_emissions_table[Consumption of Petrol (kg) - Primary Scenario],IF(Delay_emissions_table[Form of Maintenance - Primary Scenario]="Life Extension",1,0))*INDEX(Indicators,MATCH('Additional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Primary Scenario],IF(Delay_emissions_table[Form of Maintenance - Primary Scenario]="Life Extension",1,0)),0))*Area_trans*Time_adj_Prim</calculatedColumnFormula>
    </tableColumn>
    <tableColumn id="25" xr3:uid="{C45B2123-9FF3-456D-9CF6-2404E9233FDE}" name="Traffic - delay replacement" dataDxfId="138" dataCellStyle="Comma">
      <calculatedColumnFormula array="1">(SUMPRODUCT(Delay_emissions_table[Consumption of Diesel (kg) - Primary Scenario],IF(Delay_emissions_table[Form of Maintenance - Primary Scenario]="Replacement",1,0))*INDEX(Indicators,MATCH('Additional Impact Indicators'!$A9,Materials!$D:$D,0),MATCH("diesel combustion",Materials!$1:$1,0))+SUMPRODUCT(Delay_emissions_table[Consumption of Petrol (kg) - Primary Scenario],IF(Delay_emissions_table[Form of Maintenance - Primary Scenario]="Replacement",1,0))*INDEX(Indicators,MATCH('Additional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Primary Scenario],IF(Delay_emissions_table[Form of Maintenance - Primary Scenario]="Replacement",1,0)),0))*Area_trans*Time_adj_Prim</calculatedColumnFormula>
    </tableColumn>
    <tableColumn id="6" xr3:uid="{A19C3AB6-8A1D-406C-87AD-00148139DAF3}" name="Removal" dataDxfId="137" dataCellStyle="Comma">
      <calculatedColumnFormula array="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calculatedColumnFormula>
    </tableColumn>
    <tableColumn id="26" xr3:uid="{64BC1010-AA89-47AB-B37B-FDA8DDC9FE36}" name="Transport to landfill" dataDxfId="136" dataCellStyle="Comma">
      <calculatedColumnFormula array="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calculatedColumnFormula>
    </tableColumn>
    <tableColumn id="28" xr3:uid="{ED7234A8-95FB-4339-A2A3-916DB8461479}" name="Transport to recycling facility" dataDxfId="135" dataCellStyle="Comma">
      <calculatedColumnFormula array="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calculatedColumnFormula>
    </tableColumn>
    <tableColumn id="44" xr3:uid="{20086708-D94C-4AA0-B69C-71D25747270F}" name="Concrete Crushing on Site" dataDxfId="134" dataCellStyle="Comma">
      <calculatedColumnFormula array="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calculatedColumnFormula>
    </tableColumn>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74CDE0E-7871-40A7-8B99-032BF158E776}" name="Impacts_Additional" displayName="Impacts_Additional" ref="A8:AR114" totalsRowShown="0" headerRowDxfId="133" dataDxfId="132" tableBorderDxfId="131" dataCellStyle="Comma">
  <autoFilter ref="A8:AR114" xr:uid="{D74CDE0E-7871-40A7-8B99-032BF158E776}"/>
  <tableColumns count="44">
    <tableColumn id="1" xr3:uid="{D427CA6A-5F89-4EBE-B39C-05564C17A779}" name="Indicator" dataDxfId="130"/>
    <tableColumn id="2" xr3:uid="{28606697-DC37-4A87-8F0B-6ED6FA46A7B5}" name="Acronym" dataDxfId="129"/>
    <tableColumn id="3" xr3:uid="{25BF8356-F59F-4B9A-84D4-59313CA5A14D}" name="Version" dataDxfId="128">
      <calculatedColumnFormula>IF(ISNUMBER(SEARCH("A1",A9)),"A1","A2")</calculatedColumnFormula>
    </tableColumn>
    <tableColumn id="4" xr3:uid="{2402570B-D5CF-45AC-91BD-099FB49BA077}" name="Methodology" dataDxfId="127"/>
    <tableColumn id="5" xr3:uid="{E0BB1775-4D93-467D-8F4A-7D421A44F7F3}" name="Unit" dataDxfId="126"/>
    <tableColumn id="6" xr3:uid="{7E3561BA-495D-4BAF-ABE8-F2CE3371D8A5}" name="Impact Row" dataDxfId="125">
      <calculatedColumnFormula>MATCH(Impacts_Additional[[#This Row],[Indicator]],Material_Impacts[Look up],0)</calculatedColumnFormula>
    </tableColumn>
    <tableColumn id="7" xr3:uid="{6206F0CE-658D-4EAD-B85E-C9DA17E33D5C}" name="Raw-Materials" dataDxfId="124" dataCellStyle="Comma">
      <calculatedColumnFormula array="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calculatedColumnFormula>
    </tableColumn>
    <tableColumn id="8" xr3:uid="{064AC006-DD3C-4592-B002-D2D2353CC8DD}" name="Raw-Transport" dataDxfId="123" dataCellStyle="Comma">
      <calculatedColumnFormula array="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calculatedColumnFormula>
    </tableColumn>
    <tableColumn id="9" xr3:uid="{7FC063F3-043D-4B98-BB99-9F10FB6354FF}" name="Raw-Paving" dataDxfId="122" dataCellStyle="Comma">
      <calculatedColumnFormula>Diesel_RawM_Prim*INDEX(Indicators,MATCH(Impacts_Additional[[#This Row],[Indicator]],Materials!$D:$D,0),MATCH("Diesel Combustion",Materials!$1:$1,0))*Diesel_density*Project_Area*Prim_Lays*Area_trans</calculatedColumnFormula>
    </tableColumn>
    <tableColumn id="10" xr3:uid="{179412DC-66DD-4583-8B72-5443C81BE32A}" name="Main - crack materials" dataDxfId="121">
      <calculatedColumnFormula array="1">SUM((INDEX(Indicators,MATCH(EPD_version&amp;"GWP",Materials!$D:$D,0),MATCH(INDEX(Main_crack_Prim,1,0),Materials!$1:$1,0))*INDEX(Main_crack_Prim,2,0)/1000)*INDEX(Materials!$1:$2,2,MATCH(INDEX(Main_crack_Prim,1,0),Materials!$1:$1,0)))*SUM(--(Delay_emissions_table[Works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calculatedColumnFormula>
    </tableColumn>
    <tableColumn id="11" xr3:uid="{4711D314-0FAF-46E5-A462-DFB2ECC2C384}" name="Main - crack transport" dataDxfId="120">
      <calculatedColumnFormula array="1">INDEX(Indicators,MATCH(EPD_version&amp;"GWP",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calculatedColumnFormula>
    </tableColumn>
    <tableColumn id="12" xr3:uid="{D16D4752-77C4-4235-8DDC-2CF105CE4BD2}" name="Main - crack paving" dataDxfId="119">
      <calculatedColumnFormula array="1">(Main_crack_diesel_Prim*Diesel_density)*(SUM(--(Delay_emissions_table[Works Description - Primary Scenario]="Crack Sealing")*Delay_emissions_table[Area of Works (m2) - Primary Scenario]*Delay_emissions_table[Environmental Discount (%)]))*INDEX(Indicators,MATCH(EPD_version&amp;"GWP",Materials!$D:$D,0),MATCH("Diesel Combustion",Materials!$1:$1,0))*Area_trans*Prim_Lays</calculatedColumnFormula>
    </tableColumn>
    <tableColumn id="13" xr3:uid="{A1A70C86-5C81-47B8-9948-9F708FE97AD9}" name="Main - pothole materials" dataDxfId="118">
      <calculatedColumnFormula array="1">SUM((INDEX(Indicators,MATCH(EPD_version&amp;"GWP",Materials!$D:$D,0),MATCH(INDEX(Main_Pothole_Prim,1,0),Materials!$1:$1,0))*INDEX(Main_Pothole_Prim,2,0)/1000)*INDEX(Materials!$1:$2,2,MATCH(INDEX(Main_Pothole_Prim,1,0),Materials!$1:$1,0)))*SUM(--(Delay_emissions_table[Works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calculatedColumnFormula>
    </tableColumn>
    <tableColumn id="14" xr3:uid="{7C6D1179-ADEE-40DC-B56C-F5D7A8CC7FB2}" name="Main - pothole transport" dataDxfId="117">
      <calculatedColumnFormula array="1">INDEX(Indicators,MATCH(EPD_version&amp;"GWP",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calculatedColumnFormula>
    </tableColumn>
    <tableColumn id="15" xr3:uid="{5B00A6AD-707B-43B4-9E73-48D081666324}" name="Main - pothole paving" dataDxfId="116">
      <calculatedColumnFormula array="1">(Main_crack_diesel_Prim*Diesel_density)*(SUM(--(Delay_emissions_table[Works Description - Primary Scenario]="Fill Cracks (Potholes)")*Delay_emissions_table[Area of Works (m2) - Primary Scenario]*Delay_emissions_table[Environmental Discount (%)]))*INDEX(Indicators,MATCH(EPD_version&amp;"GWP",Materials!$D:$D,0),MATCH("Diesel Combustion",Materials!$1:$1,0))*Area_trans*Prim_Lays</calculatedColumnFormula>
    </tableColumn>
    <tableColumn id="34" xr3:uid="{4BE9E0E6-F08E-4259-9237-89D2C90FBFDB}" name="Main - Surface Defect Repair" dataDxfId="115">
      <calculatedColumnFormula array="1">SUM((INDEX(Indicators,MATCH(EPD_version&amp;"GWP",Materials!$D:$D,0),MATCH(INDEX(Main_Surface_Prim,1,0),Materials!$1:$1,0))*INDEX(Main_Surface_Prim,2,0)/1000)*INDEX(Materials!$1:$2,2,MATCH(INDEX(Main_Surface_Prim,1,0),Materials!$1:$1,0)))*SUM(--(Delay_emissions_table[Works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calculatedColumnFormula>
    </tableColumn>
    <tableColumn id="33" xr3:uid="{17F49028-C3F1-40E7-B3AC-9F10B9148D30}" name="Main - Surface Defect Repair Transport" dataDxfId="114">
      <calculatedColumnFormula array="1">INDEX(Indicators,MATCH(EPD_version&amp;"GWP",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calculatedColumnFormula>
    </tableColumn>
    <tableColumn id="32" xr3:uid="{51DD98DE-7F90-491F-8AEA-BDF24BE3F334}" name="Main - Surface Defect Repair Paving" dataDxfId="113">
      <calculatedColumnFormula array="1">(Main_crack_diesel_Prim*Diesel_density)*(SUM(--(Delay_emissions_table[Works Description - Primary Scenario]="Surface Defect Repair")*Delay_emissions_table[Area of Works (m2) - Primary Scenario]*Delay_emissions_table[Environmental Discount (%)]))*INDEX(Indicators,MATCH(EPD_version&amp;"GWP",Materials!$D:$D,0),MATCH("Diesel Combustion",Materials!$1:$1,0))*Area_trans*Prim_Lays</calculatedColumnFormula>
    </tableColumn>
    <tableColumn id="37" xr3:uid="{4A6BE2C1-6F49-4B9E-AEF9-E16450ED2D0D}" name="Main - Shoulder Maintenance Repair" dataDxfId="112">
      <calculatedColumnFormula array="1">SUM((INDEX(Indicators,MATCH(EPD_version&amp;"GWP",Materials!$D:$D,0),MATCH(INDEX(Main_crack_Prim,1,0),Materials!$1:$1,0))*INDEX(Main_crack_Prim,2,0)/1000)*INDEX(Materials!$1:$2,2,MATCH(INDEX(Main_crack_Prim,1,0),Materials!$1:$1,0)))*SUM(--(Delay_emissions_table[Works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calculatedColumnFormula>
    </tableColumn>
    <tableColumn id="36" xr3:uid="{4C65AA0F-BDC5-4483-AD11-65AC26BF14C5}" name="Main - Shoulder Maintenance Transport" dataDxfId="111">
      <calculatedColumnFormula array="1">INDEX(Indicators,MATCH(EPD_version&amp;"GWP",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calculatedColumnFormula>
    </tableColumn>
    <tableColumn id="35" xr3:uid="{1419CE1D-B6B7-48A7-B840-17A4B0B6432D}" name="Main - Shoulder Maintenance Paving" dataDxfId="110">
      <calculatedColumnFormula array="1">(Main_crack_diesel_Prim*Diesel_density)*(SUM(--(Delay_emissions_table[Works Description - Primary Scenario]="Shoulder Maintenance")*Delay_emissions_table[Area of Works (m2) - Primary Scenario]*Delay_emissions_table[Environmental Discount (%)]))*INDEX(Indicators,MATCH(EPD_version&amp;"GWP",Materials!$D:$D,0),MATCH("Diesel Combustion",Materials!$1:$1,0))*Area_trans*Prim_Lays</calculatedColumnFormula>
    </tableColumn>
    <tableColumn id="16" xr3:uid="{94182AFB-784B-436C-BE15-D8037873E636}" name="Main - stabilisation materials" dataDxfId="109">
      <calculatedColumnFormula array="1">SUM((INDEX(Indicators,MATCH(EPD_version&amp;"GWP",Materials!$D:$D,0),MATCH(INDEX(Main_Patch_Prim,1,0),Materials!$1:$1,0))*INDEX(Main_Patch_Prim,2,0)/1000)*INDEX(Materials!$1:$2,2,MATCH(INDEX(Main_Patch_Prim,1,0),Materials!$1:$1,0)))*SUM(--(Delay_emissions_table[Works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calculatedColumnFormula>
    </tableColumn>
    <tableColumn id="17" xr3:uid="{73ADA189-977C-47B6-B5AC-9902D65E8B78}" name="Main - stabilisation transport" dataDxfId="108">
      <calculatedColumnFormula array="1">INDEX(Indicators,MATCH(EPD_version&amp;"GWP",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calculatedColumnFormula>
    </tableColumn>
    <tableColumn id="18" xr3:uid="{CA311319-DB51-4153-A67D-9F6F218518C8}" name="Main - stabilisation paving" dataDxfId="107">
      <calculatedColumnFormula array="1">(Main_crack_diesel_Prim*Diesel_density)*(SUM(--(Delay_emissions_table[Works Description - Primary Scenario]="Patch Stabilisation")*Delay_emissions_table[Area of Works (m2) - Primary Scenario]*Delay_emissions_table[Environmental Discount (%)]))*INDEX(Indicators,MATCH(EPD_version&amp;"GWP",Materials!$D:$D,0),MATCH("Diesel Combustion",Materials!$1:$1,0))*Area_trans*Prim_Lays</calculatedColumnFormula>
    </tableColumn>
    <tableColumn id="40" xr3:uid="{8D668839-1C77-4825-854F-3D13AADA5F5E}" name="Main - Mill and fill materials" dataDxfId="106">
      <calculatedColumnFormula array="1">SUM((INDEX(Indicators,MATCH(EPD_version&amp;"GWP",Materials!$D:$D,0),MATCH(INDEX(Main_Mill_Prim,1,0),Materials!$1:$1,0))*INDEX(Main_Mill_Prim,2,0)/1000)*INDEX(Materials!$1:$2,2,MATCH(INDEX(Main_Mill_Prim,1,0),Materials!$1:$1,0)))*SUM(--(Delay_emissions_table[Works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calculatedColumnFormula>
    </tableColumn>
    <tableColumn id="39" xr3:uid="{E6A5A18F-0D09-4663-9E3F-17135C1A9123}" name="Main - Mill and fill transport" dataDxfId="105">
      <calculatedColumnFormula array="1">INDEX(Indicators,MATCH(EPD_version&amp;"GWP",Materials!$D:$D,0),MATCH(Main_truck_Mill_Prim,Materials!$1:$1,0))*SUM((INDEX(Main_Mill_Prim,2,0)/1000)*INDEX(Materials!$1:$2,2,MATCH(INDEX(Main_Mill_Prim,1,0),Materials!$1:$1,0)))*Main_Mill_dist_Prim*SUM(--(Delay_emissions_table[Works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calculatedColumnFormula>
    </tableColumn>
    <tableColumn id="38" xr3:uid="{BBD12383-25B1-481C-ABB7-1079A382C480}" name="Main - Mill and fill paving" dataDxfId="104">
      <calculatedColumnFormula array="1">(Main_crack_diesel_Prim*Diesel_density)*(SUM(--(Delay_emissions_table[Works Description - Primary Scenario]="Mill and Fill")*Delay_emissions_table[Area of Works (m2) - Primary Scenario]*Delay_emissions_table[Environmental Discount (%)]))*INDEX(Indicators,MATCH(EPD_version&amp;"GWP",Materials!$D:$D,0),MATCH("Diesel Combustion",Materials!$1:$1,0))*Area_trans*Prim_Lays</calculatedColumnFormula>
    </tableColumn>
    <tableColumn id="43" xr3:uid="{F5C6200C-3B0F-4BC8-BC97-113D1F361305}" name="Main - Rip and remake materials" dataDxfId="103">
      <calculatedColumnFormula array="1">SUM((INDEX(Indicators,MATCH(EPD_version&amp;"GWP",Materials!$D:$D,0),MATCH(INDEX(Main_Rip_Prim,1,0),Materials!$1:$1,0))*INDEX(Main_Rip_Prim,2,0)/1000)*INDEX(Materials!$1:$2,2,MATCH(INDEX(Main_Rip_Prim,1,0),Materials!$1:$1,0)))*SUM(--(Delay_emissions_table[Works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calculatedColumnFormula>
    </tableColumn>
    <tableColumn id="42" xr3:uid="{70E3B735-5716-4F7C-9BD5-90DA155F54C5}" name="Main - Rip and remake transport" dataDxfId="102">
      <calculatedColumnFormula array="1">INDEX(Indicators,MATCH(EPD_version&amp;"GWP",Materials!$D:$D,0),MATCH(Main_truck_Rip_Prim,Materials!$1:$1,0))*SUM((INDEX(Main_Rip_Prim,2,0)/1000)*INDEX(Materials!$1:$2,2,MATCH(INDEX(Main_Rip_Prim,1,0),Materials!$1:$1,0)))*Main_Rip_dist_Prim*SUM(--(Delay_emissions_table[Works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calculatedColumnFormula>
    </tableColumn>
    <tableColumn id="41" xr3:uid="{301096C9-B477-4CE7-B5C7-D389CA7BD531}" name="Main - Rip and remake paving" dataDxfId="101">
      <calculatedColumnFormula array="1">(Main_crack_diesel_Prim*Diesel_density)*(SUM(--(Delay_emissions_table[Works Description - Primary Scenario]="Rip and Remake")*Delay_emissions_table[Area of Works (m2) - Primary Scenario]*Delay_emissions_table[Environmental Discount (%)]))*INDEX(Indicators,MATCH(EPD_version&amp;"GWP",Materials!$D:$D,0),MATCH("Diesel Combustion",Materials!$1:$1,0))*Area_trans*Prim_Lays</calculatedColumnFormula>
    </tableColumn>
    <tableColumn id="19" xr3:uid="{3B51C9D4-7F0F-4F5A-A2C0-E0565100F9FD}" name="Main - dig outs materials" dataDxfId="100">
      <calculatedColumnFormula array="1">SUM((INDEX(Indicators,MATCH(EPD_version&amp;"GWP",Materials!$D:$D,0),MATCH(INDEX(Main_Dig_Prim,1,0),Materials!$1:$1,0))*INDEX(Main_Dig_Prim,2,0)/1000)*INDEX(Materials!$1:$2,2,MATCH(INDEX(Main_Dig_Prim,1,0),Materials!$1:$1,0)))*SUM(--(Delay_emissions_table[Works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calculatedColumnFormula>
    </tableColumn>
    <tableColumn id="20" xr3:uid="{2DB5D2BE-53E8-45E3-9CE4-45E0000268B4}" name="Main - dig out transport" dataDxfId="99">
      <calculatedColumnFormula array="1">INDEX(Indicators,MATCH(EPD_version&amp;"GWP",Materials!$D:$D,0),MATCH(Main_truck_Dig_Prim,Materials!$1:$1,0))*SUM((INDEX(Main_Dig_Prim,2,0)/1000)*INDEX(Materials!$1:$2,2,MATCH(INDEX(Main_Dig_Prim,1,0),Materials!$1:$1,0)))*Main_Dig_dist_Prim*SUM(--(Delay_emissions_table[Works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calculatedColumnFormula>
    </tableColumn>
    <tableColumn id="21" xr3:uid="{30C39108-7C94-494F-88BF-E54D448A05B3}" name="Main - dig out paving" dataDxfId="98">
      <calculatedColumnFormula array="1">(Main_crack_diesel_Prim*Diesel_density)*(SUM(--(Delay_emissions_table[Works Description - Primary Scenario]="Dig Out")*Delay_emissions_table[Area of Works (m2) - Primary Scenario]*Delay_emissions_table[Environmental Discount (%)]))*INDEX(Indicators,MATCH(EPD_version&amp;"GWP",Materials!$D:$D,0),MATCH("Diesel Combustion",Materials!$1:$1,0))*Area_trans*Prim_Lays</calculatedColumnFormula>
    </tableColumn>
    <tableColumn id="22" xr3:uid="{F9E8B2FF-56D4-4D8C-8B85-61A75DDC3105}" name="Main - Lay materials" dataDxfId="97">
      <calculatedColumnFormula array="1">SUM((INDEX(Indicators,MATCH(EPD_version&amp;"GWP",Materials!$D:$D,0),MATCH(INDEX(Main_Lay_Prim,1,0),Materials!$1:$1,0))*INDEX(Main_Lay_Prim,2,0)/1000)*INDEX(Materials!$1:$2,2,MATCH(INDEX(Main_Lay_Prim,1,0),Materials!$1:$1,0)))*SUM(--(Delay_emissions_table[Works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calculatedColumnFormula>
    </tableColumn>
    <tableColumn id="23" xr3:uid="{05E18F71-18D1-46F0-B046-55B9704E3F02}" name="Main - lay transport" dataDxfId="96">
      <calculatedColumnFormula array="1">INDEX(Indicators,MATCH(EPD_version&amp;"GWP",Materials!$D:$D,0),MATCH(Main_truck_Lay_Prim,Materials!$1:$1,0))*SUM((INDEX(Main_Lay_Prim,2,0)/1000)*INDEX(Materials!$1:$2,2,MATCH(INDEX(Main_Lay_Prim,1,0),Materials!$1:$1,0)))*Main_Lay_dist_Prim*SUM(--(Delay_emissions_table[Works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calculatedColumnFormula>
    </tableColumn>
    <tableColumn id="24" xr3:uid="{720196A2-B031-4D6D-ACF4-7445CF9AA012}" name="Main - lay paving" dataDxfId="95">
      <calculatedColumnFormula array="1">(Main_crack_diesel_Prim*Diesel_density)*(SUM(--(Delay_emissions_table[Works Description - Primary Scenario]="Lay over")*Delay_emissions_table[Area of Works (m2) - Primary Scenario]*Delay_emissions_table[Environmental Discount (%)]))*INDEX(Indicators,MATCH(EPD_version&amp;"GWP",Materials!$D:$D,0),MATCH("Diesel Combustion",Materials!$1:$1,0))*Area_trans*Prim_Lays</calculatedColumnFormula>
    </tableColumn>
    <tableColumn id="25" xr3:uid="{55D20126-0524-4742-903A-9DF6D46A20CC}" name="Deflection PVI" dataDxfId="94" dataCellStyle="Comma">
      <calculatedColumnFormula array="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calculatedColumnFormula>
    </tableColumn>
    <tableColumn id="26" xr3:uid="{A87226CE-D23B-48C3-A40F-FA9A5DA795BD}" name="Roughness PVI" dataDxfId="93">
      <calculatedColumnFormula array="1">Traffic_flow*365*Area_trans*Roughness_switch*((epsi_1_light-epsi_0_light)*SUM(((INDEX(Indicators,MATCH(EPD_version&amp;"GWP",Materials!$D:$D,0),MATCH("diesel combustion",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EPD_version&amp;"GWP",Materials!$D:$D,0),MATCH("diesel combustion",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calculatedColumnFormula>
    </tableColumn>
    <tableColumn id="27" xr3:uid="{4F3E6B52-8CED-4CA7-A7EA-D8526D1FA2C0}" name="Traffic Delay - life extension" dataDxfId="92" dataCellStyle="Comma">
      <calculatedColumnFormula array="1">(SUMPRODUCT(Delay_emissions_table[Consumption of Diesel (kg) - Primary Scenario],IF(Delay_emissions_table[Form of Maintenance - Primary Scenario]="Life Extension",1,0))*INDEX(Indicators,MATCH('Additional Impact Indicators'!$A9,Materials!$D:$D,0),MATCH("diesel combustion",Materials!$1:$1,0))+SUMPRODUCT(Delay_emissions_table[Consumption of Petrol (kg) - Primary Scenario],IF(Delay_emissions_table[Form of Maintenance - Primary Scenario]="Life Extension",1,0))*INDEX(Indicators,MATCH('Additional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Primary Scenario],IF(Delay_emissions_table[Form of Maintenance - Primary Scenario]="Life Extension",1,0)),0))*Area_trans*Time_adj_Prim</calculatedColumnFormula>
    </tableColumn>
    <tableColumn id="28" xr3:uid="{B56D9383-62D2-4949-9419-7AE33ADEDE52}" name="Traffic - delay replacement" dataDxfId="91" dataCellStyle="Comma">
      <calculatedColumnFormula array="1">(SUMPRODUCT(Delay_emissions_table[Consumption of Diesel (kg) - Primary Scenario],IF(Delay_emissions_table[Form of Maintenance - Primary Scenario]="Replacement",1,0))*INDEX(Indicators,MATCH('Additional Impact Indicators'!$A9,Materials!$D:$D,0),MATCH("diesel combustion",Materials!$1:$1,0))+SUMPRODUCT(Delay_emissions_table[Consumption of Petrol (kg) - Primary Scenario],IF(Delay_emissions_table[Form of Maintenance - Primary Scenario]="Replacement",1,0))*INDEX(Indicators,MATCH('Additional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Primary Scenario],IF(Delay_emissions_table[Form of Maintenance - Primary Scenario]="Replacement",1,0)),0))*Area_trans*Time_adj_Prim</calculatedColumnFormula>
    </tableColumn>
    <tableColumn id="29" xr3:uid="{E8B49CAC-19A1-4C52-915E-71A3014A2AF0}" name="Removal" dataDxfId="90" dataCellStyle="Comma">
      <calculatedColumnFormula array="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calculatedColumnFormula>
    </tableColumn>
    <tableColumn id="30" xr3:uid="{186A748E-4D60-4CDE-B37B-E68FAE4A84D5}" name="Transport to landfill" dataDxfId="89" dataCellStyle="Comma">
      <calculatedColumnFormula array="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calculatedColumnFormula>
    </tableColumn>
    <tableColumn id="31" xr3:uid="{8C3E7F61-618C-4275-B078-6E3EE8D0EC10}" name="Transport to recycling facility" dataDxfId="88" dataCellStyle="Comma">
      <calculatedColumnFormula array="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calculatedColumnFormula>
    </tableColumn>
    <tableColumn id="44" xr3:uid="{5B938C97-82E9-48A7-819D-B3985FFD1A43}" name="Concrete Crushing on Site" dataDxfId="87" dataCellStyle="Comma">
      <calculatedColumnFormula array="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calculatedColumn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883E4D0-2CD1-4F93-8E44-3DA419A31492}" name="Material_Impacts" displayName="Material_Impacts" ref="A6:BV112" totalsRowShown="0" headerRowDxfId="86">
  <sortState xmlns:xlrd2="http://schemas.microsoft.com/office/spreadsheetml/2017/richdata2" ref="B7:AO110">
    <sortCondition ref="B6:B110"/>
  </sortState>
  <tableColumns count="74">
    <tableColumn id="4" xr3:uid="{334E107E-CF38-47F2-BE36-6BA9CAC7710A}" name="Acronym"/>
    <tableColumn id="1" xr3:uid="{812AAC55-DC4B-4B70-9C08-3B578FAB8DD5}" name="Methodology"/>
    <tableColumn id="2" xr3:uid="{FDCD785E-AC12-4CE6-98D7-DB76603BC3BB}" name="15804 version"/>
    <tableColumn id="3" xr3:uid="{9297BB4B-68FC-4BBA-A1B2-B209DC6B44C4}" name="Look up" dataDxfId="85">
      <calculatedColumnFormula>Material_Impacts[[#This Row],[15804 version]]&amp;Material_Impacts[[#This Row],[Methodology]]&amp;Material_Impacts[[#This Row],[Acronym]]</calculatedColumnFormula>
    </tableColumn>
    <tableColumn id="5" xr3:uid="{0C53D71A-9591-4AFF-B95F-53167591E355}" name="Indicator"/>
    <tableColumn id="6" xr3:uid="{C0183A45-079A-4474-8AAA-DF460464BEC1}" name="Unit"/>
    <tableColumn id="8" xr3:uid="{E083EBC0-4CC1-4D2C-8DDD-D4667568749B}" name="Diesel Combustion" dataDxfId="84"/>
    <tableColumn id="55" xr3:uid="{0A38FFC2-3DAD-49F1-A21F-8B11B70328EA}" name="Diesel Combustion (Vehicle)" dataDxfId="83"/>
    <tableColumn id="7" xr3:uid="{C53724DE-BAE4-44EB-AF36-8417ED1C6F25}" name="Petrol Combustion" dataDxfId="82"/>
    <tableColumn id="9" xr3:uid="{9F0D79B4-A071-42C7-8053-DCFF6F93D070}" name="Bio-Diesel Combustion" dataDxfId="81"/>
    <tableColumn id="10" xr3:uid="{9DD13744-4BCB-49E0-98C3-58E79ACA8B21}" name="Truck (16-32t)" dataDxfId="80"/>
    <tableColumn id="11" xr3:uid="{C9AF513E-6678-4CF1-AC21-E211F8682E03}" name="Truck (7.5-16t)" dataDxfId="79"/>
    <tableColumn id="12" xr3:uid="{EC9089D6-0CB2-49DD-8A42-45ACC6725090}" name="Truck (32+t)" dataDxfId="78"/>
    <tableColumn id="61" xr3:uid="{45A40A09-81B9-4CDC-82B7-B0B1969E12E5}" name="All Trucks" dataDxfId="77"/>
    <tableColumn id="73" xr3:uid="{31DA5D19-3530-428B-B71D-5F951714EEF2}" name="Electricity" dataDxfId="76"/>
    <tableColumn id="56" xr3:uid="{19F02005-0740-4FC0-A55A-9ADFD1CBA72E}" name="Natural Gas Combusted" dataDxfId="75"/>
    <tableColumn id="13" xr3:uid="{918B769B-EE72-4400-B99D-99A68069AC96}" name="Clay" dataDxfId="74"/>
    <tableColumn id="14" xr3:uid="{6D3CB973-18F8-4C45-A5F9-5BAD5912B53E}" name="Bedrock" dataDxfId="73"/>
    <tableColumn id="22" xr3:uid="{F10F59B3-D4B7-431A-9A76-5F2DB94BF347}" name="Pumice" dataDxfId="72"/>
    <tableColumn id="31" xr3:uid="{CCB60C80-7CC1-4359-86ED-0EB72AFA450A}" name="Silt" dataDxfId="71"/>
    <tableColumn id="32" xr3:uid="{1D933673-7E0A-4873-9D35-092BE32F68C6}" name="Volcanic Ash" dataDxfId="70"/>
    <tableColumn id="26" xr3:uid="{C66E8BCE-9293-4A4B-8727-768F0D7FECA8}" name="Asphalt (SMA)" dataDxfId="69">
      <calculatedColumnFormula>IFERROR('Dynamic Materials'!Q16+'Dynamic Materials'!AQ16, 0)</calculatedColumnFormula>
    </tableColumn>
    <tableColumn id="74" xr3:uid="{D047A02B-8EFC-4878-B0F7-4121752ECCD7}" name="Asphalt (Epoxy SMA)" dataDxfId="68">
      <calculatedColumnFormula>'Dynamic Materials'!R16</calculatedColumnFormula>
    </tableColumn>
    <tableColumn id="27" xr3:uid="{5B903FAA-3D4F-4690-9217-B44B136B3EBD}" name="Asphalt (EMOGPA)" dataDxfId="67">
      <calculatedColumnFormula>'Dynamic Materials'!T16</calculatedColumnFormula>
    </tableColumn>
    <tableColumn id="28" xr3:uid="{A06890C7-4138-4A7F-A904-E605DEC09A96}" name="Asphalt (AC)" dataDxfId="66">
      <calculatedColumnFormula>IFERROR('Dynamic Materials'!U16+'Dynamic Materials'!AQ16, 0)</calculatedColumnFormula>
    </tableColumn>
    <tableColumn id="29" xr3:uid="{4BF6FCE9-E3ED-4689-894D-E592588F27E6}" name="Asphalt (OGPA)" dataDxfId="65">
      <calculatedColumnFormula>IFERROR('Dynamic Materials'!S16+'Dynamic Materials'!AQ16, 0)</calculatedColumnFormula>
    </tableColumn>
    <tableColumn id="33" xr3:uid="{68EE1D91-E114-4183-B930-1C8C925DD8A8}" name="Slurry" dataDxfId="64">
      <calculatedColumnFormula>'Dynamic Materials'!W16</calculatedColumnFormula>
    </tableColumn>
    <tableColumn id="36" xr3:uid="{E16184D5-4912-4D84-B7FA-247781386993}" name="Cold Mix" dataDxfId="63"/>
    <tableColumn id="35" xr3:uid="{7AAEAA01-9D15-45F0-8BA7-9EEED6398FAE}" name="Polyurethane" dataDxfId="62"/>
    <tableColumn id="18" xr3:uid="{ABB892F9-D651-43CC-AE65-53B668F9409A}" name="bitumen" dataDxfId="61">
      <calculatedColumnFormula>BZ7+200*Material_Impacts[[#This Row],[Truck (32+t)]]+1130*CB7</calculatedColumnFormula>
    </tableColumn>
    <tableColumn id="20" xr3:uid="{BC175BC6-5BAC-4310-AA65-6542CE5A143F}" name="Bitumen Emulsion" dataDxfId="60"/>
    <tableColumn id="37" xr3:uid="{A4BF73F1-5F09-40EB-9272-32A8D3FC2425}" name="Foam Bitumen Stabilisation" dataDxfId="59"/>
    <tableColumn id="60" xr3:uid="{60744995-3B44-4905-8EE7-36FAAE32B668}" name="Foam Bitumen" dataDxfId="58"/>
    <tableColumn id="25" xr3:uid="{1DC62E40-F1B9-4A70-9486-C57C6361A8C1}" name="Bitumen Sealer" dataDxfId="57"/>
    <tableColumn id="15" xr3:uid="{9638743F-5BFE-4C93-8373-4EEC80345BE2}" name="Epoxy Modified Bitumen" dataDxfId="56">
      <calculatedColumnFormula>'Dynamic Materials'!AG16</calculatedColumnFormula>
    </tableColumn>
    <tableColumn id="38" xr3:uid="{53DCBCBB-6902-4C08-A2AE-3D2A2DE237E0}" name="Modified on bound gravel" dataDxfId="55"/>
    <tableColumn id="21" xr3:uid="{0DD87638-926F-46B6-A9E9-E23783EAA4E7}" name="Lime Modified Subgrade" dataDxfId="54"/>
    <tableColumn id="63" xr3:uid="{AFAB6E3D-F5BC-40BF-A2F4-D28A138888F4}" name="Hydraulic Lime" dataDxfId="53"/>
    <tableColumn id="24" xr3:uid="{FF8BEC87-7212-4ECE-9454-892600D6EB38}" name="Cement Modified Subgrade" dataDxfId="52">
      <calculatedColumnFormula>BD7*0.04</calculatedColumnFormula>
    </tableColumn>
    <tableColumn id="30" xr3:uid="{385D345B-C0CE-49E6-81BA-8EA94839D49A}" name="Hi-Lab" dataDxfId="51"/>
    <tableColumn id="34" xr3:uid="{08DF558D-70EA-4750-86CF-2B70B027BEF7}" name="BRP_Patch" dataDxfId="50"/>
    <tableColumn id="19" xr3:uid="{669A8279-C10D-4A50-9F72-D9E88A134F7F}" name="Water" dataDxfId="49"/>
    <tableColumn id="23" xr3:uid="{3A6BE6AD-15A0-4E7D-93AC-778B9DCF0421}" name="Chip Seal" dataDxfId="48">
      <calculatedColumnFormula>'Dynamic Materials'!O16</calculatedColumnFormula>
    </tableColumn>
    <tableColumn id="72" xr3:uid="{1AD7658A-4234-4098-BF1A-BD2F320A1B91}" name="Epoxy Chip Seal" dataDxfId="47">
      <calculatedColumnFormula>'Dynamic Materials'!P16</calculatedColumnFormula>
    </tableColumn>
    <tableColumn id="65" xr3:uid="{6AC5EBAC-565D-4372-859E-35E0B64511D5}" name="Sealing Chip" dataDxfId="46"/>
    <tableColumn id="47" xr3:uid="{A1F88A85-BEE5-444B-9DEB-498171410085}" name="Aggregate (Hard Rock)" dataDxfId="45">
      <calculatedColumnFormula array="1">IFERROR(INDEX(Electricity_projection,MATCH($B7&amp;$A7,INDEX(Electricity_projection,0,3),0),MATCH(YEAR(TODAY()),Timeline_elec_projec,0)+3)*INDEX(Recyc_mat_energy_input,MATCH(AT$1,'Data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calculatedColumnFormula>
    </tableColumn>
    <tableColumn id="48" xr3:uid="{17AFD46A-33B3-458B-A8CC-8ADEADE694DB}" name="Aggregate (Alluvial)" dataDxfId="44">
      <calculatedColumnFormula array="1">IFERROR(INDEX(Electricity_projection,MATCH($B7&amp;$A7,INDEX(Electricity_projection,0,3),0),MATCH(YEAR(TODAY()),Timeline_elec_projec,0)+3)*INDEX(Recyc_mat_energy_input,MATCH(AU$1,'Data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calculatedColumnFormula>
    </tableColumn>
    <tableColumn id="49" xr3:uid="{20A667D9-6FC1-48D7-8F4A-6CE8C110679B}" name="Aggregate (Dredged)" dataDxfId="43">
      <calculatedColumnFormula array="1">INDEX(Electricity_projection,MATCH($B7&amp;$A7,INDEX(Electricity_projection,0,3),0),MATCH(YEAR(TODAY()),Timeline_elec_projec,0)+3)*INDEX(Recyc_mat_energy_input,MATCH(AV$1,'Data Entry'!$B$91:$B$96,0),1)+Diesel_density*INDEX(Recyc_mat_energy_input,MATCH(AV$1,'Data Entry'!$B$91:$B$96,0),2)*INDEX(Indicators,ROW(),MATCH("Diesel Combustion",Materials!$1:$1,0))+INDEX(Recyc_mat_energy_input,MATCH(AV$1,'Data Entry'!$B$91:$B$96,0),3)*INDEX(Indicators,ROW(),MATCH("Water",Materials!$1:$1,0))</calculatedColumnFormula>
    </tableColumn>
    <tableColumn id="39" xr3:uid="{4522759A-A9E3-4E9C-8B7B-748D5F6848F8}" name="Aggregate" dataDxfId="42"/>
    <tableColumn id="59" xr3:uid="{F35B2AD5-AE1B-4BAA-A1AE-F82B7F940D36}" name="Ballast" dataDxfId="41"/>
    <tableColumn id="64" xr3:uid="{58B2CF83-47E2-4858-8782-35231594CFD7}" name="Natural Sand" dataDxfId="40"/>
    <tableColumn id="66" xr3:uid="{D1B55125-EC28-43C3-8B06-086BC71FBD08}" name="RipRap" dataDxfId="39"/>
    <tableColumn id="67" xr3:uid="{FCAE4CF4-2C7F-4AC9-B47A-6877EF631379}" name="Topsoil" dataDxfId="38"/>
    <tableColumn id="70" xr3:uid="{A2E035B7-B331-4FB5-98B5-A1692781DB84}" name="Basalt" dataDxfId="37"/>
    <tableColumn id="50" xr3:uid="{D5453C57-B318-4EC2-ABF0-0E9700F4173E}" name="Cement" dataDxfId="36">
      <calculatedColumnFormula>IF(Cement_Supplier="Golden Bay Cement",BD7,BE7)</calculatedColumnFormula>
    </tableColumn>
    <tableColumn id="51" xr3:uid="{9BB5D226-4E72-4B06-9C56-EF24D72A28DD}" name="GBC Cement" dataDxfId="35"/>
    <tableColumn id="52" xr3:uid="{9505ADAA-9EB1-4FAF-A129-198DFF7E4C50}" name="Ultracem Cement" dataDxfId="34"/>
    <tableColumn id="71" xr3:uid="{4BF72B43-6F27-4381-82FD-DFEC300C0558}" name="Portland Cement" dataDxfId="33"/>
    <tableColumn id="43" xr3:uid="{2DF846BE-D80E-4289-A681-AF3AB80BF9A2}" name="Concrete" dataDxfId="32">
      <calculatedColumnFormula>'Dynamic Materials'!V16</calculatedColumnFormula>
    </tableColumn>
    <tableColumn id="17" xr3:uid="{8EE50B1F-8F75-4A60-8401-D02D67251A4D}" name="Concrete (Lean Mix)" dataDxfId="31"/>
    <tableColumn id="44" xr3:uid="{0CAB02EF-9AEF-4897-8242-1542E777A613}" name="Recycled Crushed Concrete" dataDxfId="30">
      <calculatedColumnFormula array="1">IFERROR(INDEX(Electricity_projection,MATCH($B7&amp;$A7,INDEX(Electricity_projection,0,3),0),MATCH(YEAR(TODAY()),Timeline_elec_projec,0)+3)*INDEX(Recyc_mat_energy_input,MATCH(BI$1,'Data Entry'!$B$91:$B$96,0),1)+Diesel_density*INDEX(Recyc_mat_energy_input,MATCH(BI$1,'Data Entry'!$B$91:$B$96,0),2)*INDEX(Indicators,ROW(),MATCH("Diesel Combustion",Materials!$1:$1,0)), "")</calculatedColumnFormula>
    </tableColumn>
    <tableColumn id="69" xr3:uid="{60A4816B-AD48-44A5-81A4-19099C40093B}" name="Recycled Crushed Concrete2" dataDxfId="29"/>
    <tableColumn id="45" xr3:uid="{98C7A99A-AD72-4107-8F2F-4FA74093E7B1}" name="Recycled Asphalt Pavement (RAP)" dataDxfId="28">
      <calculatedColumnFormula array="1">IFERROR(INDEX(Electricity_projection,MATCH($B7&amp;$A7,INDEX(Electricity_projection,0,3),0),MATCH(YEAR(TODAY()),Timeline_elec_projec,0)+3)*INDEX(Recyc_mat_energy_input,MATCH(BK$1,'Data Entry'!$B$91:$B$96,0),1)+Diesel_density*INDEX(Recyc_mat_energy_input,MATCH(BK$1,'Data Entry'!$B$91:$B$96,0),2)*INDEX(Indicators,ROW(),MATCH("Diesel Combustion",Materials!$1:$1,0)), "")</calculatedColumnFormula>
    </tableColumn>
    <tableColumn id="46" xr3:uid="{57A6EDE9-EB4D-4777-9D14-8634798F7F54}" name="Reclaimed glass" dataDxfId="27">
      <calculatedColumnFormula array="1">IFERROR(INDEX(Electricity_projection,MATCH($B7&amp;$A7,INDEX(Electricity_projection,0,3),0),MATCH(YEAR(TODAY()),Timeline_elec_projec,0)+3)*INDEX(Recyc_mat_energy_input,MATCH(BL$1,'Data Entry'!$B$91:$B$96,0),1)+Diesel_density*INDEX(Recyc_mat_energy_input,MATCH(BL$1,'Data Entry'!$B$91:$B$96,0),2)*INDEX(Indicators,ROW(),MATCH("Diesel Combustion",Materials!$1:$1,0)), "")</calculatedColumnFormula>
    </tableColumn>
    <tableColumn id="68" xr3:uid="{AE60E5CB-3DCB-4865-A195-F5946F2A3CE7}" name="Recycled Crushed Glass" dataDxfId="26"/>
    <tableColumn id="40" xr3:uid="{46AE93D8-B688-4612-8191-092007942C46}" name="Steel Reinforcing (Rebar)" dataDxfId="25">
      <calculatedColumnFormula>IF(Steel_supplier="Pacific Steel",Material_Impacts[[#This Row],[Pacific Steel]],Material_Impacts[[#This Row],[Infrabuild]])</calculatedColumnFormula>
    </tableColumn>
    <tableColumn id="16" xr3:uid="{58F8717B-0D09-4CFB-838C-B36A123377E9}" name="Pacific Steel" dataDxfId="24"/>
    <tableColumn id="53" xr3:uid="{D39FBA56-0442-4A0A-9E90-6361B23CA90F}" name="Infrabuild" dataDxfId="23"/>
    <tableColumn id="57" xr3:uid="{0F36C233-AC1D-4B75-A828-8112828B7FCF}" name="Petrol Production" dataDxfId="22"/>
    <tableColumn id="58" xr3:uid="{E73DC1AE-08EE-4EE8-965F-8394F754554D}" name="Diesel Production" dataDxfId="21"/>
    <tableColumn id="42" xr3:uid="{4D465BEF-8497-4A32-BC22-67BEC7D94A30}" name="Custom Material 1" dataDxfId="20"/>
    <tableColumn id="41" xr3:uid="{06FB076F-8ADF-4A4A-94D7-D0470113EC21}" name="Custom Material 2" dataDxfId="19"/>
    <tableColumn id="54" xr3:uid="{16BA6206-6176-47C2-B728-0C55B736260E}" name="Custom Material 3" dataDxfId="18"/>
    <tableColumn id="62" xr3:uid="{55BC26E0-15E7-44F2-AAF3-6263496B519E}" name="0" dataDxfId="1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DAAC990-0A15-47BB-9B64-17E1902314B9}" name="Table8" displayName="Table8" ref="A4:H11" totalsRowShown="0" headerRowDxfId="16" tableBorderDxfId="15">
  <autoFilter ref="A4:H11" xr:uid="{DD40A4B6-4C6E-45F1-8C52-67E6756C28F9}"/>
  <tableColumns count="8">
    <tableColumn id="1" xr3:uid="{CDD3F342-13EC-485F-B658-FD47592EFE76}" name="Deflection PVI - Primary"/>
    <tableColumn id="2" xr3:uid="{ECB9FA17-BB65-4D80-B7B5-C3F44457B204}" name="Forcast fleet" dataDxfId="14"/>
    <tableColumn id="3" xr3:uid="{8CC0A34B-7FE6-4AF1-BA5A-92464EC1C6CD}" name="Axle weight transformation" dataDxfId="13"/>
    <tableColumn id="4" xr3:uid="{7DF75889-9705-4033-A762-2B18D5E4467A}" name="Excess energy due to pavement deflection, for each vehicle type (MJ/km)" dataDxfId="12">
      <calculatedColumnFormula>0.2*Traffic_flow*((speed_limit/100)^2)*Table8[[#This Row],[Axle weight transformation]]</calculatedColumnFormula>
    </tableColumn>
    <tableColumn id="5" xr3:uid="{035B59E4-ECDE-462A-B900-C477DCAF8FD3}" name="Driving efficiency of vehicle (electricity includes losses due to charging)" dataDxfId="11"/>
    <tableColumn id="6" xr3:uid="{77EBDE87-592B-416E-847E-E95B2B918668}" name="Daily excess energy required due to pavement deflection, for each vehicle type across the project accounting for operating efficiciencies (MJ/day)" dataDxfId="10">
      <calculatedColumnFormula>Table8[[#This Row],[Excess energy due to pavement deflection, for each vehicle type (MJ/km)]]*P_Length/1000/Table8[[#This Row],[Driving efficiency of vehicle (electricity includes losses due to charging)]]</calculatedColumnFormula>
    </tableColumn>
    <tableColumn id="7" xr3:uid="{42C01A15-8C5A-48CD-B8F5-515BB724AEEA}" name="Annual excess energy required due to pavement deflection, for each vehicle type across the project accounting for operating efficiciencies (MJ/year)" dataDxfId="9">
      <calculatedColumnFormula>Table8[[#This Row],[Daily excess energy required due to pavement deflection, for each vehicle type across the project accounting for operating efficiciencies (MJ/day)]]*365</calculatedColumnFormula>
    </tableColumn>
    <tableColumn id="8" xr3:uid="{94CD6E64-C62D-454A-9A7A-CD6BB7DD3489}" name="Energy conversion factor (MJ/kg)" dataDxfId="8"/>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64" dT="2023-12-06T05:48:46.80" personId="{185B92C5-056B-4196-92E4-3BA7AA19FE54}" id="{1A4CD7B4-A4A9-4EC2-B76E-EC3CF05BA9DC}">
    <text>This is color code not considered before and hasn't been characterised</text>
  </threadedComment>
  <threadedComment ref="G183" dT="2023-12-06T05:49:39.40" personId="{185B92C5-056B-4196-92E4-3BA7AA19FE54}" id="{B15F5098-1CE2-493F-B0DE-14B835F0BA41}">
    <text>The cells below with red writing, mean something special?</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tandfonline.com/doi/pdf/10.3155/1047-3289.59.7.857" TargetMode="External"/></Relationships>
</file>

<file path=xl/worksheets/_rels/sheet12.xml.rels><?xml version="1.0" encoding="UTF-8" standalone="yes"?>
<Relationships xmlns="http://schemas.openxmlformats.org/package/2006/relationships"><Relationship Id="rId8" Type="http://schemas.openxmlformats.org/officeDocument/2006/relationships/table" Target="../tables/table16.xml"/><Relationship Id="rId13" Type="http://schemas.openxmlformats.org/officeDocument/2006/relationships/table" Target="../tables/table21.xml"/><Relationship Id="rId3" Type="http://schemas.openxmlformats.org/officeDocument/2006/relationships/table" Target="../tables/table11.xml"/><Relationship Id="rId7" Type="http://schemas.openxmlformats.org/officeDocument/2006/relationships/table" Target="../tables/table15.xml"/><Relationship Id="rId12" Type="http://schemas.openxmlformats.org/officeDocument/2006/relationships/table" Target="../tables/table20.xml"/><Relationship Id="rId17" Type="http://schemas.openxmlformats.org/officeDocument/2006/relationships/table" Target="../tables/table25.xml"/><Relationship Id="rId2" Type="http://schemas.openxmlformats.org/officeDocument/2006/relationships/table" Target="../tables/table10.xml"/><Relationship Id="rId16" Type="http://schemas.openxmlformats.org/officeDocument/2006/relationships/table" Target="../tables/table24.xml"/><Relationship Id="rId1" Type="http://schemas.openxmlformats.org/officeDocument/2006/relationships/printerSettings" Target="../printerSettings/printerSettings11.bin"/><Relationship Id="rId6" Type="http://schemas.openxmlformats.org/officeDocument/2006/relationships/table" Target="../tables/table14.xml"/><Relationship Id="rId11" Type="http://schemas.openxmlformats.org/officeDocument/2006/relationships/table" Target="../tables/table19.xml"/><Relationship Id="rId5" Type="http://schemas.openxmlformats.org/officeDocument/2006/relationships/table" Target="../tables/table13.xml"/><Relationship Id="rId15" Type="http://schemas.openxmlformats.org/officeDocument/2006/relationships/table" Target="../tables/table23.xml"/><Relationship Id="rId10" Type="http://schemas.openxmlformats.org/officeDocument/2006/relationships/table" Target="../tables/table18.xml"/><Relationship Id="rId4" Type="http://schemas.openxmlformats.org/officeDocument/2006/relationships/table" Target="../tables/table12.xml"/><Relationship Id="rId9" Type="http://schemas.openxmlformats.org/officeDocument/2006/relationships/table" Target="../tables/table17.xml"/><Relationship Id="rId14" Type="http://schemas.openxmlformats.org/officeDocument/2006/relationships/table" Target="../tables/table2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microsoft.com/office/2006/relationships/xlExternalLinkPath/xlPathMissing" Target="695-Life-cycle-assessment-of-pavements-development-of-a-calculator%20(shaz)%20(3).xlsx"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table" Target="../tables/table7.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87281-9F69-40E8-BAFC-9D2242ED4833}">
  <sheetPr codeName="Sheet9">
    <tabColor rgb="FF023A5C"/>
  </sheetPr>
  <dimension ref="A1:S53"/>
  <sheetViews>
    <sheetView tabSelected="1" zoomScale="70" zoomScaleNormal="70" workbookViewId="0">
      <selection activeCell="B17" sqref="B17:I17"/>
    </sheetView>
  </sheetViews>
  <sheetFormatPr defaultColWidth="0" defaultRowHeight="14.5" x14ac:dyDescent="0.35"/>
  <cols>
    <col min="1" max="1" width="3.453125" customWidth="1"/>
    <col min="2" max="2" width="22.453125" customWidth="1"/>
    <col min="3" max="3" width="31.26953125" customWidth="1"/>
    <col min="4" max="8" width="8.7265625" customWidth="1"/>
    <col min="9" max="9" width="85.7265625" customWidth="1"/>
    <col min="10" max="10" width="23.81640625" customWidth="1"/>
    <col min="11" max="19" width="0" hidden="1" customWidth="1"/>
    <col min="20" max="16384" width="8.7265625" hidden="1"/>
  </cols>
  <sheetData>
    <row r="1" spans="1:18" s="135" customFormat="1" ht="21" x14ac:dyDescent="0.5">
      <c r="A1" s="134" t="s">
        <v>0</v>
      </c>
    </row>
    <row r="2" spans="1:18" x14ac:dyDescent="0.35">
      <c r="A2" s="50"/>
      <c r="B2" s="50"/>
      <c r="C2" s="50"/>
      <c r="D2" s="50"/>
      <c r="E2" s="50"/>
      <c r="F2" s="50"/>
      <c r="G2" s="50"/>
      <c r="H2" s="50"/>
      <c r="I2" s="50"/>
      <c r="J2" s="50"/>
      <c r="K2" s="50"/>
      <c r="L2" s="50"/>
      <c r="M2" s="50"/>
      <c r="N2" s="50"/>
      <c r="O2" s="50"/>
      <c r="P2" s="50"/>
      <c r="Q2" s="50"/>
      <c r="R2" s="50"/>
    </row>
    <row r="3" spans="1:18" x14ac:dyDescent="0.35">
      <c r="A3" s="50"/>
      <c r="B3" s="50"/>
      <c r="C3" s="50"/>
      <c r="D3" s="50"/>
      <c r="E3" s="50"/>
      <c r="F3" s="50"/>
      <c r="G3" s="50"/>
      <c r="H3" s="50"/>
      <c r="I3" s="50"/>
      <c r="J3" s="50"/>
      <c r="K3" s="50"/>
      <c r="L3" s="50"/>
      <c r="M3" s="50"/>
      <c r="N3" s="50"/>
      <c r="O3" s="50"/>
      <c r="P3" s="50"/>
      <c r="Q3" s="50"/>
      <c r="R3" s="50"/>
    </row>
    <row r="4" spans="1:18" x14ac:dyDescent="0.35">
      <c r="A4" s="50"/>
      <c r="B4" s="50"/>
      <c r="C4" s="50"/>
      <c r="D4" s="50"/>
      <c r="E4" s="50"/>
      <c r="F4" s="50"/>
      <c r="G4" s="50"/>
      <c r="H4" s="50"/>
      <c r="I4" s="50"/>
      <c r="J4" s="50"/>
      <c r="K4" s="50"/>
      <c r="L4" s="50"/>
      <c r="M4" s="50"/>
      <c r="N4" s="50"/>
      <c r="O4" s="50"/>
      <c r="P4" s="50"/>
      <c r="Q4" s="50"/>
      <c r="R4" s="50"/>
    </row>
    <row r="5" spans="1:18" x14ac:dyDescent="0.35">
      <c r="A5" s="50"/>
      <c r="B5" s="50"/>
      <c r="C5" s="50"/>
      <c r="D5" s="50"/>
      <c r="E5" s="50"/>
      <c r="F5" s="50"/>
      <c r="G5" s="50"/>
      <c r="H5" s="50"/>
      <c r="I5" s="50"/>
      <c r="J5" s="50"/>
      <c r="K5" s="50"/>
      <c r="L5" s="50"/>
      <c r="M5" s="50"/>
      <c r="N5" s="50"/>
      <c r="O5" s="50"/>
      <c r="P5" s="50"/>
      <c r="Q5" s="50"/>
      <c r="R5" s="50"/>
    </row>
    <row r="6" spans="1:18" x14ac:dyDescent="0.35">
      <c r="A6" s="50"/>
      <c r="B6" s="50"/>
      <c r="C6" s="50"/>
      <c r="D6" s="50"/>
      <c r="E6" s="50"/>
      <c r="F6" s="50"/>
      <c r="G6" s="50"/>
      <c r="H6" s="50"/>
      <c r="I6" s="50"/>
      <c r="J6" s="50"/>
      <c r="K6" s="50"/>
      <c r="L6" s="50"/>
      <c r="M6" s="50"/>
      <c r="N6" s="50"/>
      <c r="O6" s="50"/>
      <c r="P6" s="50"/>
      <c r="Q6" s="50"/>
      <c r="R6" s="50"/>
    </row>
    <row r="7" spans="1:18" x14ac:dyDescent="0.35">
      <c r="A7" s="50"/>
      <c r="B7" s="50"/>
      <c r="C7" s="50"/>
      <c r="D7" s="50"/>
      <c r="E7" s="50"/>
      <c r="F7" s="50"/>
      <c r="G7" s="50"/>
      <c r="H7" s="50"/>
      <c r="I7" s="50"/>
      <c r="J7" s="50"/>
      <c r="K7" s="50"/>
      <c r="L7" s="50"/>
      <c r="M7" s="50"/>
      <c r="N7" s="50"/>
      <c r="O7" s="50"/>
      <c r="P7" s="50"/>
      <c r="Q7" s="50"/>
      <c r="R7" s="50"/>
    </row>
    <row r="8" spans="1:18" x14ac:dyDescent="0.35">
      <c r="A8" s="50"/>
      <c r="B8" s="50"/>
      <c r="C8" s="50"/>
      <c r="D8" s="50"/>
      <c r="E8" s="50"/>
      <c r="F8" s="50"/>
      <c r="G8" s="50"/>
      <c r="H8" s="50"/>
      <c r="I8" s="50"/>
      <c r="J8" s="50"/>
      <c r="K8" s="50"/>
      <c r="L8" s="50"/>
      <c r="M8" s="50"/>
      <c r="N8" s="50"/>
      <c r="O8" s="50"/>
      <c r="P8" s="50"/>
      <c r="Q8" s="50"/>
      <c r="R8" s="50"/>
    </row>
    <row r="9" spans="1:18" x14ac:dyDescent="0.35">
      <c r="A9" s="50"/>
      <c r="B9" s="50"/>
      <c r="C9" s="50"/>
      <c r="D9" s="50"/>
      <c r="E9" s="50"/>
      <c r="F9" s="50"/>
      <c r="G9" s="50"/>
      <c r="H9" s="50"/>
      <c r="I9" s="50"/>
      <c r="J9" s="50"/>
      <c r="K9" s="50"/>
      <c r="L9" s="50"/>
      <c r="M9" s="50"/>
      <c r="N9" s="50"/>
      <c r="O9" s="50"/>
      <c r="P9" s="50"/>
      <c r="Q9" s="50"/>
      <c r="R9" s="50"/>
    </row>
    <row r="10" spans="1:18" x14ac:dyDescent="0.35">
      <c r="A10" s="50"/>
      <c r="B10" s="50"/>
      <c r="C10" s="50"/>
      <c r="D10" s="50"/>
      <c r="E10" s="50"/>
      <c r="F10" s="50"/>
      <c r="G10" s="50"/>
      <c r="H10" s="50"/>
      <c r="I10" s="50"/>
      <c r="J10" s="50"/>
      <c r="K10" s="50"/>
      <c r="L10" s="50"/>
      <c r="M10" s="50"/>
      <c r="N10" s="50"/>
      <c r="O10" s="50"/>
      <c r="P10" s="50"/>
      <c r="Q10" s="50"/>
      <c r="R10" s="50"/>
    </row>
    <row r="11" spans="1:18" x14ac:dyDescent="0.35">
      <c r="A11" s="50"/>
      <c r="B11" s="50"/>
      <c r="C11" s="50"/>
      <c r="D11" s="50"/>
      <c r="E11" s="50"/>
      <c r="F11" s="50"/>
      <c r="G11" s="50"/>
      <c r="H11" s="50"/>
      <c r="I11" s="50"/>
      <c r="J11" s="50"/>
      <c r="K11" s="50"/>
      <c r="L11" s="50"/>
      <c r="M11" s="50"/>
      <c r="N11" s="50"/>
      <c r="O11" s="50"/>
      <c r="P11" s="50"/>
      <c r="Q11" s="50"/>
      <c r="R11" s="50"/>
    </row>
    <row r="12" spans="1:18" x14ac:dyDescent="0.35">
      <c r="A12" s="50"/>
      <c r="B12" s="647" t="s">
        <v>1</v>
      </c>
      <c r="C12" s="647"/>
      <c r="D12" s="647"/>
      <c r="E12" s="647"/>
      <c r="F12" s="647"/>
      <c r="G12" s="647"/>
      <c r="H12" s="647"/>
      <c r="I12" s="647"/>
      <c r="J12" s="50"/>
      <c r="K12" s="50"/>
      <c r="L12" s="50"/>
      <c r="M12" s="50"/>
      <c r="N12" s="50"/>
      <c r="O12" s="50"/>
      <c r="P12" s="50"/>
      <c r="Q12" s="50"/>
      <c r="R12" s="50"/>
    </row>
    <row r="13" spans="1:18" x14ac:dyDescent="0.35">
      <c r="A13" s="50"/>
      <c r="B13" s="50"/>
      <c r="C13" s="50"/>
      <c r="D13" s="50"/>
      <c r="E13" s="50"/>
      <c r="F13" s="50"/>
      <c r="G13" s="50"/>
      <c r="H13" s="50"/>
      <c r="I13" s="50"/>
      <c r="J13" s="50"/>
      <c r="K13" s="50"/>
      <c r="L13" s="50"/>
      <c r="M13" s="50"/>
      <c r="N13" s="50"/>
      <c r="O13" s="50"/>
      <c r="P13" s="50"/>
      <c r="Q13" s="50"/>
      <c r="R13" s="50"/>
    </row>
    <row r="14" spans="1:18" s="135" customFormat="1" ht="21" x14ac:dyDescent="0.5">
      <c r="A14" s="134" t="s">
        <v>2</v>
      </c>
    </row>
    <row r="15" spans="1:18" ht="106.5" customHeight="1" x14ac:dyDescent="0.35">
      <c r="A15" s="50"/>
      <c r="B15" s="648" t="s">
        <v>3</v>
      </c>
      <c r="C15" s="648"/>
      <c r="D15" s="648"/>
      <c r="E15" s="648"/>
      <c r="F15" s="648"/>
      <c r="G15" s="648"/>
      <c r="H15" s="648"/>
      <c r="I15" s="648"/>
      <c r="J15" s="50"/>
      <c r="K15" s="50"/>
      <c r="L15" s="50"/>
      <c r="M15" s="50"/>
      <c r="N15" s="50"/>
      <c r="O15" s="50"/>
      <c r="P15" s="50"/>
      <c r="Q15" s="50"/>
      <c r="R15" s="50"/>
    </row>
    <row r="16" spans="1:18" ht="13.5" customHeight="1" x14ac:dyDescent="0.35">
      <c r="A16" s="50"/>
      <c r="B16" s="190"/>
      <c r="C16" s="190"/>
      <c r="D16" s="190"/>
      <c r="E16" s="190"/>
      <c r="F16" s="190"/>
      <c r="G16" s="190"/>
      <c r="H16" s="190"/>
      <c r="I16" s="190"/>
      <c r="J16" s="50"/>
      <c r="K16" s="50"/>
      <c r="L16" s="50"/>
      <c r="M16" s="50"/>
      <c r="N16" s="50"/>
      <c r="O16" s="50"/>
      <c r="P16" s="50"/>
      <c r="Q16" s="50"/>
      <c r="R16" s="50"/>
    </row>
    <row r="17" spans="1:18" ht="51" customHeight="1" x14ac:dyDescent="0.35">
      <c r="A17" s="50"/>
      <c r="B17" s="653" t="s">
        <v>4</v>
      </c>
      <c r="C17" s="653"/>
      <c r="D17" s="653"/>
      <c r="E17" s="653"/>
      <c r="F17" s="653"/>
      <c r="G17" s="653"/>
      <c r="H17" s="653"/>
      <c r="I17" s="653"/>
      <c r="J17" s="50"/>
      <c r="K17" s="50"/>
      <c r="L17" s="50"/>
      <c r="M17" s="50"/>
      <c r="N17" s="50"/>
      <c r="O17" s="50"/>
      <c r="P17" s="50"/>
      <c r="Q17" s="50"/>
      <c r="R17" s="50"/>
    </row>
    <row r="18" spans="1:18" x14ac:dyDescent="0.35">
      <c r="A18" s="50"/>
      <c r="B18" s="190"/>
      <c r="C18" s="190"/>
      <c r="D18" s="190"/>
      <c r="E18" s="190"/>
      <c r="F18" s="190"/>
      <c r="G18" s="190"/>
      <c r="H18" s="190"/>
      <c r="I18" s="190"/>
      <c r="J18" s="50"/>
      <c r="K18" s="50"/>
      <c r="L18" s="50"/>
      <c r="M18" s="50"/>
      <c r="N18" s="50"/>
      <c r="O18" s="50"/>
      <c r="P18" s="50"/>
      <c r="Q18" s="50"/>
      <c r="R18" s="50"/>
    </row>
    <row r="19" spans="1:18" x14ac:dyDescent="0.35">
      <c r="A19" s="50"/>
      <c r="B19" s="190"/>
      <c r="C19" s="190"/>
      <c r="D19" s="190"/>
      <c r="E19" s="190"/>
      <c r="F19" s="190"/>
      <c r="G19" s="190"/>
      <c r="H19" s="190"/>
      <c r="I19" s="190"/>
      <c r="J19" s="50"/>
      <c r="K19" s="50"/>
      <c r="L19" s="50"/>
      <c r="M19" s="50"/>
      <c r="N19" s="50"/>
      <c r="O19" s="50"/>
      <c r="P19" s="50"/>
      <c r="Q19" s="50"/>
      <c r="R19" s="50"/>
    </row>
    <row r="20" spans="1:18" s="135" customFormat="1" ht="21" x14ac:dyDescent="0.5">
      <c r="A20" s="134" t="s">
        <v>5</v>
      </c>
    </row>
    <row r="21" spans="1:18" x14ac:dyDescent="0.35">
      <c r="A21" s="50"/>
      <c r="B21" s="50"/>
      <c r="C21" s="50"/>
      <c r="D21" s="50"/>
      <c r="E21" s="50"/>
      <c r="F21" s="50"/>
      <c r="G21" s="50"/>
      <c r="H21" s="50"/>
      <c r="I21" s="50"/>
      <c r="J21" s="50"/>
      <c r="K21" s="50"/>
      <c r="L21" s="50"/>
      <c r="M21" s="50"/>
      <c r="N21" s="50"/>
      <c r="O21" s="50"/>
      <c r="P21" s="50"/>
      <c r="Q21" s="50"/>
      <c r="R21" s="50"/>
    </row>
    <row r="22" spans="1:18" x14ac:dyDescent="0.35">
      <c r="A22" s="50"/>
      <c r="B22" s="188" t="s">
        <v>6</v>
      </c>
      <c r="C22" s="189" t="s">
        <v>7</v>
      </c>
      <c r="D22" s="135"/>
      <c r="E22" s="135"/>
      <c r="F22" s="135"/>
      <c r="G22" s="135"/>
      <c r="H22" s="135"/>
      <c r="I22" s="182"/>
      <c r="J22" s="50"/>
      <c r="K22" s="50"/>
      <c r="L22" s="50"/>
      <c r="M22" s="50"/>
      <c r="N22" s="50"/>
      <c r="O22" s="50"/>
      <c r="P22" s="50"/>
      <c r="Q22" s="50"/>
      <c r="R22" s="50"/>
    </row>
    <row r="23" spans="1:18" x14ac:dyDescent="0.35">
      <c r="A23" s="50"/>
      <c r="B23" s="589" t="s">
        <v>8</v>
      </c>
      <c r="C23" s="649" t="s">
        <v>9</v>
      </c>
      <c r="D23" s="649"/>
      <c r="E23" s="649"/>
      <c r="F23" s="649"/>
      <c r="G23" s="649"/>
      <c r="H23" s="649"/>
      <c r="I23" s="650"/>
      <c r="J23" s="50"/>
      <c r="K23" s="50"/>
      <c r="L23" s="50"/>
      <c r="M23" s="50"/>
      <c r="N23" s="50"/>
      <c r="O23" s="50"/>
      <c r="P23" s="50"/>
      <c r="Q23" s="50"/>
      <c r="R23" s="50"/>
    </row>
    <row r="24" spans="1:18" ht="29" x14ac:dyDescent="0.35">
      <c r="A24" s="50"/>
      <c r="B24" s="590" t="s">
        <v>10</v>
      </c>
      <c r="C24" s="651" t="s">
        <v>11</v>
      </c>
      <c r="D24" s="651"/>
      <c r="E24" s="651"/>
      <c r="F24" s="651"/>
      <c r="G24" s="651"/>
      <c r="H24" s="651"/>
      <c r="I24" s="652"/>
      <c r="J24" s="50"/>
      <c r="K24" s="50"/>
      <c r="L24" s="50"/>
      <c r="M24" s="50"/>
      <c r="N24" s="50"/>
      <c r="O24" s="50"/>
      <c r="P24" s="50"/>
      <c r="Q24" s="50"/>
      <c r="R24" s="50"/>
    </row>
    <row r="25" spans="1:18" x14ac:dyDescent="0.35">
      <c r="A25" s="50"/>
      <c r="B25" s="590" t="s">
        <v>12</v>
      </c>
      <c r="C25" s="651" t="s">
        <v>13</v>
      </c>
      <c r="D25" s="651"/>
      <c r="E25" s="651"/>
      <c r="F25" s="651"/>
      <c r="G25" s="651"/>
      <c r="H25" s="651"/>
      <c r="I25" s="652"/>
      <c r="J25" s="50"/>
      <c r="K25" s="50"/>
      <c r="L25" s="50"/>
      <c r="M25" s="50"/>
      <c r="N25" s="50"/>
      <c r="O25" s="50"/>
      <c r="P25" s="50"/>
      <c r="Q25" s="50"/>
      <c r="R25" s="50"/>
    </row>
    <row r="26" spans="1:18" ht="29" x14ac:dyDescent="0.35">
      <c r="A26" s="50"/>
      <c r="B26" s="591" t="s">
        <v>14</v>
      </c>
      <c r="C26" s="651" t="s">
        <v>15</v>
      </c>
      <c r="D26" s="651"/>
      <c r="E26" s="651"/>
      <c r="F26" s="651"/>
      <c r="G26" s="651"/>
      <c r="H26" s="651"/>
      <c r="I26" s="652"/>
      <c r="J26" s="50"/>
      <c r="K26" s="50"/>
      <c r="L26" s="50"/>
      <c r="M26" s="50"/>
      <c r="N26" s="50"/>
      <c r="O26" s="50"/>
      <c r="P26" s="50"/>
      <c r="Q26" s="50"/>
      <c r="R26" s="50"/>
    </row>
    <row r="27" spans="1:18" x14ac:dyDescent="0.35">
      <c r="A27" s="50"/>
      <c r="B27" s="591" t="s">
        <v>16</v>
      </c>
      <c r="C27" s="651" t="s">
        <v>17</v>
      </c>
      <c r="D27" s="651"/>
      <c r="E27" s="651"/>
      <c r="F27" s="651"/>
      <c r="G27" s="651"/>
      <c r="H27" s="651"/>
      <c r="I27" s="652"/>
      <c r="J27" s="50"/>
      <c r="K27" s="50"/>
      <c r="L27" s="50"/>
      <c r="M27" s="50"/>
      <c r="N27" s="50"/>
      <c r="O27" s="50"/>
      <c r="P27" s="50"/>
      <c r="Q27" s="50"/>
      <c r="R27" s="50"/>
    </row>
    <row r="28" spans="1:18" x14ac:dyDescent="0.35">
      <c r="A28" s="50"/>
      <c r="B28" s="591" t="s">
        <v>18</v>
      </c>
      <c r="C28" s="651" t="s">
        <v>19</v>
      </c>
      <c r="D28" s="651"/>
      <c r="E28" s="651"/>
      <c r="F28" s="651"/>
      <c r="G28" s="651"/>
      <c r="H28" s="651"/>
      <c r="I28" s="652"/>
      <c r="J28" s="50"/>
      <c r="K28" s="50"/>
      <c r="L28" s="50"/>
      <c r="M28" s="50"/>
      <c r="N28" s="50"/>
      <c r="O28" s="50"/>
      <c r="P28" s="50"/>
      <c r="Q28" s="50"/>
      <c r="R28" s="50"/>
    </row>
    <row r="29" spans="1:18" x14ac:dyDescent="0.35">
      <c r="A29" s="50"/>
      <c r="B29" s="591" t="s">
        <v>20</v>
      </c>
      <c r="C29" s="651" t="s">
        <v>21</v>
      </c>
      <c r="D29" s="651"/>
      <c r="E29" s="651"/>
      <c r="F29" s="651"/>
      <c r="G29" s="651"/>
      <c r="H29" s="651"/>
      <c r="I29" s="652"/>
      <c r="J29" s="50"/>
      <c r="K29" s="50"/>
      <c r="L29" s="50"/>
      <c r="M29" s="50"/>
      <c r="N29" s="50"/>
      <c r="O29" s="50"/>
      <c r="P29" s="50"/>
      <c r="Q29" s="50"/>
      <c r="R29" s="50"/>
    </row>
    <row r="30" spans="1:18" x14ac:dyDescent="0.35">
      <c r="A30" s="50"/>
      <c r="B30" s="591" t="s">
        <v>22</v>
      </c>
      <c r="C30" s="651" t="s">
        <v>23</v>
      </c>
      <c r="D30" s="651"/>
      <c r="E30" s="651"/>
      <c r="F30" s="651"/>
      <c r="G30" s="651"/>
      <c r="H30" s="651"/>
      <c r="I30" s="652"/>
      <c r="J30" s="50"/>
      <c r="K30" s="50"/>
      <c r="L30" s="50"/>
      <c r="M30" s="50"/>
      <c r="N30" s="50"/>
      <c r="O30" s="50"/>
      <c r="P30" s="50"/>
      <c r="Q30" s="50"/>
      <c r="R30" s="50"/>
    </row>
    <row r="31" spans="1:18" x14ac:dyDescent="0.35">
      <c r="A31" s="50"/>
      <c r="B31" s="591" t="s">
        <v>24</v>
      </c>
      <c r="C31" s="651" t="s">
        <v>25</v>
      </c>
      <c r="D31" s="651"/>
      <c r="E31" s="651"/>
      <c r="F31" s="651"/>
      <c r="G31" s="651"/>
      <c r="H31" s="651"/>
      <c r="I31" s="652"/>
      <c r="J31" s="50"/>
      <c r="K31" s="50"/>
      <c r="L31" s="50"/>
      <c r="M31" s="50"/>
      <c r="N31" s="50"/>
      <c r="O31" s="50"/>
      <c r="P31" s="50"/>
      <c r="Q31" s="50"/>
      <c r="R31" s="50"/>
    </row>
    <row r="32" spans="1:18" x14ac:dyDescent="0.35">
      <c r="B32" s="591" t="s">
        <v>26</v>
      </c>
      <c r="C32" s="651" t="s">
        <v>27</v>
      </c>
      <c r="D32" s="651"/>
      <c r="E32" s="651"/>
      <c r="F32" s="651"/>
      <c r="G32" s="651"/>
      <c r="H32" s="651"/>
      <c r="I32" s="652"/>
      <c r="J32" s="50"/>
    </row>
    <row r="33" spans="1:18" x14ac:dyDescent="0.35">
      <c r="B33" s="591" t="s">
        <v>28</v>
      </c>
      <c r="C33" s="651" t="s">
        <v>29</v>
      </c>
      <c r="D33" s="651"/>
      <c r="E33" s="651"/>
      <c r="F33" s="651"/>
      <c r="G33" s="651"/>
      <c r="H33" s="651"/>
      <c r="I33" s="652"/>
      <c r="J33" s="50"/>
    </row>
    <row r="34" spans="1:18" x14ac:dyDescent="0.35">
      <c r="B34" s="588" t="s">
        <v>30</v>
      </c>
      <c r="C34" s="646" t="s">
        <v>31</v>
      </c>
      <c r="D34" s="646"/>
      <c r="E34" s="646"/>
      <c r="F34" s="646"/>
      <c r="G34" s="646"/>
      <c r="H34" s="646"/>
      <c r="I34" s="646"/>
      <c r="J34" s="50"/>
    </row>
    <row r="35" spans="1:18" x14ac:dyDescent="0.35">
      <c r="A35" s="50"/>
      <c r="B35" s="50"/>
      <c r="C35" s="50"/>
      <c r="D35" s="50"/>
      <c r="E35" s="50"/>
      <c r="F35" s="50"/>
      <c r="G35" s="50"/>
      <c r="H35" s="50"/>
      <c r="I35" s="50"/>
      <c r="J35" s="50"/>
      <c r="K35" s="50"/>
      <c r="L35" s="50"/>
      <c r="M35" s="50"/>
      <c r="N35" s="50"/>
      <c r="O35" s="50"/>
      <c r="P35" s="50"/>
      <c r="Q35" s="50"/>
      <c r="R35" s="50"/>
    </row>
    <row r="36" spans="1:18" x14ac:dyDescent="0.35">
      <c r="A36" s="50"/>
      <c r="B36" s="50"/>
      <c r="C36" s="50"/>
      <c r="D36" s="50"/>
      <c r="E36" s="50"/>
      <c r="F36" s="50"/>
      <c r="G36" s="50"/>
      <c r="H36" s="50"/>
      <c r="I36" s="50"/>
      <c r="J36" s="50"/>
      <c r="K36" s="50"/>
      <c r="L36" s="50"/>
      <c r="M36" s="50"/>
      <c r="N36" s="50"/>
      <c r="O36" s="50"/>
      <c r="P36" s="50"/>
      <c r="Q36" s="50"/>
      <c r="R36" s="50"/>
    </row>
    <row r="37" spans="1:18" x14ac:dyDescent="0.35">
      <c r="A37" s="50"/>
      <c r="B37" s="50"/>
      <c r="C37" s="50"/>
      <c r="D37" s="50"/>
      <c r="E37" s="50"/>
      <c r="F37" s="50"/>
      <c r="G37" s="50"/>
      <c r="H37" s="50"/>
      <c r="I37" s="50"/>
      <c r="J37" s="50"/>
      <c r="K37" s="50"/>
      <c r="L37" s="50"/>
      <c r="M37" s="50"/>
      <c r="N37" s="50"/>
      <c r="O37" s="50"/>
      <c r="P37" s="50"/>
      <c r="Q37" s="50"/>
      <c r="R37" s="50"/>
    </row>
    <row r="38" spans="1:18" x14ac:dyDescent="0.35">
      <c r="A38" s="50"/>
      <c r="B38" s="50"/>
      <c r="C38" s="50"/>
      <c r="D38" s="50"/>
      <c r="E38" s="50"/>
      <c r="F38" s="50"/>
      <c r="G38" s="50"/>
      <c r="H38" s="50"/>
      <c r="I38" s="50"/>
      <c r="J38" s="50"/>
      <c r="K38" s="50"/>
      <c r="L38" s="50"/>
      <c r="M38" s="50"/>
      <c r="N38" s="50"/>
      <c r="O38" s="50"/>
      <c r="P38" s="50"/>
      <c r="Q38" s="50"/>
      <c r="R38" s="50"/>
    </row>
    <row r="39" spans="1:18" x14ac:dyDescent="0.35">
      <c r="A39" s="50"/>
      <c r="B39" s="50"/>
      <c r="C39" s="50"/>
      <c r="D39" s="50"/>
      <c r="E39" s="50"/>
      <c r="F39" s="50"/>
      <c r="G39" s="50"/>
      <c r="H39" s="50"/>
      <c r="I39" s="50"/>
      <c r="J39" s="50"/>
      <c r="K39" s="50"/>
      <c r="L39" s="50"/>
      <c r="M39" s="50"/>
      <c r="N39" s="50"/>
      <c r="O39" s="50"/>
      <c r="P39" s="50"/>
    </row>
    <row r="40" spans="1:18" x14ac:dyDescent="0.35">
      <c r="A40" s="50"/>
      <c r="B40" s="50"/>
      <c r="C40" s="50"/>
      <c r="D40" s="50"/>
      <c r="E40" s="50"/>
      <c r="F40" s="50"/>
      <c r="G40" s="50"/>
      <c r="H40" s="50"/>
      <c r="I40" s="50"/>
      <c r="J40" s="50"/>
      <c r="K40" s="50"/>
      <c r="L40" s="50"/>
      <c r="M40" s="50"/>
      <c r="N40" s="50"/>
      <c r="O40" s="50"/>
      <c r="P40" s="50"/>
    </row>
    <row r="41" spans="1:18" x14ac:dyDescent="0.35">
      <c r="A41" s="50"/>
      <c r="B41" s="50"/>
      <c r="C41" s="50"/>
      <c r="D41" s="50"/>
      <c r="E41" s="50"/>
      <c r="F41" s="50"/>
      <c r="G41" s="50"/>
      <c r="H41" s="50"/>
      <c r="I41" s="50"/>
      <c r="J41" s="50"/>
      <c r="K41" s="50"/>
      <c r="L41" s="50"/>
      <c r="M41" s="50"/>
      <c r="N41" s="50"/>
      <c r="O41" s="50"/>
      <c r="P41" s="50"/>
    </row>
    <row r="42" spans="1:18" x14ac:dyDescent="0.35">
      <c r="A42" s="50"/>
      <c r="B42" s="50"/>
      <c r="C42" s="50"/>
      <c r="D42" s="50"/>
      <c r="E42" s="50"/>
      <c r="F42" s="50"/>
      <c r="G42" s="50"/>
      <c r="H42" s="50"/>
      <c r="I42" s="50"/>
      <c r="J42" s="50"/>
      <c r="K42" s="50"/>
      <c r="L42" s="50"/>
      <c r="M42" s="50"/>
      <c r="N42" s="50"/>
      <c r="O42" s="50"/>
      <c r="P42" s="50"/>
    </row>
    <row r="43" spans="1:18" x14ac:dyDescent="0.35">
      <c r="A43" s="50"/>
      <c r="B43" s="50"/>
      <c r="C43" s="50"/>
      <c r="D43" s="50"/>
      <c r="E43" s="50"/>
      <c r="F43" s="50"/>
      <c r="G43" s="50"/>
      <c r="H43" s="50"/>
      <c r="I43" s="50"/>
      <c r="J43" s="50"/>
      <c r="K43" s="50"/>
      <c r="L43" s="50"/>
      <c r="M43" s="50"/>
      <c r="N43" s="50"/>
      <c r="O43" s="50"/>
      <c r="P43" s="50"/>
    </row>
    <row r="44" spans="1:18" x14ac:dyDescent="0.35">
      <c r="A44" s="50"/>
      <c r="B44" s="50"/>
      <c r="C44" s="50"/>
      <c r="D44" s="50"/>
      <c r="E44" s="50"/>
      <c r="F44" s="50"/>
      <c r="G44" s="50"/>
      <c r="H44" s="50"/>
      <c r="I44" s="50"/>
      <c r="J44" s="50"/>
      <c r="K44" s="50"/>
      <c r="L44" s="50"/>
      <c r="M44" s="50"/>
      <c r="N44" s="50"/>
      <c r="O44" s="50"/>
      <c r="P44" s="50"/>
    </row>
    <row r="45" spans="1:18" x14ac:dyDescent="0.35">
      <c r="A45" s="50"/>
      <c r="B45" s="50"/>
      <c r="C45" s="50"/>
      <c r="D45" s="50"/>
      <c r="E45" s="50"/>
      <c r="F45" s="50"/>
      <c r="G45" s="50"/>
      <c r="H45" s="50"/>
      <c r="I45" s="50"/>
      <c r="J45" s="50"/>
      <c r="K45" s="50"/>
      <c r="L45" s="50"/>
      <c r="M45" s="50"/>
      <c r="N45" s="50"/>
      <c r="O45" s="50"/>
      <c r="P45" s="50"/>
    </row>
    <row r="46" spans="1:18" x14ac:dyDescent="0.35">
      <c r="A46" s="50"/>
      <c r="B46" s="50"/>
      <c r="C46" s="50"/>
      <c r="D46" s="50"/>
      <c r="E46" s="50"/>
      <c r="F46" s="50"/>
      <c r="G46" s="50"/>
      <c r="H46" s="50"/>
      <c r="I46" s="50"/>
      <c r="J46" s="50"/>
      <c r="K46" s="50"/>
      <c r="L46" s="50"/>
      <c r="M46" s="50"/>
      <c r="N46" s="50"/>
      <c r="O46" s="50"/>
      <c r="P46" s="50"/>
    </row>
    <row r="47" spans="1:18" x14ac:dyDescent="0.35">
      <c r="A47" s="50"/>
      <c r="B47" s="50"/>
      <c r="C47" s="50"/>
      <c r="D47" s="50"/>
      <c r="E47" s="50"/>
      <c r="F47" s="50"/>
      <c r="G47" s="50"/>
      <c r="H47" s="50"/>
      <c r="I47" s="50"/>
      <c r="J47" s="50"/>
      <c r="K47" s="50"/>
      <c r="L47" s="50"/>
      <c r="M47" s="50"/>
      <c r="N47" s="50"/>
      <c r="O47" s="50"/>
      <c r="P47" s="50"/>
    </row>
    <row r="48" spans="1:18" x14ac:dyDescent="0.35">
      <c r="A48" s="50"/>
      <c r="B48" s="50"/>
      <c r="C48" s="50"/>
      <c r="D48" s="50"/>
      <c r="E48" s="50"/>
      <c r="F48" s="50"/>
      <c r="G48" s="50"/>
      <c r="H48" s="50"/>
      <c r="I48" s="50"/>
      <c r="J48" s="50"/>
      <c r="K48" s="50"/>
      <c r="L48" s="50"/>
      <c r="M48" s="50"/>
      <c r="N48" s="50"/>
      <c r="O48" s="50"/>
      <c r="P48" s="50"/>
    </row>
    <row r="49" spans="1:16" x14ac:dyDescent="0.35">
      <c r="A49" s="50"/>
      <c r="B49" s="50"/>
      <c r="C49" s="50"/>
      <c r="D49" s="50"/>
      <c r="E49" s="50"/>
      <c r="F49" s="50"/>
      <c r="G49" s="50"/>
      <c r="H49" s="50"/>
      <c r="I49" s="50"/>
      <c r="J49" s="50"/>
      <c r="K49" s="50"/>
      <c r="L49" s="50"/>
      <c r="M49" s="50"/>
      <c r="N49" s="50"/>
      <c r="O49" s="50"/>
      <c r="P49" s="50"/>
    </row>
    <row r="50" spans="1:16" x14ac:dyDescent="0.35">
      <c r="A50" s="50"/>
      <c r="B50" s="50"/>
      <c r="C50" s="50"/>
      <c r="D50" s="50"/>
      <c r="E50" s="50"/>
      <c r="F50" s="50"/>
      <c r="G50" s="50"/>
      <c r="H50" s="50"/>
      <c r="I50" s="50"/>
      <c r="J50" s="50"/>
    </row>
    <row r="51" spans="1:16" x14ac:dyDescent="0.35">
      <c r="A51" s="50"/>
      <c r="B51" s="50"/>
      <c r="C51" s="50"/>
      <c r="D51" s="50"/>
      <c r="E51" s="50"/>
      <c r="F51" s="50"/>
      <c r="G51" s="50"/>
      <c r="H51" s="50"/>
      <c r="I51" s="50"/>
      <c r="J51" s="50"/>
    </row>
    <row r="52" spans="1:16" x14ac:dyDescent="0.35">
      <c r="A52" s="50"/>
      <c r="B52" s="50"/>
      <c r="C52" s="50"/>
      <c r="D52" s="50"/>
      <c r="E52" s="50"/>
      <c r="F52" s="50"/>
      <c r="G52" s="50"/>
      <c r="H52" s="50"/>
      <c r="I52" s="50"/>
      <c r="J52" s="50"/>
    </row>
    <row r="53" spans="1:16" x14ac:dyDescent="0.35">
      <c r="A53" s="50"/>
      <c r="B53" s="50"/>
      <c r="C53" s="50"/>
      <c r="D53" s="50"/>
      <c r="E53" s="50"/>
      <c r="F53" s="50"/>
      <c r="G53" s="50"/>
      <c r="H53" s="50"/>
      <c r="I53" s="50"/>
      <c r="J53" s="50"/>
    </row>
  </sheetData>
  <mergeCells count="15">
    <mergeCell ref="C34:I34"/>
    <mergeCell ref="B12:I12"/>
    <mergeCell ref="B15:I15"/>
    <mergeCell ref="C23:I23"/>
    <mergeCell ref="C25:I25"/>
    <mergeCell ref="C24:I24"/>
    <mergeCell ref="B17:I17"/>
    <mergeCell ref="C32:I32"/>
    <mergeCell ref="C31:I31"/>
    <mergeCell ref="C26:I26"/>
    <mergeCell ref="C27:I27"/>
    <mergeCell ref="C29:I29"/>
    <mergeCell ref="C30:I30"/>
    <mergeCell ref="C28:I28"/>
    <mergeCell ref="C33:I3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7675B-637E-4BCC-86E2-5D673DF4E16E}">
  <sheetPr codeName="Sheet2">
    <tabColor theme="0" tint="-0.499984740745262"/>
  </sheetPr>
  <dimension ref="A1:CZ73"/>
  <sheetViews>
    <sheetView workbookViewId="0"/>
  </sheetViews>
  <sheetFormatPr defaultRowHeight="14.5" x14ac:dyDescent="0.35"/>
  <cols>
    <col min="1" max="1" width="16.54296875" bestFit="1" customWidth="1"/>
    <col min="2" max="2" width="56.1796875" bestFit="1" customWidth="1"/>
    <col min="3" max="3" width="20.81640625" customWidth="1"/>
  </cols>
  <sheetData>
    <row r="1" spans="1:35" x14ac:dyDescent="0.35">
      <c r="A1" t="s">
        <v>937</v>
      </c>
    </row>
    <row r="2" spans="1:35" ht="13.5" customHeight="1" x14ac:dyDescent="0.35"/>
    <row r="5" spans="1:35" x14ac:dyDescent="0.35">
      <c r="M5" s="4"/>
      <c r="N5" s="4"/>
      <c r="O5" s="4"/>
      <c r="P5" s="4"/>
      <c r="Q5" s="4"/>
      <c r="R5" s="4"/>
      <c r="S5" s="4"/>
      <c r="T5" s="4"/>
      <c r="U5" s="4"/>
      <c r="V5" s="4"/>
      <c r="W5" s="4"/>
      <c r="X5" s="4"/>
      <c r="Y5" s="4"/>
      <c r="Z5" s="4"/>
      <c r="AA5" s="4"/>
      <c r="AB5" s="4"/>
      <c r="AC5" s="4"/>
      <c r="AD5" s="4"/>
      <c r="AE5" s="4"/>
      <c r="AF5" s="4"/>
      <c r="AG5" s="4"/>
      <c r="AH5" s="4"/>
      <c r="AI5" s="4"/>
    </row>
    <row r="6" spans="1:35" x14ac:dyDescent="0.35">
      <c r="M6" s="35"/>
      <c r="N6" s="35"/>
      <c r="O6" s="35"/>
      <c r="P6" s="35"/>
      <c r="Q6" s="35"/>
      <c r="R6" s="35"/>
      <c r="S6" s="35"/>
      <c r="T6" s="35"/>
      <c r="U6" s="35"/>
      <c r="V6" s="35"/>
      <c r="W6" s="35"/>
      <c r="X6" s="35"/>
      <c r="Y6" s="35"/>
      <c r="Z6" s="35"/>
      <c r="AA6" s="35"/>
      <c r="AB6" s="35"/>
      <c r="AC6" s="35"/>
      <c r="AD6" s="35"/>
      <c r="AE6" s="35"/>
    </row>
    <row r="7" spans="1:35" x14ac:dyDescent="0.35">
      <c r="M7" s="35"/>
      <c r="N7" s="35"/>
      <c r="O7" s="35"/>
      <c r="P7" s="35"/>
      <c r="Q7" s="35"/>
      <c r="R7" s="35"/>
      <c r="S7" s="35"/>
      <c r="T7" s="35"/>
      <c r="U7" s="35"/>
      <c r="V7" s="35"/>
      <c r="W7" s="35"/>
      <c r="X7" s="35"/>
      <c r="Y7" s="35"/>
      <c r="Z7" s="35"/>
      <c r="AA7" s="35"/>
      <c r="AB7" s="35"/>
      <c r="AC7" s="35"/>
      <c r="AD7" s="35"/>
      <c r="AE7" s="35"/>
    </row>
    <row r="8" spans="1:35" x14ac:dyDescent="0.35">
      <c r="M8" s="35"/>
      <c r="N8" s="35"/>
      <c r="O8" s="35"/>
      <c r="P8" s="35"/>
      <c r="Q8" s="35"/>
      <c r="R8" s="35"/>
      <c r="S8" s="35"/>
      <c r="T8" s="35"/>
      <c r="U8" s="35"/>
      <c r="V8" s="35"/>
      <c r="W8" s="35"/>
      <c r="X8" s="35"/>
      <c r="Y8" s="35"/>
      <c r="Z8" s="35"/>
      <c r="AA8" s="35"/>
      <c r="AB8" s="35"/>
      <c r="AC8" s="35"/>
      <c r="AD8" s="35"/>
      <c r="AE8" s="35"/>
    </row>
    <row r="9" spans="1:35" x14ac:dyDescent="0.35">
      <c r="M9" s="35"/>
      <c r="N9" s="35"/>
      <c r="O9" s="35"/>
      <c r="P9" s="35"/>
      <c r="Q9" s="35"/>
      <c r="R9" s="35"/>
      <c r="S9" s="35"/>
      <c r="T9" s="35"/>
      <c r="U9" s="35"/>
      <c r="V9" s="35"/>
      <c r="W9" s="35"/>
      <c r="X9" s="35"/>
      <c r="Y9" s="35"/>
      <c r="Z9" s="35"/>
      <c r="AA9" s="35"/>
      <c r="AB9" s="35"/>
      <c r="AC9" s="35"/>
      <c r="AD9" s="35"/>
      <c r="AE9" s="35"/>
    </row>
    <row r="10" spans="1:35" x14ac:dyDescent="0.35">
      <c r="M10" s="35"/>
      <c r="N10" s="35"/>
      <c r="O10" s="35"/>
      <c r="P10" s="35"/>
      <c r="Q10" s="35"/>
      <c r="R10" s="35"/>
      <c r="S10" s="35"/>
      <c r="T10" s="35"/>
      <c r="U10" s="35"/>
      <c r="V10" s="35"/>
      <c r="W10" s="35"/>
      <c r="X10" s="35"/>
      <c r="Y10" s="35"/>
      <c r="Z10" s="35"/>
      <c r="AA10" s="35"/>
      <c r="AB10" s="35"/>
      <c r="AC10" s="35"/>
      <c r="AD10" s="35"/>
      <c r="AE10" s="35"/>
    </row>
    <row r="11" spans="1:35" x14ac:dyDescent="0.35">
      <c r="M11" s="35"/>
      <c r="N11" s="35"/>
      <c r="O11" s="35"/>
      <c r="P11" s="35"/>
      <c r="Q11" s="35"/>
      <c r="R11" s="35"/>
      <c r="S11" s="35"/>
      <c r="T11" s="35"/>
      <c r="U11" s="35"/>
      <c r="V11" s="35"/>
      <c r="W11" s="35"/>
      <c r="X11" s="35"/>
      <c r="Y11" s="35"/>
      <c r="Z11" s="35"/>
      <c r="AA11" s="35"/>
      <c r="AB11" s="35"/>
      <c r="AC11" s="35"/>
      <c r="AD11" s="35"/>
      <c r="AE11" s="35"/>
    </row>
    <row r="12" spans="1:35" x14ac:dyDescent="0.35">
      <c r="M12" s="35"/>
      <c r="N12" s="35"/>
      <c r="O12" s="35"/>
      <c r="P12" s="35"/>
      <c r="Q12" s="35"/>
      <c r="R12" s="35"/>
      <c r="S12" s="35"/>
      <c r="T12" s="35"/>
      <c r="U12" s="35"/>
      <c r="V12" s="35"/>
      <c r="W12" s="35"/>
      <c r="X12" s="35"/>
      <c r="Y12" s="35"/>
      <c r="Z12" s="35"/>
      <c r="AA12" s="35"/>
      <c r="AB12" s="35"/>
      <c r="AC12" s="35"/>
      <c r="AD12" s="35"/>
      <c r="AE12" s="35"/>
    </row>
    <row r="13" spans="1:35" x14ac:dyDescent="0.35">
      <c r="M13" s="35"/>
      <c r="N13" s="35"/>
      <c r="O13" s="35"/>
      <c r="P13" s="35"/>
      <c r="Q13" s="35"/>
      <c r="R13" s="35"/>
      <c r="S13" s="35"/>
      <c r="T13" s="35"/>
      <c r="U13" s="35"/>
      <c r="V13" s="35"/>
      <c r="W13" s="35"/>
      <c r="X13" s="35"/>
      <c r="Y13" s="35"/>
      <c r="Z13" s="35"/>
      <c r="AA13" s="35"/>
      <c r="AB13" s="35"/>
      <c r="AC13" s="35"/>
      <c r="AD13" s="35"/>
      <c r="AE13" s="35"/>
    </row>
    <row r="14" spans="1:35" x14ac:dyDescent="0.35">
      <c r="M14" s="35"/>
      <c r="N14" s="35"/>
      <c r="O14" s="35"/>
      <c r="P14" s="35"/>
      <c r="Q14" s="35"/>
      <c r="R14" s="35"/>
      <c r="S14" s="35"/>
      <c r="T14" s="35"/>
      <c r="U14" s="35"/>
      <c r="V14" s="35"/>
      <c r="W14" s="35"/>
      <c r="X14" s="35"/>
      <c r="Y14" s="35"/>
      <c r="Z14" s="35"/>
      <c r="AA14" s="35"/>
      <c r="AB14" s="35"/>
      <c r="AC14" s="35"/>
      <c r="AD14" s="35"/>
      <c r="AE14" s="35"/>
    </row>
    <row r="15" spans="1:35" x14ac:dyDescent="0.35">
      <c r="M15" s="35"/>
      <c r="N15" s="35"/>
      <c r="O15" s="35"/>
      <c r="P15" s="35"/>
      <c r="Q15" s="35"/>
      <c r="R15" s="35"/>
      <c r="S15" s="35"/>
      <c r="T15" s="35"/>
      <c r="U15" s="35"/>
      <c r="V15" s="35"/>
      <c r="W15" s="35"/>
      <c r="X15" s="35"/>
      <c r="Y15" s="35"/>
      <c r="Z15" s="35"/>
      <c r="AA15" s="35"/>
      <c r="AB15" s="35"/>
      <c r="AC15" s="35"/>
      <c r="AD15" s="35"/>
      <c r="AE15" s="35"/>
    </row>
    <row r="16" spans="1:35" x14ac:dyDescent="0.35">
      <c r="M16" s="35"/>
      <c r="N16" s="35"/>
      <c r="O16" s="35"/>
      <c r="P16" s="35"/>
      <c r="Q16" s="35"/>
      <c r="R16" s="35"/>
      <c r="S16" s="35"/>
      <c r="T16" s="35"/>
      <c r="U16" s="35"/>
      <c r="V16" s="35"/>
      <c r="W16" s="35"/>
      <c r="X16" s="35"/>
      <c r="Y16" s="35"/>
      <c r="Z16" s="35"/>
      <c r="AA16" s="35"/>
      <c r="AB16" s="35"/>
      <c r="AC16" s="35"/>
      <c r="AD16" s="35"/>
      <c r="AE16" s="35"/>
    </row>
    <row r="17" spans="1:104" x14ac:dyDescent="0.35">
      <c r="M17" s="35"/>
      <c r="N17" s="35"/>
      <c r="O17" s="35"/>
      <c r="P17" s="35"/>
      <c r="Q17" s="35"/>
      <c r="R17" s="35"/>
      <c r="S17" s="35"/>
      <c r="T17" s="35"/>
      <c r="U17" s="35"/>
      <c r="V17" s="35"/>
      <c r="W17" s="35"/>
      <c r="X17" s="35"/>
      <c r="Y17" s="35"/>
      <c r="Z17" s="35"/>
      <c r="AA17" s="35"/>
      <c r="AB17" s="35"/>
      <c r="AC17" s="35"/>
      <c r="AD17" s="35"/>
      <c r="AE17" s="35"/>
    </row>
    <row r="18" spans="1:104" x14ac:dyDescent="0.35">
      <c r="M18" s="35"/>
      <c r="N18" s="35"/>
      <c r="O18" s="35"/>
      <c r="P18" s="35"/>
      <c r="Q18" s="35"/>
      <c r="R18" s="35"/>
      <c r="S18" s="35"/>
      <c r="T18" s="35"/>
      <c r="U18" s="35"/>
      <c r="V18" s="35"/>
      <c r="W18" s="35"/>
      <c r="X18" s="35"/>
      <c r="Y18" s="35"/>
      <c r="Z18" s="35"/>
      <c r="AA18" s="35"/>
      <c r="AB18" s="35"/>
      <c r="AC18" s="35"/>
      <c r="AD18" s="35"/>
      <c r="AE18" s="35"/>
    </row>
    <row r="21" spans="1:104" x14ac:dyDescent="0.35">
      <c r="A21" s="2"/>
    </row>
    <row r="22" spans="1:104" x14ac:dyDescent="0.35">
      <c r="B22" s="23"/>
      <c r="C22" s="23"/>
    </row>
    <row r="23" spans="1:104" x14ac:dyDescent="0.35">
      <c r="A23" s="15"/>
      <c r="D23" s="4" t="s">
        <v>938</v>
      </c>
      <c r="AH23" s="3" t="s">
        <v>939</v>
      </c>
    </row>
    <row r="24" spans="1:104" x14ac:dyDescent="0.35">
      <c r="A24" s="4" t="s">
        <v>940</v>
      </c>
      <c r="B24" s="4" t="s">
        <v>941</v>
      </c>
      <c r="C24" s="4"/>
      <c r="D24" s="4">
        <v>2021</v>
      </c>
      <c r="E24" s="4">
        <v>2022</v>
      </c>
      <c r="F24" s="4">
        <v>2023</v>
      </c>
      <c r="G24" s="4">
        <v>2024</v>
      </c>
      <c r="H24" s="4">
        <v>2025</v>
      </c>
      <c r="I24" s="4">
        <v>2026</v>
      </c>
      <c r="J24" s="4">
        <v>2027</v>
      </c>
      <c r="K24" s="4">
        <v>2028</v>
      </c>
      <c r="L24" s="4">
        <v>2029</v>
      </c>
      <c r="M24" s="4">
        <v>2030</v>
      </c>
      <c r="N24" s="4">
        <v>2031</v>
      </c>
      <c r="O24" s="4">
        <v>2032</v>
      </c>
      <c r="P24" s="4">
        <v>2033</v>
      </c>
      <c r="Q24" s="4">
        <v>2034</v>
      </c>
      <c r="R24" s="4">
        <v>2035</v>
      </c>
      <c r="S24" s="4">
        <v>2036</v>
      </c>
      <c r="T24" s="4">
        <v>2037</v>
      </c>
      <c r="U24" s="4">
        <v>2038</v>
      </c>
      <c r="V24" s="4">
        <v>2039</v>
      </c>
      <c r="W24" s="4">
        <v>2040</v>
      </c>
      <c r="X24" s="4">
        <v>2041</v>
      </c>
      <c r="Y24" s="4">
        <v>2042</v>
      </c>
      <c r="Z24" s="4">
        <v>2043</v>
      </c>
      <c r="AA24" s="4">
        <v>2044</v>
      </c>
      <c r="AB24" s="4">
        <v>2045</v>
      </c>
      <c r="AC24" s="4">
        <v>2046</v>
      </c>
      <c r="AD24" s="4">
        <v>2047</v>
      </c>
      <c r="AE24" s="4">
        <v>2048</v>
      </c>
      <c r="AF24" s="4">
        <v>2049</v>
      </c>
      <c r="AG24" s="4">
        <v>2050</v>
      </c>
      <c r="AH24" s="44">
        <v>2051</v>
      </c>
      <c r="AI24" s="4">
        <v>2052</v>
      </c>
      <c r="AJ24" s="4">
        <v>2053</v>
      </c>
      <c r="AK24" s="4">
        <v>2054</v>
      </c>
      <c r="AL24" s="4">
        <v>2055</v>
      </c>
      <c r="AM24" s="4">
        <v>2056</v>
      </c>
      <c r="AN24" s="4">
        <v>2057</v>
      </c>
      <c r="AO24" s="4">
        <v>2058</v>
      </c>
      <c r="AP24" s="4">
        <v>2059</v>
      </c>
      <c r="AQ24" s="4">
        <v>2060</v>
      </c>
      <c r="AR24" s="4">
        <v>2061</v>
      </c>
      <c r="AS24" s="4">
        <v>2062</v>
      </c>
      <c r="AT24" s="4">
        <v>2063</v>
      </c>
      <c r="AU24" s="4">
        <v>2064</v>
      </c>
      <c r="AV24" s="4">
        <v>2065</v>
      </c>
      <c r="AW24" s="4">
        <v>2066</v>
      </c>
      <c r="AX24" s="4">
        <v>2067</v>
      </c>
      <c r="AY24" s="4">
        <v>2068</v>
      </c>
      <c r="AZ24" s="4">
        <v>2069</v>
      </c>
      <c r="BA24" s="4">
        <v>2070</v>
      </c>
      <c r="BB24" s="4">
        <v>2071</v>
      </c>
      <c r="BC24" s="4">
        <v>2072</v>
      </c>
      <c r="BD24" s="4">
        <v>2073</v>
      </c>
      <c r="BE24" s="4">
        <v>2074</v>
      </c>
      <c r="BF24" s="4">
        <v>2075</v>
      </c>
      <c r="BG24" s="4">
        <v>2076</v>
      </c>
      <c r="BH24" s="4">
        <v>2077</v>
      </c>
      <c r="BI24" s="4">
        <v>2078</v>
      </c>
      <c r="BJ24" s="4">
        <v>2079</v>
      </c>
      <c r="BK24" s="4">
        <v>2080</v>
      </c>
      <c r="BL24" s="4">
        <v>2081</v>
      </c>
      <c r="BM24" s="4">
        <v>2082</v>
      </c>
      <c r="BN24" s="4">
        <v>2083</v>
      </c>
      <c r="BO24" s="4">
        <v>2084</v>
      </c>
      <c r="BP24" s="4">
        <v>2085</v>
      </c>
      <c r="BQ24" s="4">
        <v>2086</v>
      </c>
      <c r="BR24" s="4">
        <v>2087</v>
      </c>
      <c r="BS24" s="4">
        <v>2088</v>
      </c>
      <c r="BT24" s="4">
        <v>2089</v>
      </c>
      <c r="BU24" s="4">
        <v>2090</v>
      </c>
      <c r="BV24" s="4">
        <v>2091</v>
      </c>
      <c r="BW24" s="4">
        <v>2092</v>
      </c>
      <c r="BX24" s="4">
        <v>2093</v>
      </c>
      <c r="BY24" s="4">
        <v>2094</v>
      </c>
      <c r="BZ24" s="4">
        <v>2095</v>
      </c>
      <c r="CA24" s="4">
        <v>2096</v>
      </c>
      <c r="CB24" s="4">
        <v>2097</v>
      </c>
      <c r="CC24" s="4">
        <v>2098</v>
      </c>
      <c r="CD24" s="4">
        <v>2099</v>
      </c>
      <c r="CE24" s="4">
        <v>2100</v>
      </c>
      <c r="CF24" s="4">
        <v>2101</v>
      </c>
      <c r="CG24" s="4">
        <v>2102</v>
      </c>
      <c r="CH24" s="4">
        <v>2103</v>
      </c>
      <c r="CI24" s="4">
        <v>2104</v>
      </c>
      <c r="CJ24" s="4">
        <v>2105</v>
      </c>
      <c r="CK24" s="4">
        <v>2106</v>
      </c>
      <c r="CL24" s="4">
        <v>2107</v>
      </c>
      <c r="CM24" s="4">
        <v>2108</v>
      </c>
      <c r="CN24" s="4">
        <v>2109</v>
      </c>
      <c r="CO24" s="4">
        <v>2110</v>
      </c>
      <c r="CP24" s="4">
        <v>2111</v>
      </c>
      <c r="CQ24" s="4">
        <v>2112</v>
      </c>
      <c r="CR24" s="4">
        <v>2113</v>
      </c>
      <c r="CS24" s="4">
        <v>2114</v>
      </c>
      <c r="CT24" s="4">
        <v>2115</v>
      </c>
      <c r="CU24" s="4">
        <v>2116</v>
      </c>
      <c r="CV24" s="4">
        <v>2117</v>
      </c>
      <c r="CW24" s="4">
        <v>2118</v>
      </c>
      <c r="CX24" s="4">
        <v>2119</v>
      </c>
      <c r="CY24" s="4">
        <v>2120</v>
      </c>
      <c r="CZ24" s="4">
        <v>2121</v>
      </c>
    </row>
    <row r="25" spans="1:104" x14ac:dyDescent="0.35">
      <c r="A25" s="26" t="s">
        <v>54</v>
      </c>
      <c r="B25" s="26" t="s">
        <v>382</v>
      </c>
      <c r="C25" s="26" t="str">
        <f>$A$25&amp;B25</f>
        <v>AttributionalGWP</v>
      </c>
      <c r="D25" s="193">
        <v>5.0833333333333328E-2</v>
      </c>
      <c r="E25" s="193">
        <v>4.9166666666666664E-2</v>
      </c>
      <c r="F25" s="193">
        <v>4.4166666666666667E-2</v>
      </c>
      <c r="G25" s="193">
        <v>4.4722222222222226E-2</v>
      </c>
      <c r="H25" s="193">
        <v>4.4722222222222226E-2</v>
      </c>
      <c r="I25" s="193">
        <v>4.3333333333333335E-2</v>
      </c>
      <c r="J25" s="193">
        <v>4.2777777777777776E-2</v>
      </c>
      <c r="K25" s="193">
        <v>4.2499999999999996E-2</v>
      </c>
      <c r="L25" s="193">
        <v>4.225385667571694E-2</v>
      </c>
      <c r="M25" s="193">
        <v>3.6937333191308611E-2</v>
      </c>
      <c r="N25" s="193">
        <v>3.4177731874013052E-2</v>
      </c>
      <c r="O25" s="193">
        <v>3.3922149169994725E-2</v>
      </c>
      <c r="P25" s="193">
        <v>3.3402650558288331E-2</v>
      </c>
      <c r="Q25" s="193">
        <v>3.202205177416028E-2</v>
      </c>
      <c r="R25" s="193">
        <v>3.1853568142263332E-2</v>
      </c>
      <c r="S25" s="193">
        <v>3.0707977330255831E-2</v>
      </c>
      <c r="T25" s="193">
        <v>3.0447174898282501E-2</v>
      </c>
      <c r="U25" s="193">
        <v>2.6518926599471804E-2</v>
      </c>
      <c r="V25" s="193">
        <v>2.46840054370915E-2</v>
      </c>
      <c r="W25" s="193">
        <v>2.4476326130564972E-2</v>
      </c>
      <c r="X25" s="193">
        <v>2.4143087420485498E-2</v>
      </c>
      <c r="Y25" s="193">
        <v>2.3757093426902416E-2</v>
      </c>
      <c r="Z25" s="193">
        <v>2.4119329730145498E-2</v>
      </c>
      <c r="AA25" s="193">
        <v>2.351218346106311E-2</v>
      </c>
      <c r="AB25" s="193">
        <v>2.375246755580622E-2</v>
      </c>
      <c r="AC25" s="193">
        <v>2.3662922918817612E-2</v>
      </c>
      <c r="AD25" s="193">
        <v>2.4154413095764139E-2</v>
      </c>
      <c r="AE25" s="193">
        <v>2.4132384533761028E-2</v>
      </c>
      <c r="AF25" s="193">
        <v>2.4360677620917304E-2</v>
      </c>
      <c r="AG25" s="193">
        <v>2.4572220941684389E-2</v>
      </c>
      <c r="AH25">
        <v>2.4572220941684389E-2</v>
      </c>
      <c r="AI25">
        <v>2.4572220941684389E-2</v>
      </c>
      <c r="AJ25">
        <v>2.4572220941684389E-2</v>
      </c>
      <c r="AK25">
        <v>2.4572220941684389E-2</v>
      </c>
      <c r="AL25">
        <v>2.4572220941684389E-2</v>
      </c>
      <c r="AM25">
        <v>2.4572220941684389E-2</v>
      </c>
      <c r="AN25">
        <v>2.4572220941684389E-2</v>
      </c>
      <c r="AO25">
        <v>2.4572220941684389E-2</v>
      </c>
      <c r="AP25">
        <v>2.4572220941684389E-2</v>
      </c>
      <c r="AQ25">
        <v>2.4572220941684389E-2</v>
      </c>
      <c r="AR25">
        <v>2.4572220941684389E-2</v>
      </c>
      <c r="AS25">
        <v>2.4572220941684389E-2</v>
      </c>
      <c r="AT25">
        <v>2.4572220941684389E-2</v>
      </c>
      <c r="AU25">
        <v>2.4572220941684389E-2</v>
      </c>
      <c r="AV25">
        <v>2.4572220941684389E-2</v>
      </c>
      <c r="AW25">
        <v>2.4572220941684389E-2</v>
      </c>
      <c r="AX25">
        <v>2.4572220941684389E-2</v>
      </c>
      <c r="AY25">
        <v>2.4572220941684389E-2</v>
      </c>
      <c r="AZ25">
        <v>2.4572220941684389E-2</v>
      </c>
      <c r="BA25">
        <v>2.4572220941684389E-2</v>
      </c>
      <c r="BB25">
        <v>2.4572220941684389E-2</v>
      </c>
      <c r="BC25">
        <v>2.4572220941684389E-2</v>
      </c>
      <c r="BD25">
        <v>2.4572220941684389E-2</v>
      </c>
      <c r="BE25">
        <v>2.4572220941684389E-2</v>
      </c>
      <c r="BF25">
        <v>2.4572220941684389E-2</v>
      </c>
      <c r="BG25">
        <v>2.4572220941684389E-2</v>
      </c>
      <c r="BH25">
        <v>2.4572220941684389E-2</v>
      </c>
      <c r="BI25">
        <v>2.4572220941684389E-2</v>
      </c>
      <c r="BJ25">
        <v>2.4572220941684389E-2</v>
      </c>
      <c r="BK25">
        <v>2.4572220941684389E-2</v>
      </c>
      <c r="BL25">
        <v>2.4572220941684389E-2</v>
      </c>
      <c r="BM25">
        <v>2.4572220941684389E-2</v>
      </c>
      <c r="BN25">
        <v>2.4572220941684389E-2</v>
      </c>
      <c r="BO25">
        <v>2.4572220941684389E-2</v>
      </c>
      <c r="BP25">
        <v>2.4572220941684389E-2</v>
      </c>
      <c r="BQ25">
        <v>2.4572220941684389E-2</v>
      </c>
      <c r="BR25">
        <v>2.4572220941684389E-2</v>
      </c>
      <c r="BS25">
        <v>2.4572220941684389E-2</v>
      </c>
      <c r="BT25">
        <v>2.4572220941684389E-2</v>
      </c>
      <c r="BU25">
        <v>2.4572220941684389E-2</v>
      </c>
      <c r="BV25">
        <v>2.4572220941684389E-2</v>
      </c>
      <c r="BW25">
        <v>2.4572220941684389E-2</v>
      </c>
      <c r="BX25">
        <v>2.4572220941684389E-2</v>
      </c>
      <c r="BY25">
        <v>2.4572220941684389E-2</v>
      </c>
      <c r="BZ25">
        <v>2.4572220941684389E-2</v>
      </c>
      <c r="CA25">
        <v>2.4572220941684389E-2</v>
      </c>
      <c r="CB25">
        <v>2.4572220941684389E-2</v>
      </c>
      <c r="CC25">
        <v>2.4572220941684389E-2</v>
      </c>
      <c r="CD25">
        <v>2.4572220941684389E-2</v>
      </c>
      <c r="CE25">
        <v>2.4572220941684389E-2</v>
      </c>
      <c r="CF25">
        <v>2.4572220941684389E-2</v>
      </c>
      <c r="CG25">
        <v>2.4572220941684389E-2</v>
      </c>
      <c r="CH25">
        <v>2.4572220941684389E-2</v>
      </c>
      <c r="CI25">
        <v>2.4572220941684389E-2</v>
      </c>
      <c r="CJ25">
        <v>2.4572220941684389E-2</v>
      </c>
      <c r="CK25">
        <v>2.4572220941684389E-2</v>
      </c>
      <c r="CL25">
        <v>2.4572220941684389E-2</v>
      </c>
      <c r="CM25">
        <v>2.4572220941684389E-2</v>
      </c>
      <c r="CN25">
        <v>2.4572220941684389E-2</v>
      </c>
      <c r="CO25">
        <v>2.4572220941684389E-2</v>
      </c>
      <c r="CP25">
        <v>2.4572220941684389E-2</v>
      </c>
      <c r="CQ25">
        <v>2.4572220941684389E-2</v>
      </c>
      <c r="CR25">
        <v>2.4572220941684389E-2</v>
      </c>
      <c r="CS25">
        <v>2.4572220941684389E-2</v>
      </c>
      <c r="CT25">
        <v>2.4572220941684389E-2</v>
      </c>
      <c r="CU25">
        <v>2.4572220941684389E-2</v>
      </c>
      <c r="CV25">
        <v>2.4572220941684389E-2</v>
      </c>
      <c r="CW25">
        <v>2.4572220941684389E-2</v>
      </c>
      <c r="CX25">
        <v>2.4572220941684389E-2</v>
      </c>
      <c r="CY25">
        <v>2.4572220941684389E-2</v>
      </c>
      <c r="CZ25">
        <v>2.4572220941684389E-2</v>
      </c>
    </row>
    <row r="26" spans="1:104" x14ac:dyDescent="0.35">
      <c r="A26" s="26"/>
      <c r="B26" s="26" t="s">
        <v>403</v>
      </c>
      <c r="C26" s="26" t="str">
        <f t="shared" ref="C26:C34" si="0">$A$25&amp;B26</f>
        <v>AttributionalODP</v>
      </c>
      <c r="D26" s="194">
        <v>4.5555555555555552E-10</v>
      </c>
      <c r="E26" s="194">
        <v>4.4722222222222221E-10</v>
      </c>
      <c r="F26" s="194">
        <v>4.3333333333333334E-10</v>
      </c>
      <c r="G26" s="194">
        <v>4.3611111111111107E-10</v>
      </c>
      <c r="H26" s="194">
        <v>4.3611111111111107E-10</v>
      </c>
      <c r="I26" s="194">
        <v>4.3611111111111107E-10</v>
      </c>
      <c r="J26" s="194">
        <v>4.3333333333333334E-10</v>
      </c>
      <c r="K26" s="194">
        <v>4.3333333333333334E-10</v>
      </c>
      <c r="L26" s="194">
        <v>4.3287647134258884E-10</v>
      </c>
      <c r="M26" s="194">
        <v>4.2186320540691665E-10</v>
      </c>
      <c r="N26" s="194">
        <v>4.0869301380691946E-10</v>
      </c>
      <c r="O26" s="194">
        <v>3.9990697974402225E-10</v>
      </c>
      <c r="P26" s="194">
        <v>3.9938575713379166E-10</v>
      </c>
      <c r="Q26" s="194">
        <v>3.9760968904151387E-10</v>
      </c>
      <c r="R26" s="194">
        <v>3.987735663426555E-10</v>
      </c>
      <c r="S26" s="194">
        <v>4.0693344646864998E-10</v>
      </c>
      <c r="T26" s="194">
        <v>4.0933981424419164E-10</v>
      </c>
      <c r="U26" s="194">
        <v>4.0696363659486943E-10</v>
      </c>
      <c r="V26" s="194">
        <v>4.0968748440527221E-10</v>
      </c>
      <c r="W26" s="194">
        <v>4.1244536479598607E-10</v>
      </c>
      <c r="X26" s="194">
        <v>4.1473696040551667E-10</v>
      </c>
      <c r="Y26" s="194">
        <v>4.161135510621722E-10</v>
      </c>
      <c r="Z26" s="194">
        <v>4.1879125264128607E-10</v>
      </c>
      <c r="AA26" s="194">
        <v>4.1994046253753057E-10</v>
      </c>
      <c r="AB26" s="194">
        <v>4.2357395187286945E-10</v>
      </c>
      <c r="AC26" s="194">
        <v>4.2633458803548057E-10</v>
      </c>
      <c r="AD26" s="194">
        <v>4.3099362380229722E-10</v>
      </c>
      <c r="AE26" s="194">
        <v>4.3493473624910276E-10</v>
      </c>
      <c r="AF26" s="194">
        <v>4.3895116331831947E-10</v>
      </c>
      <c r="AG26" s="194">
        <v>4.4319706639468337E-10</v>
      </c>
      <c r="AH26">
        <v>4.4319706639468337E-10</v>
      </c>
      <c r="AI26">
        <v>4.4319706639468337E-10</v>
      </c>
      <c r="AJ26">
        <v>4.4319706639468337E-10</v>
      </c>
      <c r="AK26">
        <v>4.4319706639468337E-10</v>
      </c>
      <c r="AL26">
        <v>4.4319706639468337E-10</v>
      </c>
      <c r="AM26">
        <v>4.4319706639468337E-10</v>
      </c>
      <c r="AN26">
        <v>4.4319706639468337E-10</v>
      </c>
      <c r="AO26">
        <v>4.4319706639468337E-10</v>
      </c>
      <c r="AP26">
        <v>4.4319706639468337E-10</v>
      </c>
      <c r="AQ26">
        <v>4.4319706639468337E-10</v>
      </c>
      <c r="AR26">
        <v>4.4319706639468337E-10</v>
      </c>
      <c r="AS26">
        <v>4.4319706639468337E-10</v>
      </c>
      <c r="AT26">
        <v>4.4319706639468337E-10</v>
      </c>
      <c r="AU26">
        <v>4.4319706639468337E-10</v>
      </c>
      <c r="AV26">
        <v>4.4319706639468337E-10</v>
      </c>
      <c r="AW26">
        <v>4.4319706639468337E-10</v>
      </c>
      <c r="AX26">
        <v>4.4319706639468337E-10</v>
      </c>
      <c r="AY26">
        <v>4.4319706639468337E-10</v>
      </c>
      <c r="AZ26">
        <v>4.4319706639468337E-10</v>
      </c>
      <c r="BA26">
        <v>4.4319706639468337E-10</v>
      </c>
      <c r="BB26">
        <v>4.4319706639468337E-10</v>
      </c>
      <c r="BC26">
        <v>4.4319706639468337E-10</v>
      </c>
      <c r="BD26">
        <v>4.4319706639468337E-10</v>
      </c>
      <c r="BE26">
        <v>4.4319706639468337E-10</v>
      </c>
      <c r="BF26">
        <v>4.4319706639468337E-10</v>
      </c>
      <c r="BG26">
        <v>4.4319706639468337E-10</v>
      </c>
      <c r="BH26">
        <v>4.4319706639468337E-10</v>
      </c>
      <c r="BI26">
        <v>4.4319706639468337E-10</v>
      </c>
      <c r="BJ26">
        <v>4.4319706639468337E-10</v>
      </c>
      <c r="BK26">
        <v>4.4319706639468337E-10</v>
      </c>
      <c r="BL26">
        <v>4.4319706639468337E-10</v>
      </c>
      <c r="BM26">
        <v>4.4319706639468337E-10</v>
      </c>
      <c r="BN26">
        <v>4.4319706639468337E-10</v>
      </c>
      <c r="BO26">
        <v>4.4319706639468337E-10</v>
      </c>
      <c r="BP26">
        <v>4.4319706639468337E-10</v>
      </c>
      <c r="BQ26">
        <v>4.4319706639468337E-10</v>
      </c>
      <c r="BR26">
        <v>4.4319706639468337E-10</v>
      </c>
      <c r="BS26">
        <v>4.4319706639468337E-10</v>
      </c>
      <c r="BT26">
        <v>4.4319706639468337E-10</v>
      </c>
      <c r="BU26">
        <v>4.4319706639468337E-10</v>
      </c>
      <c r="BV26">
        <v>4.4319706639468337E-10</v>
      </c>
      <c r="BW26">
        <v>4.4319706639468337E-10</v>
      </c>
      <c r="BX26">
        <v>4.4319706639468337E-10</v>
      </c>
      <c r="BY26">
        <v>4.4319706639468337E-10</v>
      </c>
      <c r="BZ26">
        <v>4.4319706639468337E-10</v>
      </c>
      <c r="CA26">
        <v>4.4319706639468337E-10</v>
      </c>
      <c r="CB26">
        <v>4.4319706639468337E-10</v>
      </c>
      <c r="CC26">
        <v>4.4319706639468337E-10</v>
      </c>
      <c r="CD26">
        <v>4.4319706639468337E-10</v>
      </c>
      <c r="CE26">
        <v>4.4319706639468337E-10</v>
      </c>
      <c r="CF26">
        <v>4.4319706639468337E-10</v>
      </c>
      <c r="CG26">
        <v>4.4319706639468337E-10</v>
      </c>
      <c r="CH26">
        <v>4.4319706639468337E-10</v>
      </c>
      <c r="CI26">
        <v>4.4319706639468337E-10</v>
      </c>
      <c r="CJ26">
        <v>4.4319706639468337E-10</v>
      </c>
      <c r="CK26">
        <v>4.4319706639468337E-10</v>
      </c>
      <c r="CL26">
        <v>4.4319706639468337E-10</v>
      </c>
      <c r="CM26">
        <v>4.4319706639468337E-10</v>
      </c>
      <c r="CN26">
        <v>4.4319706639468337E-10</v>
      </c>
      <c r="CO26">
        <v>4.4319706639468337E-10</v>
      </c>
      <c r="CP26">
        <v>4.4319706639468337E-10</v>
      </c>
      <c r="CQ26">
        <v>4.4319706639468337E-10</v>
      </c>
      <c r="CR26">
        <v>4.4319706639468337E-10</v>
      </c>
      <c r="CS26">
        <v>4.4319706639468337E-10</v>
      </c>
      <c r="CT26">
        <v>4.4319706639468337E-10</v>
      </c>
      <c r="CU26">
        <v>4.4319706639468337E-10</v>
      </c>
      <c r="CV26">
        <v>4.4319706639468337E-10</v>
      </c>
      <c r="CW26">
        <v>4.4319706639468337E-10</v>
      </c>
      <c r="CX26">
        <v>4.4319706639468337E-10</v>
      </c>
      <c r="CY26">
        <v>4.4319706639468337E-10</v>
      </c>
      <c r="CZ26">
        <v>4.4319706639468337E-10</v>
      </c>
    </row>
    <row r="27" spans="1:104" x14ac:dyDescent="0.35">
      <c r="A27" s="26"/>
      <c r="B27" s="26" t="s">
        <v>379</v>
      </c>
      <c r="C27" s="26" t="str">
        <f t="shared" si="0"/>
        <v>AttributionalAP</v>
      </c>
      <c r="D27" s="193">
        <v>4.1944444444444445E-4</v>
      </c>
      <c r="E27" s="193">
        <v>4.6666666666666666E-4</v>
      </c>
      <c r="F27" s="193">
        <v>5.3333333333333336E-4</v>
      </c>
      <c r="G27" s="193">
        <v>5.3333333333333336E-4</v>
      </c>
      <c r="H27" s="193">
        <v>5.2499999999999997E-4</v>
      </c>
      <c r="I27" s="193">
        <v>5.1388888888888892E-4</v>
      </c>
      <c r="J27" s="193">
        <v>5.1388888888888892E-4</v>
      </c>
      <c r="K27" s="193">
        <v>5.0833333333333329E-4</v>
      </c>
      <c r="L27" s="193">
        <v>5.0555544759089727E-4</v>
      </c>
      <c r="M27" s="193">
        <v>4.6364974702455832E-4</v>
      </c>
      <c r="N27" s="193">
        <v>4.4047239251962777E-4</v>
      </c>
      <c r="O27" s="193">
        <v>4.8156336287383613E-4</v>
      </c>
      <c r="P27" s="193">
        <v>4.7953073044861391E-4</v>
      </c>
      <c r="Q27" s="193">
        <v>4.8513263963917777E-4</v>
      </c>
      <c r="R27" s="193">
        <v>4.8359637170600558E-4</v>
      </c>
      <c r="S27" s="193">
        <v>4.4965828370920551E-4</v>
      </c>
      <c r="T27" s="193">
        <v>4.4452081545291109E-4</v>
      </c>
      <c r="U27" s="193">
        <v>4.5633859443573889E-4</v>
      </c>
      <c r="V27" s="193">
        <v>4.3501603824203051E-4</v>
      </c>
      <c r="W27" s="193">
        <v>4.3028853622299724E-4</v>
      </c>
      <c r="X27" s="193">
        <v>4.2335822395436664E-4</v>
      </c>
      <c r="Y27" s="193">
        <v>4.2466861035897219E-4</v>
      </c>
      <c r="Z27" s="193">
        <v>4.2661064808408332E-4</v>
      </c>
      <c r="AA27" s="193">
        <v>4.3313899190600835E-4</v>
      </c>
      <c r="AB27" s="193">
        <v>4.3230596941745832E-4</v>
      </c>
      <c r="AC27" s="193">
        <v>4.3720960298703333E-4</v>
      </c>
      <c r="AD27" s="193">
        <v>4.3811791298734167E-4</v>
      </c>
      <c r="AE27" s="193">
        <v>4.3640483520506661E-4</v>
      </c>
      <c r="AF27" s="193">
        <v>4.3772974753277221E-4</v>
      </c>
      <c r="AG27" s="193">
        <v>4.3659238177945557E-4</v>
      </c>
      <c r="AH27">
        <v>4.3659238177945557E-4</v>
      </c>
      <c r="AI27">
        <v>4.3659238177945557E-4</v>
      </c>
      <c r="AJ27">
        <v>4.3659238177945557E-4</v>
      </c>
      <c r="AK27">
        <v>4.3659238177945557E-4</v>
      </c>
      <c r="AL27">
        <v>4.3659238177945557E-4</v>
      </c>
      <c r="AM27">
        <v>4.3659238177945557E-4</v>
      </c>
      <c r="AN27">
        <v>4.3659238177945557E-4</v>
      </c>
      <c r="AO27">
        <v>4.3659238177945557E-4</v>
      </c>
      <c r="AP27">
        <v>4.3659238177945557E-4</v>
      </c>
      <c r="AQ27">
        <v>4.3659238177945557E-4</v>
      </c>
      <c r="AR27">
        <v>4.3659238177945557E-4</v>
      </c>
      <c r="AS27">
        <v>4.3659238177945557E-4</v>
      </c>
      <c r="AT27">
        <v>4.3659238177945557E-4</v>
      </c>
      <c r="AU27">
        <v>4.3659238177945557E-4</v>
      </c>
      <c r="AV27">
        <v>4.3659238177945557E-4</v>
      </c>
      <c r="AW27">
        <v>4.3659238177945557E-4</v>
      </c>
      <c r="AX27">
        <v>4.3659238177945557E-4</v>
      </c>
      <c r="AY27">
        <v>4.3659238177945557E-4</v>
      </c>
      <c r="AZ27">
        <v>4.3659238177945557E-4</v>
      </c>
      <c r="BA27">
        <v>4.3659238177945557E-4</v>
      </c>
      <c r="BB27">
        <v>4.3659238177945557E-4</v>
      </c>
      <c r="BC27">
        <v>4.3659238177945557E-4</v>
      </c>
      <c r="BD27">
        <v>4.3659238177945557E-4</v>
      </c>
      <c r="BE27">
        <v>4.3659238177945557E-4</v>
      </c>
      <c r="BF27">
        <v>4.3659238177945557E-4</v>
      </c>
      <c r="BG27">
        <v>4.3659238177945557E-4</v>
      </c>
      <c r="BH27">
        <v>4.3659238177945557E-4</v>
      </c>
      <c r="BI27">
        <v>4.3659238177945557E-4</v>
      </c>
      <c r="BJ27">
        <v>4.3659238177945557E-4</v>
      </c>
      <c r="BK27">
        <v>4.3659238177945557E-4</v>
      </c>
      <c r="BL27">
        <v>4.3659238177945557E-4</v>
      </c>
      <c r="BM27">
        <v>4.3659238177945557E-4</v>
      </c>
      <c r="BN27">
        <v>4.3659238177945557E-4</v>
      </c>
      <c r="BO27">
        <v>4.3659238177945557E-4</v>
      </c>
      <c r="BP27">
        <v>4.3659238177945557E-4</v>
      </c>
      <c r="BQ27">
        <v>4.3659238177945557E-4</v>
      </c>
      <c r="BR27">
        <v>4.3659238177945557E-4</v>
      </c>
      <c r="BS27">
        <v>4.3659238177945557E-4</v>
      </c>
      <c r="BT27">
        <v>4.3659238177945557E-4</v>
      </c>
      <c r="BU27">
        <v>4.3659238177945557E-4</v>
      </c>
      <c r="BV27">
        <v>4.3659238177945557E-4</v>
      </c>
      <c r="BW27">
        <v>4.3659238177945557E-4</v>
      </c>
      <c r="BX27">
        <v>4.3659238177945557E-4</v>
      </c>
      <c r="BY27">
        <v>4.3659238177945557E-4</v>
      </c>
      <c r="BZ27">
        <v>4.3659238177945557E-4</v>
      </c>
      <c r="CA27">
        <v>4.3659238177945557E-4</v>
      </c>
      <c r="CB27">
        <v>4.3659238177945557E-4</v>
      </c>
      <c r="CC27">
        <v>4.3659238177945557E-4</v>
      </c>
      <c r="CD27">
        <v>4.3659238177945557E-4</v>
      </c>
      <c r="CE27">
        <v>4.3659238177945557E-4</v>
      </c>
      <c r="CF27">
        <v>4.3659238177945557E-4</v>
      </c>
      <c r="CG27">
        <v>4.3659238177945557E-4</v>
      </c>
      <c r="CH27">
        <v>4.3659238177945557E-4</v>
      </c>
      <c r="CI27">
        <v>4.3659238177945557E-4</v>
      </c>
      <c r="CJ27">
        <v>4.3659238177945557E-4</v>
      </c>
      <c r="CK27">
        <v>4.3659238177945557E-4</v>
      </c>
      <c r="CL27">
        <v>4.3659238177945557E-4</v>
      </c>
      <c r="CM27">
        <v>4.3659238177945557E-4</v>
      </c>
      <c r="CN27">
        <v>4.3659238177945557E-4</v>
      </c>
      <c r="CO27">
        <v>4.3659238177945557E-4</v>
      </c>
      <c r="CP27">
        <v>4.3659238177945557E-4</v>
      </c>
      <c r="CQ27">
        <v>4.3659238177945557E-4</v>
      </c>
      <c r="CR27">
        <v>4.3659238177945557E-4</v>
      </c>
      <c r="CS27">
        <v>4.3659238177945557E-4</v>
      </c>
      <c r="CT27">
        <v>4.3659238177945557E-4</v>
      </c>
      <c r="CU27">
        <v>4.3659238177945557E-4</v>
      </c>
      <c r="CV27">
        <v>4.3659238177945557E-4</v>
      </c>
      <c r="CW27">
        <v>4.3659238177945557E-4</v>
      </c>
      <c r="CX27">
        <v>4.3659238177945557E-4</v>
      </c>
      <c r="CY27">
        <v>4.3659238177945557E-4</v>
      </c>
      <c r="CZ27">
        <v>4.3659238177945557E-4</v>
      </c>
    </row>
    <row r="28" spans="1:104" x14ac:dyDescent="0.35">
      <c r="A28" s="26"/>
      <c r="B28" s="26" t="s">
        <v>491</v>
      </c>
      <c r="C28" s="26" t="str">
        <f t="shared" si="0"/>
        <v>AttributionalEP</v>
      </c>
      <c r="D28" s="193">
        <v>1.0583333333333332E-4</v>
      </c>
      <c r="E28" s="193">
        <v>1.0333333333333333E-4</v>
      </c>
      <c r="F28" s="193">
        <v>1.0083333333333332E-4</v>
      </c>
      <c r="G28" s="193">
        <v>1.0083333333333332E-4</v>
      </c>
      <c r="H28" s="193">
        <v>1.0027777777777777E-4</v>
      </c>
      <c r="I28" s="193">
        <v>9.9444444444444428E-5</v>
      </c>
      <c r="J28" s="193">
        <v>9.8611111111111111E-5</v>
      </c>
      <c r="K28" s="193">
        <v>9.8055555555555561E-5</v>
      </c>
      <c r="L28" s="193">
        <v>9.7282962788951938E-5</v>
      </c>
      <c r="M28" s="193">
        <v>8.1911934094823337E-5</v>
      </c>
      <c r="N28" s="193">
        <v>6.366126880913306E-5</v>
      </c>
      <c r="O28" s="193">
        <v>6.2230776542506112E-5</v>
      </c>
      <c r="P28" s="193">
        <v>6.1757151833814996E-5</v>
      </c>
      <c r="Q28" s="193">
        <v>6.1007590361804168E-5</v>
      </c>
      <c r="R28" s="193">
        <v>6.0905091987008892E-5</v>
      </c>
      <c r="S28" s="193">
        <v>6.1511818121219168E-5</v>
      </c>
      <c r="T28" s="193">
        <v>6.1530302703148329E-5</v>
      </c>
      <c r="U28" s="193">
        <v>6.0223201707662775E-5</v>
      </c>
      <c r="V28" s="193">
        <v>5.9681300435295829E-5</v>
      </c>
      <c r="W28" s="193">
        <v>5.9631005049339167E-5</v>
      </c>
      <c r="X28" s="193">
        <v>5.9368712743327497E-5</v>
      </c>
      <c r="Y28" s="193">
        <v>5.898480806565639E-5</v>
      </c>
      <c r="Z28" s="193">
        <v>5.8942015744653607E-5</v>
      </c>
      <c r="AA28" s="193">
        <v>5.8453454393287222E-5</v>
      </c>
      <c r="AB28" s="193">
        <v>5.8431187234058055E-5</v>
      </c>
      <c r="AC28" s="193">
        <v>5.8229935475606661E-5</v>
      </c>
      <c r="AD28" s="193">
        <v>5.8319411239332493E-5</v>
      </c>
      <c r="AE28" s="193">
        <v>5.8210984312723336E-5</v>
      </c>
      <c r="AF28" s="193">
        <v>5.8206092368124445E-5</v>
      </c>
      <c r="AG28" s="193">
        <v>5.821531267068944E-5</v>
      </c>
      <c r="AH28">
        <v>5.821531267068944E-5</v>
      </c>
      <c r="AI28">
        <v>5.821531267068944E-5</v>
      </c>
      <c r="AJ28">
        <v>5.821531267068944E-5</v>
      </c>
      <c r="AK28">
        <v>5.821531267068944E-5</v>
      </c>
      <c r="AL28">
        <v>5.821531267068944E-5</v>
      </c>
      <c r="AM28">
        <v>5.821531267068944E-5</v>
      </c>
      <c r="AN28">
        <v>5.821531267068944E-5</v>
      </c>
      <c r="AO28">
        <v>5.821531267068944E-5</v>
      </c>
      <c r="AP28">
        <v>5.821531267068944E-5</v>
      </c>
      <c r="AQ28">
        <v>5.821531267068944E-5</v>
      </c>
      <c r="AR28">
        <v>5.821531267068944E-5</v>
      </c>
      <c r="AS28">
        <v>5.821531267068944E-5</v>
      </c>
      <c r="AT28">
        <v>5.821531267068944E-5</v>
      </c>
      <c r="AU28">
        <v>5.821531267068944E-5</v>
      </c>
      <c r="AV28">
        <v>5.821531267068944E-5</v>
      </c>
      <c r="AW28">
        <v>5.821531267068944E-5</v>
      </c>
      <c r="AX28">
        <v>5.821531267068944E-5</v>
      </c>
      <c r="AY28">
        <v>5.821531267068944E-5</v>
      </c>
      <c r="AZ28">
        <v>5.821531267068944E-5</v>
      </c>
      <c r="BA28">
        <v>5.821531267068944E-5</v>
      </c>
      <c r="BB28">
        <v>5.821531267068944E-5</v>
      </c>
      <c r="BC28">
        <v>5.821531267068944E-5</v>
      </c>
      <c r="BD28">
        <v>5.821531267068944E-5</v>
      </c>
      <c r="BE28">
        <v>5.821531267068944E-5</v>
      </c>
      <c r="BF28">
        <v>5.821531267068944E-5</v>
      </c>
      <c r="BG28">
        <v>5.821531267068944E-5</v>
      </c>
      <c r="BH28">
        <v>5.821531267068944E-5</v>
      </c>
      <c r="BI28">
        <v>5.821531267068944E-5</v>
      </c>
      <c r="BJ28">
        <v>5.821531267068944E-5</v>
      </c>
      <c r="BK28">
        <v>5.821531267068944E-5</v>
      </c>
      <c r="BL28">
        <v>5.821531267068944E-5</v>
      </c>
      <c r="BM28">
        <v>5.821531267068944E-5</v>
      </c>
      <c r="BN28">
        <v>5.821531267068944E-5</v>
      </c>
      <c r="BO28">
        <v>5.821531267068944E-5</v>
      </c>
      <c r="BP28">
        <v>5.821531267068944E-5</v>
      </c>
      <c r="BQ28">
        <v>5.821531267068944E-5</v>
      </c>
      <c r="BR28">
        <v>5.821531267068944E-5</v>
      </c>
      <c r="BS28">
        <v>5.821531267068944E-5</v>
      </c>
      <c r="BT28">
        <v>5.821531267068944E-5</v>
      </c>
      <c r="BU28">
        <v>5.821531267068944E-5</v>
      </c>
      <c r="BV28">
        <v>5.821531267068944E-5</v>
      </c>
      <c r="BW28">
        <v>5.821531267068944E-5</v>
      </c>
      <c r="BX28">
        <v>5.821531267068944E-5</v>
      </c>
      <c r="BY28">
        <v>5.821531267068944E-5</v>
      </c>
      <c r="BZ28">
        <v>5.821531267068944E-5</v>
      </c>
      <c r="CA28">
        <v>5.821531267068944E-5</v>
      </c>
      <c r="CB28">
        <v>5.821531267068944E-5</v>
      </c>
      <c r="CC28">
        <v>5.821531267068944E-5</v>
      </c>
      <c r="CD28">
        <v>5.821531267068944E-5</v>
      </c>
      <c r="CE28">
        <v>5.821531267068944E-5</v>
      </c>
      <c r="CF28">
        <v>5.821531267068944E-5</v>
      </c>
      <c r="CG28">
        <v>5.821531267068944E-5</v>
      </c>
      <c r="CH28">
        <v>5.821531267068944E-5</v>
      </c>
      <c r="CI28">
        <v>5.821531267068944E-5</v>
      </c>
      <c r="CJ28">
        <v>5.821531267068944E-5</v>
      </c>
      <c r="CK28">
        <v>5.821531267068944E-5</v>
      </c>
      <c r="CL28">
        <v>5.821531267068944E-5</v>
      </c>
      <c r="CM28">
        <v>5.821531267068944E-5</v>
      </c>
      <c r="CN28">
        <v>5.821531267068944E-5</v>
      </c>
      <c r="CO28">
        <v>5.821531267068944E-5</v>
      </c>
      <c r="CP28">
        <v>5.821531267068944E-5</v>
      </c>
      <c r="CQ28">
        <v>5.821531267068944E-5</v>
      </c>
      <c r="CR28">
        <v>5.821531267068944E-5</v>
      </c>
      <c r="CS28">
        <v>5.821531267068944E-5</v>
      </c>
      <c r="CT28">
        <v>5.821531267068944E-5</v>
      </c>
      <c r="CU28">
        <v>5.821531267068944E-5</v>
      </c>
      <c r="CV28">
        <v>5.821531267068944E-5</v>
      </c>
      <c r="CW28">
        <v>5.821531267068944E-5</v>
      </c>
      <c r="CX28">
        <v>5.821531267068944E-5</v>
      </c>
      <c r="CY28">
        <v>5.821531267068944E-5</v>
      </c>
      <c r="CZ28">
        <v>5.821531267068944E-5</v>
      </c>
    </row>
    <row r="29" spans="1:104" x14ac:dyDescent="0.35">
      <c r="A29" s="26"/>
      <c r="B29" s="26" t="s">
        <v>495</v>
      </c>
      <c r="C29" s="26" t="str">
        <f t="shared" si="0"/>
        <v>AttributionalPOCP</v>
      </c>
      <c r="D29" s="194">
        <v>1.3916666666666665E-5</v>
      </c>
      <c r="E29" s="194">
        <v>1.3472222222222222E-5</v>
      </c>
      <c r="F29" s="194">
        <v>1.2583333333333334E-5</v>
      </c>
      <c r="G29" s="194">
        <v>1.263888888888889E-5</v>
      </c>
      <c r="H29" s="194">
        <v>1.2611111111111111E-5</v>
      </c>
      <c r="I29" s="194">
        <v>1.2416666666666667E-5</v>
      </c>
      <c r="J29" s="194">
        <v>1.2305555555555556E-5</v>
      </c>
      <c r="K29" s="194">
        <v>1.2194444444444445E-5</v>
      </c>
      <c r="L29" s="194">
        <v>1.2122755845321972E-5</v>
      </c>
      <c r="M29" s="194">
        <v>1.0616371525028083E-5</v>
      </c>
      <c r="N29" s="194">
        <v>9.4747134093899443E-6</v>
      </c>
      <c r="O29" s="194">
        <v>9.2882668529784722E-6</v>
      </c>
      <c r="P29" s="194">
        <v>9.184992952471611E-6</v>
      </c>
      <c r="Q29" s="194">
        <v>8.9428823746421113E-6</v>
      </c>
      <c r="R29" s="194">
        <v>8.9192584192166663E-6</v>
      </c>
      <c r="S29" s="194">
        <v>8.8606044256057791E-6</v>
      </c>
      <c r="T29" s="194">
        <v>8.8380361048655834E-6</v>
      </c>
      <c r="U29" s="194">
        <v>8.2163245009391935E-6</v>
      </c>
      <c r="V29" s="194">
        <v>7.9568137020398619E-6</v>
      </c>
      <c r="W29" s="194">
        <v>7.9362208313459717E-6</v>
      </c>
      <c r="X29" s="194">
        <v>7.8812385944421394E-6</v>
      </c>
      <c r="Y29" s="194">
        <v>7.8032493650300827E-6</v>
      </c>
      <c r="Z29" s="194">
        <v>7.8505066507932504E-6</v>
      </c>
      <c r="AA29" s="194">
        <v>7.7315268414223059E-6</v>
      </c>
      <c r="AB29" s="194">
        <v>7.7669299710090003E-6</v>
      </c>
      <c r="AC29" s="194">
        <v>7.7408723587250828E-6</v>
      </c>
      <c r="AD29" s="194">
        <v>7.8194422183141667E-6</v>
      </c>
      <c r="AE29" s="194">
        <v>7.8146030344519161E-6</v>
      </c>
      <c r="AF29" s="194">
        <v>7.8489895426215004E-6</v>
      </c>
      <c r="AG29" s="194">
        <v>7.8839053921509431E-6</v>
      </c>
      <c r="AH29">
        <v>7.8839053921509431E-6</v>
      </c>
      <c r="AI29">
        <v>7.8839053921509431E-6</v>
      </c>
      <c r="AJ29">
        <v>7.8839053921509431E-6</v>
      </c>
      <c r="AK29">
        <v>7.8839053921509431E-6</v>
      </c>
      <c r="AL29">
        <v>7.8839053921509431E-6</v>
      </c>
      <c r="AM29">
        <v>7.8839053921509431E-6</v>
      </c>
      <c r="AN29">
        <v>7.8839053921509431E-6</v>
      </c>
      <c r="AO29">
        <v>7.8839053921509431E-6</v>
      </c>
      <c r="AP29">
        <v>7.8839053921509431E-6</v>
      </c>
      <c r="AQ29">
        <v>7.8839053921509431E-6</v>
      </c>
      <c r="AR29">
        <v>7.8839053921509431E-6</v>
      </c>
      <c r="AS29">
        <v>7.8839053921509431E-6</v>
      </c>
      <c r="AT29">
        <v>7.8839053921509431E-6</v>
      </c>
      <c r="AU29">
        <v>7.8839053921509431E-6</v>
      </c>
      <c r="AV29">
        <v>7.8839053921509431E-6</v>
      </c>
      <c r="AW29">
        <v>7.8839053921509431E-6</v>
      </c>
      <c r="AX29">
        <v>7.8839053921509431E-6</v>
      </c>
      <c r="AY29">
        <v>7.8839053921509431E-6</v>
      </c>
      <c r="AZ29">
        <v>7.8839053921509431E-6</v>
      </c>
      <c r="BA29">
        <v>7.8839053921509431E-6</v>
      </c>
      <c r="BB29">
        <v>7.8839053921509431E-6</v>
      </c>
      <c r="BC29">
        <v>7.8839053921509431E-6</v>
      </c>
      <c r="BD29">
        <v>7.8839053921509431E-6</v>
      </c>
      <c r="BE29">
        <v>7.8839053921509431E-6</v>
      </c>
      <c r="BF29">
        <v>7.8839053921509431E-6</v>
      </c>
      <c r="BG29">
        <v>7.8839053921509431E-6</v>
      </c>
      <c r="BH29">
        <v>7.8839053921509431E-6</v>
      </c>
      <c r="BI29">
        <v>7.8839053921509431E-6</v>
      </c>
      <c r="BJ29">
        <v>7.8839053921509431E-6</v>
      </c>
      <c r="BK29">
        <v>7.8839053921509431E-6</v>
      </c>
      <c r="BL29">
        <v>7.8839053921509431E-6</v>
      </c>
      <c r="BM29">
        <v>7.8839053921509431E-6</v>
      </c>
      <c r="BN29">
        <v>7.8839053921509431E-6</v>
      </c>
      <c r="BO29">
        <v>7.8839053921509431E-6</v>
      </c>
      <c r="BP29">
        <v>7.8839053921509431E-6</v>
      </c>
      <c r="BQ29">
        <v>7.8839053921509431E-6</v>
      </c>
      <c r="BR29">
        <v>7.8839053921509431E-6</v>
      </c>
      <c r="BS29">
        <v>7.8839053921509431E-6</v>
      </c>
      <c r="BT29">
        <v>7.8839053921509431E-6</v>
      </c>
      <c r="BU29">
        <v>7.8839053921509431E-6</v>
      </c>
      <c r="BV29">
        <v>7.8839053921509431E-6</v>
      </c>
      <c r="BW29">
        <v>7.8839053921509431E-6</v>
      </c>
      <c r="BX29">
        <v>7.8839053921509431E-6</v>
      </c>
      <c r="BY29">
        <v>7.8839053921509431E-6</v>
      </c>
      <c r="BZ29">
        <v>7.8839053921509431E-6</v>
      </c>
      <c r="CA29">
        <v>7.8839053921509431E-6</v>
      </c>
      <c r="CB29">
        <v>7.8839053921509431E-6</v>
      </c>
      <c r="CC29">
        <v>7.8839053921509431E-6</v>
      </c>
      <c r="CD29">
        <v>7.8839053921509431E-6</v>
      </c>
      <c r="CE29">
        <v>7.8839053921509431E-6</v>
      </c>
      <c r="CF29">
        <v>7.8839053921509431E-6</v>
      </c>
      <c r="CG29">
        <v>7.8839053921509431E-6</v>
      </c>
      <c r="CH29">
        <v>7.8839053921509431E-6</v>
      </c>
      <c r="CI29">
        <v>7.8839053921509431E-6</v>
      </c>
      <c r="CJ29">
        <v>7.8839053921509431E-6</v>
      </c>
      <c r="CK29">
        <v>7.8839053921509431E-6</v>
      </c>
      <c r="CL29">
        <v>7.8839053921509431E-6</v>
      </c>
      <c r="CM29">
        <v>7.8839053921509431E-6</v>
      </c>
      <c r="CN29">
        <v>7.8839053921509431E-6</v>
      </c>
      <c r="CO29">
        <v>7.8839053921509431E-6</v>
      </c>
      <c r="CP29">
        <v>7.8839053921509431E-6</v>
      </c>
      <c r="CQ29">
        <v>7.8839053921509431E-6</v>
      </c>
      <c r="CR29">
        <v>7.8839053921509431E-6</v>
      </c>
      <c r="CS29">
        <v>7.8839053921509431E-6</v>
      </c>
      <c r="CT29">
        <v>7.8839053921509431E-6</v>
      </c>
      <c r="CU29">
        <v>7.8839053921509431E-6</v>
      </c>
      <c r="CV29">
        <v>7.8839053921509431E-6</v>
      </c>
      <c r="CW29">
        <v>7.8839053921509431E-6</v>
      </c>
      <c r="CX29">
        <v>7.8839053921509431E-6</v>
      </c>
      <c r="CY29">
        <v>7.8839053921509431E-6</v>
      </c>
      <c r="CZ29">
        <v>7.8839053921509431E-6</v>
      </c>
    </row>
    <row r="30" spans="1:104" x14ac:dyDescent="0.35">
      <c r="A30" s="26"/>
      <c r="B30" s="26" t="s">
        <v>391</v>
      </c>
      <c r="C30" s="26" t="str">
        <f t="shared" si="0"/>
        <v>AttributionalADPE</v>
      </c>
      <c r="D30" s="194">
        <v>1.1944444444444445E-7</v>
      </c>
      <c r="E30" s="194">
        <v>1.175E-7</v>
      </c>
      <c r="F30" s="194">
        <v>1.186111111111111E-7</v>
      </c>
      <c r="G30" s="194">
        <v>1.1944444444444445E-7</v>
      </c>
      <c r="H30" s="194">
        <v>1.1999999999999999E-7</v>
      </c>
      <c r="I30" s="194">
        <v>1.2333333333333333E-7</v>
      </c>
      <c r="J30" s="194">
        <v>1.236111111111111E-7</v>
      </c>
      <c r="K30" s="194">
        <v>1.2499999999999999E-7</v>
      </c>
      <c r="L30" s="194">
        <v>1.2433470508885833E-7</v>
      </c>
      <c r="M30" s="194">
        <v>1.3198453570263305E-7</v>
      </c>
      <c r="N30" s="194">
        <v>1.3552342775908803E-7</v>
      </c>
      <c r="O30" s="194">
        <v>1.2964577583786223E-7</v>
      </c>
      <c r="P30" s="194">
        <v>1.3023666538564445E-7</v>
      </c>
      <c r="Q30" s="194">
        <v>1.3189845812326251E-7</v>
      </c>
      <c r="R30" s="194">
        <v>1.3462050102658803E-7</v>
      </c>
      <c r="S30" s="194">
        <v>1.4492870882611138E-7</v>
      </c>
      <c r="T30" s="194">
        <v>1.4831037854388915E-7</v>
      </c>
      <c r="U30" s="194">
        <v>1.5261232395407861E-7</v>
      </c>
      <c r="V30" s="194">
        <v>1.5742413201758583E-7</v>
      </c>
      <c r="W30" s="194">
        <v>1.6069215912184973E-7</v>
      </c>
      <c r="X30" s="194">
        <v>1.6251875896206918E-7</v>
      </c>
      <c r="Y30" s="194">
        <v>1.6387979644680499E-7</v>
      </c>
      <c r="Z30" s="194">
        <v>1.6521834547317666E-7</v>
      </c>
      <c r="AA30" s="194">
        <v>1.665147488995489E-7</v>
      </c>
      <c r="AB30" s="194">
        <v>1.6811061961526722E-7</v>
      </c>
      <c r="AC30" s="194">
        <v>1.6971025434232167E-7</v>
      </c>
      <c r="AD30" s="194">
        <v>1.7149266563345278E-7</v>
      </c>
      <c r="AE30" s="194">
        <v>1.732234919985886E-7</v>
      </c>
      <c r="AF30" s="194">
        <v>1.7500493766752555E-7</v>
      </c>
      <c r="AG30" s="194">
        <v>1.7675812923890585E-7</v>
      </c>
      <c r="AH30">
        <v>1.7675812923890585E-7</v>
      </c>
      <c r="AI30">
        <v>1.7675812923890585E-7</v>
      </c>
      <c r="AJ30">
        <v>1.7675812923890585E-7</v>
      </c>
      <c r="AK30">
        <v>1.7675812923890585E-7</v>
      </c>
      <c r="AL30">
        <v>1.7675812923890585E-7</v>
      </c>
      <c r="AM30">
        <v>1.7675812923890585E-7</v>
      </c>
      <c r="AN30">
        <v>1.7675812923890585E-7</v>
      </c>
      <c r="AO30">
        <v>1.7675812923890585E-7</v>
      </c>
      <c r="AP30">
        <v>1.7675812923890585E-7</v>
      </c>
      <c r="AQ30">
        <v>1.7675812923890585E-7</v>
      </c>
      <c r="AR30">
        <v>1.7675812923890585E-7</v>
      </c>
      <c r="AS30">
        <v>1.7675812923890585E-7</v>
      </c>
      <c r="AT30">
        <v>1.7675812923890585E-7</v>
      </c>
      <c r="AU30">
        <v>1.7675812923890585E-7</v>
      </c>
      <c r="AV30">
        <v>1.7675812923890585E-7</v>
      </c>
      <c r="AW30">
        <v>1.7675812923890585E-7</v>
      </c>
      <c r="AX30">
        <v>1.7675812923890585E-7</v>
      </c>
      <c r="AY30">
        <v>1.7675812923890585E-7</v>
      </c>
      <c r="AZ30">
        <v>1.7675812923890585E-7</v>
      </c>
      <c r="BA30">
        <v>1.7675812923890585E-7</v>
      </c>
      <c r="BB30">
        <v>1.7675812923890585E-7</v>
      </c>
      <c r="BC30">
        <v>1.7675812923890585E-7</v>
      </c>
      <c r="BD30">
        <v>1.7675812923890585E-7</v>
      </c>
      <c r="BE30">
        <v>1.7675812923890585E-7</v>
      </c>
      <c r="BF30">
        <v>1.7675812923890585E-7</v>
      </c>
      <c r="BG30">
        <v>1.7675812923890585E-7</v>
      </c>
      <c r="BH30">
        <v>1.7675812923890585E-7</v>
      </c>
      <c r="BI30">
        <v>1.7675812923890585E-7</v>
      </c>
      <c r="BJ30">
        <v>1.7675812923890585E-7</v>
      </c>
      <c r="BK30">
        <v>1.7675812923890585E-7</v>
      </c>
      <c r="BL30">
        <v>1.7675812923890585E-7</v>
      </c>
      <c r="BM30">
        <v>1.7675812923890585E-7</v>
      </c>
      <c r="BN30">
        <v>1.7675812923890585E-7</v>
      </c>
      <c r="BO30">
        <v>1.7675812923890585E-7</v>
      </c>
      <c r="BP30">
        <v>1.7675812923890585E-7</v>
      </c>
      <c r="BQ30">
        <v>1.7675812923890585E-7</v>
      </c>
      <c r="BR30">
        <v>1.7675812923890585E-7</v>
      </c>
      <c r="BS30">
        <v>1.7675812923890585E-7</v>
      </c>
      <c r="BT30">
        <v>1.7675812923890585E-7</v>
      </c>
      <c r="BU30">
        <v>1.7675812923890585E-7</v>
      </c>
      <c r="BV30">
        <v>1.7675812923890585E-7</v>
      </c>
      <c r="BW30">
        <v>1.7675812923890585E-7</v>
      </c>
      <c r="BX30">
        <v>1.7675812923890585E-7</v>
      </c>
      <c r="BY30">
        <v>1.7675812923890585E-7</v>
      </c>
      <c r="BZ30">
        <v>1.7675812923890585E-7</v>
      </c>
      <c r="CA30">
        <v>1.7675812923890585E-7</v>
      </c>
      <c r="CB30">
        <v>1.7675812923890585E-7</v>
      </c>
      <c r="CC30">
        <v>1.7675812923890585E-7</v>
      </c>
      <c r="CD30">
        <v>1.7675812923890585E-7</v>
      </c>
      <c r="CE30">
        <v>1.7675812923890585E-7</v>
      </c>
      <c r="CF30">
        <v>1.7675812923890585E-7</v>
      </c>
      <c r="CG30">
        <v>1.7675812923890585E-7</v>
      </c>
      <c r="CH30">
        <v>1.7675812923890585E-7</v>
      </c>
      <c r="CI30">
        <v>1.7675812923890585E-7</v>
      </c>
      <c r="CJ30">
        <v>1.7675812923890585E-7</v>
      </c>
      <c r="CK30">
        <v>1.7675812923890585E-7</v>
      </c>
      <c r="CL30">
        <v>1.7675812923890585E-7</v>
      </c>
      <c r="CM30">
        <v>1.7675812923890585E-7</v>
      </c>
      <c r="CN30">
        <v>1.7675812923890585E-7</v>
      </c>
      <c r="CO30">
        <v>1.7675812923890585E-7</v>
      </c>
      <c r="CP30">
        <v>1.7675812923890585E-7</v>
      </c>
      <c r="CQ30">
        <v>1.7675812923890585E-7</v>
      </c>
      <c r="CR30">
        <v>1.7675812923890585E-7</v>
      </c>
      <c r="CS30">
        <v>1.7675812923890585E-7</v>
      </c>
      <c r="CT30">
        <v>1.7675812923890585E-7</v>
      </c>
      <c r="CU30">
        <v>1.7675812923890585E-7</v>
      </c>
      <c r="CV30">
        <v>1.7675812923890585E-7</v>
      </c>
      <c r="CW30">
        <v>1.7675812923890585E-7</v>
      </c>
      <c r="CX30">
        <v>1.7675812923890585E-7</v>
      </c>
      <c r="CY30">
        <v>1.7675812923890585E-7</v>
      </c>
      <c r="CZ30">
        <v>1.7675812923890585E-7</v>
      </c>
    </row>
    <row r="31" spans="1:104" x14ac:dyDescent="0.35">
      <c r="A31" s="26"/>
      <c r="B31" s="26" t="s">
        <v>489</v>
      </c>
      <c r="C31" s="26" t="str">
        <f t="shared" si="0"/>
        <v>AttributionalADPF</v>
      </c>
      <c r="D31" s="193">
        <v>0.65833333333333333</v>
      </c>
      <c r="E31" s="193">
        <v>0.61388888888888882</v>
      </c>
      <c r="F31" s="193">
        <v>0.51388888888888895</v>
      </c>
      <c r="G31" s="193">
        <v>0.52222222222222214</v>
      </c>
      <c r="H31" s="193">
        <v>0.52499999999999991</v>
      </c>
      <c r="I31" s="193">
        <v>0.5083333333333333</v>
      </c>
      <c r="J31" s="193">
        <v>0.5</v>
      </c>
      <c r="K31" s="193">
        <v>0.49444444444444446</v>
      </c>
      <c r="L31" s="193">
        <v>0.49309492822187223</v>
      </c>
      <c r="M31" s="193">
        <v>0.41087926788570278</v>
      </c>
      <c r="N31" s="193">
        <v>0.36146779194080553</v>
      </c>
      <c r="O31" s="193">
        <v>0.34231577551852782</v>
      </c>
      <c r="P31" s="193">
        <v>0.33492308859901948</v>
      </c>
      <c r="Q31" s="193">
        <v>0.31176527236559443</v>
      </c>
      <c r="R31" s="193">
        <v>0.30986584404673057</v>
      </c>
      <c r="S31" s="193">
        <v>0.30517822817847778</v>
      </c>
      <c r="T31" s="193">
        <v>0.30321123633759722</v>
      </c>
      <c r="U31" s="193">
        <v>0.23913283349628361</v>
      </c>
      <c r="V31" s="193">
        <v>0.21862623035984111</v>
      </c>
      <c r="W31" s="193">
        <v>0.21725997442924222</v>
      </c>
      <c r="X31" s="193">
        <v>0.21452270352793359</v>
      </c>
      <c r="Y31" s="193">
        <v>0.20805049477182136</v>
      </c>
      <c r="Z31" s="193">
        <v>0.21288630136920694</v>
      </c>
      <c r="AA31" s="193">
        <v>0.20119067770536109</v>
      </c>
      <c r="AB31" s="193">
        <v>0.20514076038445861</v>
      </c>
      <c r="AC31" s="193">
        <v>0.20201610360490946</v>
      </c>
      <c r="AD31" s="193">
        <v>0.20926393485941527</v>
      </c>
      <c r="AE31" s="193">
        <v>0.20948498613468164</v>
      </c>
      <c r="AF31" s="193">
        <v>0.21251934689562804</v>
      </c>
      <c r="AG31" s="193">
        <v>0.21615080811415693</v>
      </c>
      <c r="AH31">
        <v>0.21615080811415693</v>
      </c>
      <c r="AI31">
        <v>0.21615080811415693</v>
      </c>
      <c r="AJ31">
        <v>0.21615080811415693</v>
      </c>
      <c r="AK31">
        <v>0.21615080811415693</v>
      </c>
      <c r="AL31">
        <v>0.21615080811415693</v>
      </c>
      <c r="AM31">
        <v>0.21615080811415693</v>
      </c>
      <c r="AN31">
        <v>0.21615080811415693</v>
      </c>
      <c r="AO31">
        <v>0.21615080811415693</v>
      </c>
      <c r="AP31">
        <v>0.21615080811415693</v>
      </c>
      <c r="AQ31">
        <v>0.21615080811415693</v>
      </c>
      <c r="AR31">
        <v>0.21615080811415693</v>
      </c>
      <c r="AS31">
        <v>0.21615080811415693</v>
      </c>
      <c r="AT31">
        <v>0.21615080811415693</v>
      </c>
      <c r="AU31">
        <v>0.21615080811415693</v>
      </c>
      <c r="AV31">
        <v>0.21615080811415693</v>
      </c>
      <c r="AW31">
        <v>0.21615080811415693</v>
      </c>
      <c r="AX31">
        <v>0.21615080811415693</v>
      </c>
      <c r="AY31">
        <v>0.21615080811415693</v>
      </c>
      <c r="AZ31">
        <v>0.21615080811415693</v>
      </c>
      <c r="BA31">
        <v>0.21615080811415693</v>
      </c>
      <c r="BB31">
        <v>0.21615080811415693</v>
      </c>
      <c r="BC31">
        <v>0.21615080811415693</v>
      </c>
      <c r="BD31">
        <v>0.21615080811415693</v>
      </c>
      <c r="BE31">
        <v>0.21615080811415693</v>
      </c>
      <c r="BF31">
        <v>0.21615080811415693</v>
      </c>
      <c r="BG31">
        <v>0.21615080811415693</v>
      </c>
      <c r="BH31">
        <v>0.21615080811415693</v>
      </c>
      <c r="BI31">
        <v>0.21615080811415693</v>
      </c>
      <c r="BJ31">
        <v>0.21615080811415693</v>
      </c>
      <c r="BK31">
        <v>0.21615080811415693</v>
      </c>
      <c r="BL31">
        <v>0.21615080811415693</v>
      </c>
      <c r="BM31">
        <v>0.21615080811415693</v>
      </c>
      <c r="BN31">
        <v>0.21615080811415693</v>
      </c>
      <c r="BO31">
        <v>0.21615080811415693</v>
      </c>
      <c r="BP31">
        <v>0.21615080811415693</v>
      </c>
      <c r="BQ31">
        <v>0.21615080811415693</v>
      </c>
      <c r="BR31">
        <v>0.21615080811415693</v>
      </c>
      <c r="BS31">
        <v>0.21615080811415693</v>
      </c>
      <c r="BT31">
        <v>0.21615080811415693</v>
      </c>
      <c r="BU31">
        <v>0.21615080811415693</v>
      </c>
      <c r="BV31">
        <v>0.21615080811415693</v>
      </c>
      <c r="BW31">
        <v>0.21615080811415693</v>
      </c>
      <c r="BX31">
        <v>0.21615080811415693</v>
      </c>
      <c r="BY31">
        <v>0.21615080811415693</v>
      </c>
      <c r="BZ31">
        <v>0.21615080811415693</v>
      </c>
      <c r="CA31">
        <v>0.21615080811415693</v>
      </c>
      <c r="CB31">
        <v>0.21615080811415693</v>
      </c>
      <c r="CC31">
        <v>0.21615080811415693</v>
      </c>
      <c r="CD31">
        <v>0.21615080811415693</v>
      </c>
      <c r="CE31">
        <v>0.21615080811415693</v>
      </c>
      <c r="CF31">
        <v>0.21615080811415693</v>
      </c>
      <c r="CG31">
        <v>0.21615080811415693</v>
      </c>
      <c r="CH31">
        <v>0.21615080811415693</v>
      </c>
      <c r="CI31">
        <v>0.21615080811415693</v>
      </c>
      <c r="CJ31">
        <v>0.21615080811415693</v>
      </c>
      <c r="CK31">
        <v>0.21615080811415693</v>
      </c>
      <c r="CL31">
        <v>0.21615080811415693</v>
      </c>
      <c r="CM31">
        <v>0.21615080811415693</v>
      </c>
      <c r="CN31">
        <v>0.21615080811415693</v>
      </c>
      <c r="CO31">
        <v>0.21615080811415693</v>
      </c>
      <c r="CP31">
        <v>0.21615080811415693</v>
      </c>
      <c r="CQ31">
        <v>0.21615080811415693</v>
      </c>
      <c r="CR31">
        <v>0.21615080811415693</v>
      </c>
      <c r="CS31">
        <v>0.21615080811415693</v>
      </c>
      <c r="CT31">
        <v>0.21615080811415693</v>
      </c>
      <c r="CU31">
        <v>0.21615080811415693</v>
      </c>
      <c r="CV31">
        <v>0.21615080811415693</v>
      </c>
      <c r="CW31">
        <v>0.21615080811415693</v>
      </c>
      <c r="CX31">
        <v>0.21615080811415693</v>
      </c>
      <c r="CY31">
        <v>0.21615080811415693</v>
      </c>
      <c r="CZ31">
        <v>0.21615080811415693</v>
      </c>
    </row>
    <row r="32" spans="1:104" x14ac:dyDescent="0.35">
      <c r="A32" s="26"/>
      <c r="B32" s="26" t="s">
        <v>409</v>
      </c>
      <c r="C32" s="26" t="str">
        <f t="shared" si="0"/>
        <v>AttributionalPENRT</v>
      </c>
      <c r="D32" s="193">
        <v>0.66111111111111109</v>
      </c>
      <c r="E32" s="193">
        <v>0.6166666666666667</v>
      </c>
      <c r="F32" s="193">
        <v>0.51666666666666672</v>
      </c>
      <c r="G32" s="193">
        <v>0.52499999999999991</v>
      </c>
      <c r="H32" s="193">
        <v>0.52777777777777779</v>
      </c>
      <c r="I32" s="193">
        <v>0.51111111111111107</v>
      </c>
      <c r="J32" s="193">
        <v>0.50277777777777777</v>
      </c>
      <c r="K32" s="193">
        <v>0.49722222222222223</v>
      </c>
      <c r="L32" s="193">
        <v>0.49444444444444446</v>
      </c>
      <c r="M32" s="193">
        <v>0.41388888888888886</v>
      </c>
      <c r="N32" s="193">
        <v>0.36388888888888887</v>
      </c>
      <c r="O32" s="193">
        <v>0.34444444444444444</v>
      </c>
      <c r="P32" s="193">
        <v>0.33611111111111108</v>
      </c>
      <c r="Q32" s="193">
        <v>0.31388888888888883</v>
      </c>
      <c r="R32" s="193">
        <v>0.31111111111111112</v>
      </c>
      <c r="S32" s="193">
        <v>0.30833333333333335</v>
      </c>
      <c r="T32" s="193">
        <v>0.30555555555555558</v>
      </c>
      <c r="U32" s="193">
        <v>0.24194444444444443</v>
      </c>
      <c r="V32" s="193">
        <v>0.22166666666666668</v>
      </c>
      <c r="W32" s="193">
        <v>0.22027777777777779</v>
      </c>
      <c r="X32" s="193">
        <v>0.2175</v>
      </c>
      <c r="Y32" s="193">
        <v>0.21111111111111111</v>
      </c>
      <c r="Z32" s="193">
        <v>0.21611111111111111</v>
      </c>
      <c r="AA32" s="193">
        <v>0.20444444444444443</v>
      </c>
      <c r="AB32" s="193">
        <v>0.20861111111111111</v>
      </c>
      <c r="AC32" s="193">
        <v>0.20555555555555555</v>
      </c>
      <c r="AD32" s="193">
        <v>0.21277777777777779</v>
      </c>
      <c r="AE32" s="193">
        <v>0.21305555555555555</v>
      </c>
      <c r="AF32" s="193">
        <v>0.21611111111111111</v>
      </c>
      <c r="AG32" s="193">
        <v>0.22</v>
      </c>
      <c r="AH32">
        <v>0.22</v>
      </c>
      <c r="AI32">
        <v>0.22</v>
      </c>
      <c r="AJ32">
        <v>0.22</v>
      </c>
      <c r="AK32">
        <v>0.22</v>
      </c>
      <c r="AL32">
        <v>0.22</v>
      </c>
      <c r="AM32">
        <v>0.22</v>
      </c>
      <c r="AN32">
        <v>0.22</v>
      </c>
      <c r="AO32">
        <v>0.22</v>
      </c>
      <c r="AP32">
        <v>0.22</v>
      </c>
      <c r="AQ32">
        <v>0.22</v>
      </c>
      <c r="AR32">
        <v>0.22</v>
      </c>
      <c r="AS32">
        <v>0.22</v>
      </c>
      <c r="AT32">
        <v>0.22</v>
      </c>
      <c r="AU32">
        <v>0.22</v>
      </c>
      <c r="AV32">
        <v>0.22</v>
      </c>
      <c r="AW32">
        <v>0.22</v>
      </c>
      <c r="AX32">
        <v>0.22</v>
      </c>
      <c r="AY32">
        <v>0.22</v>
      </c>
      <c r="AZ32">
        <v>0.22</v>
      </c>
      <c r="BA32">
        <v>0.22</v>
      </c>
      <c r="BB32">
        <v>0.22</v>
      </c>
      <c r="BC32">
        <v>0.22</v>
      </c>
      <c r="BD32">
        <v>0.22</v>
      </c>
      <c r="BE32">
        <v>0.22</v>
      </c>
      <c r="BF32">
        <v>0.22</v>
      </c>
      <c r="BG32">
        <v>0.22</v>
      </c>
      <c r="BH32">
        <v>0.22</v>
      </c>
      <c r="BI32">
        <v>0.22</v>
      </c>
      <c r="BJ32">
        <v>0.22</v>
      </c>
      <c r="BK32">
        <v>0.22</v>
      </c>
      <c r="BL32">
        <v>0.22</v>
      </c>
      <c r="BM32">
        <v>0.22</v>
      </c>
      <c r="BN32">
        <v>0.22</v>
      </c>
      <c r="BO32">
        <v>0.22</v>
      </c>
      <c r="BP32">
        <v>0.22</v>
      </c>
      <c r="BQ32">
        <v>0.22</v>
      </c>
      <c r="BR32">
        <v>0.22</v>
      </c>
      <c r="BS32">
        <v>0.22</v>
      </c>
      <c r="BT32">
        <v>0.22</v>
      </c>
      <c r="BU32">
        <v>0.22</v>
      </c>
      <c r="BV32">
        <v>0.22</v>
      </c>
      <c r="BW32">
        <v>0.22</v>
      </c>
      <c r="BX32">
        <v>0.22</v>
      </c>
      <c r="BY32">
        <v>0.22</v>
      </c>
      <c r="BZ32">
        <v>0.22</v>
      </c>
      <c r="CA32">
        <v>0.22</v>
      </c>
      <c r="CB32">
        <v>0.22</v>
      </c>
      <c r="CC32">
        <v>0.22</v>
      </c>
      <c r="CD32">
        <v>0.22</v>
      </c>
      <c r="CE32">
        <v>0.22</v>
      </c>
      <c r="CF32">
        <v>0.22</v>
      </c>
      <c r="CG32">
        <v>0.22</v>
      </c>
      <c r="CH32">
        <v>0.22</v>
      </c>
      <c r="CI32">
        <v>0.22</v>
      </c>
      <c r="CJ32">
        <v>0.22</v>
      </c>
      <c r="CK32">
        <v>0.22</v>
      </c>
      <c r="CL32">
        <v>0.22</v>
      </c>
      <c r="CM32">
        <v>0.22</v>
      </c>
      <c r="CN32">
        <v>0.22</v>
      </c>
      <c r="CO32">
        <v>0.22</v>
      </c>
      <c r="CP32">
        <v>0.22</v>
      </c>
      <c r="CQ32">
        <v>0.22</v>
      </c>
      <c r="CR32">
        <v>0.22</v>
      </c>
      <c r="CS32">
        <v>0.22</v>
      </c>
      <c r="CT32">
        <v>0.22</v>
      </c>
      <c r="CU32">
        <v>0.22</v>
      </c>
      <c r="CV32">
        <v>0.22</v>
      </c>
      <c r="CW32">
        <v>0.22</v>
      </c>
      <c r="CX32">
        <v>0.22</v>
      </c>
      <c r="CY32">
        <v>0.22</v>
      </c>
      <c r="CZ32">
        <v>0.22</v>
      </c>
    </row>
    <row r="33" spans="1:104" x14ac:dyDescent="0.35">
      <c r="A33" s="26"/>
      <c r="B33" s="26" t="s">
        <v>411</v>
      </c>
      <c r="C33" s="26" t="str">
        <f t="shared" si="0"/>
        <v>AttributionalPERT</v>
      </c>
      <c r="D33" s="193">
        <v>0.78333333333333321</v>
      </c>
      <c r="E33" s="193">
        <v>0.7583333333333333</v>
      </c>
      <c r="F33" s="193">
        <v>0.74722222222222223</v>
      </c>
      <c r="G33" s="193">
        <v>0.74444444444444446</v>
      </c>
      <c r="H33" s="193">
        <v>0.74722222222222223</v>
      </c>
      <c r="I33" s="193">
        <v>0.76111111111111118</v>
      </c>
      <c r="J33" s="193">
        <v>0.76388888888888884</v>
      </c>
      <c r="K33" s="193">
        <v>0.76944444444444438</v>
      </c>
      <c r="L33" s="193">
        <v>0.76944444444444438</v>
      </c>
      <c r="M33" s="193">
        <v>0.80555555555555547</v>
      </c>
      <c r="N33" s="193">
        <v>0.80833333333333335</v>
      </c>
      <c r="O33" s="193">
        <v>0.78055555555555556</v>
      </c>
      <c r="P33" s="193">
        <v>0.78333333333333321</v>
      </c>
      <c r="Q33" s="193">
        <v>0.78888888888888886</v>
      </c>
      <c r="R33" s="193">
        <v>0.78888888888888886</v>
      </c>
      <c r="S33" s="193">
        <v>0.81944444444444442</v>
      </c>
      <c r="T33" s="193">
        <v>0.82500000000000007</v>
      </c>
      <c r="U33" s="193">
        <v>0.84444444444444444</v>
      </c>
      <c r="V33" s="193">
        <v>0.86944444444444435</v>
      </c>
      <c r="W33" s="193">
        <v>0.875</v>
      </c>
      <c r="X33" s="193">
        <v>0.88055555555555554</v>
      </c>
      <c r="Y33" s="193">
        <v>0.88055555555555554</v>
      </c>
      <c r="Z33" s="193">
        <v>0.875</v>
      </c>
      <c r="AA33" s="193">
        <v>0.875</v>
      </c>
      <c r="AB33" s="193">
        <v>0.87222222222222223</v>
      </c>
      <c r="AC33" s="193">
        <v>0.86944444444444435</v>
      </c>
      <c r="AD33" s="193">
        <v>0.86388888888888882</v>
      </c>
      <c r="AE33" s="193">
        <v>0.8666666666666667</v>
      </c>
      <c r="AF33" s="193">
        <v>0.86111111111111116</v>
      </c>
      <c r="AG33" s="193">
        <v>0.86111111111111116</v>
      </c>
      <c r="AH33">
        <v>0.86111111111111116</v>
      </c>
      <c r="AI33">
        <v>0.86111111111111116</v>
      </c>
      <c r="AJ33">
        <v>0.86111111111111116</v>
      </c>
      <c r="AK33">
        <v>0.86111111111111116</v>
      </c>
      <c r="AL33">
        <v>0.86111111111111116</v>
      </c>
      <c r="AM33">
        <v>0.86111111111111116</v>
      </c>
      <c r="AN33">
        <v>0.86111111111111116</v>
      </c>
      <c r="AO33">
        <v>0.86111111111111116</v>
      </c>
      <c r="AP33">
        <v>0.86111111111111116</v>
      </c>
      <c r="AQ33">
        <v>0.86111111111111116</v>
      </c>
      <c r="AR33">
        <v>0.86111111111111116</v>
      </c>
      <c r="AS33">
        <v>0.86111111111111116</v>
      </c>
      <c r="AT33">
        <v>0.86111111111111116</v>
      </c>
      <c r="AU33">
        <v>0.86111111111111116</v>
      </c>
      <c r="AV33">
        <v>0.86111111111111116</v>
      </c>
      <c r="AW33">
        <v>0.86111111111111116</v>
      </c>
      <c r="AX33">
        <v>0.86111111111111116</v>
      </c>
      <c r="AY33">
        <v>0.86111111111111116</v>
      </c>
      <c r="AZ33">
        <v>0.86111111111111116</v>
      </c>
      <c r="BA33">
        <v>0.86111111111111116</v>
      </c>
      <c r="BB33">
        <v>0.86111111111111116</v>
      </c>
      <c r="BC33">
        <v>0.86111111111111116</v>
      </c>
      <c r="BD33">
        <v>0.86111111111111116</v>
      </c>
      <c r="BE33">
        <v>0.86111111111111116</v>
      </c>
      <c r="BF33">
        <v>0.86111111111111116</v>
      </c>
      <c r="BG33">
        <v>0.86111111111111116</v>
      </c>
      <c r="BH33">
        <v>0.86111111111111116</v>
      </c>
      <c r="BI33">
        <v>0.86111111111111116</v>
      </c>
      <c r="BJ33">
        <v>0.86111111111111116</v>
      </c>
      <c r="BK33">
        <v>0.86111111111111116</v>
      </c>
      <c r="BL33">
        <v>0.86111111111111116</v>
      </c>
      <c r="BM33">
        <v>0.86111111111111116</v>
      </c>
      <c r="BN33">
        <v>0.86111111111111116</v>
      </c>
      <c r="BO33">
        <v>0.86111111111111116</v>
      </c>
      <c r="BP33">
        <v>0.86111111111111116</v>
      </c>
      <c r="BQ33">
        <v>0.86111111111111116</v>
      </c>
      <c r="BR33">
        <v>0.86111111111111116</v>
      </c>
      <c r="BS33">
        <v>0.86111111111111116</v>
      </c>
      <c r="BT33">
        <v>0.86111111111111116</v>
      </c>
      <c r="BU33">
        <v>0.86111111111111116</v>
      </c>
      <c r="BV33">
        <v>0.86111111111111116</v>
      </c>
      <c r="BW33">
        <v>0.86111111111111116</v>
      </c>
      <c r="BX33">
        <v>0.86111111111111116</v>
      </c>
      <c r="BY33">
        <v>0.86111111111111116</v>
      </c>
      <c r="BZ33">
        <v>0.86111111111111116</v>
      </c>
      <c r="CA33">
        <v>0.86111111111111116</v>
      </c>
      <c r="CB33">
        <v>0.86111111111111116</v>
      </c>
      <c r="CC33">
        <v>0.86111111111111116</v>
      </c>
      <c r="CD33">
        <v>0.86111111111111116</v>
      </c>
      <c r="CE33">
        <v>0.86111111111111116</v>
      </c>
      <c r="CF33">
        <v>0.86111111111111116</v>
      </c>
      <c r="CG33">
        <v>0.86111111111111116</v>
      </c>
      <c r="CH33">
        <v>0.86111111111111116</v>
      </c>
      <c r="CI33">
        <v>0.86111111111111116</v>
      </c>
      <c r="CJ33">
        <v>0.86111111111111116</v>
      </c>
      <c r="CK33">
        <v>0.86111111111111116</v>
      </c>
      <c r="CL33">
        <v>0.86111111111111116</v>
      </c>
      <c r="CM33">
        <v>0.86111111111111116</v>
      </c>
      <c r="CN33">
        <v>0.86111111111111116</v>
      </c>
      <c r="CO33">
        <v>0.86111111111111116</v>
      </c>
      <c r="CP33">
        <v>0.86111111111111116</v>
      </c>
      <c r="CQ33">
        <v>0.86111111111111116</v>
      </c>
      <c r="CR33">
        <v>0.86111111111111116</v>
      </c>
      <c r="CS33">
        <v>0.86111111111111116</v>
      </c>
      <c r="CT33">
        <v>0.86111111111111116</v>
      </c>
      <c r="CU33">
        <v>0.86111111111111116</v>
      </c>
      <c r="CV33">
        <v>0.86111111111111116</v>
      </c>
      <c r="CW33">
        <v>0.86111111111111116</v>
      </c>
      <c r="CX33">
        <v>0.86111111111111116</v>
      </c>
      <c r="CY33">
        <v>0.86111111111111116</v>
      </c>
      <c r="CZ33">
        <v>0.86111111111111116</v>
      </c>
    </row>
    <row r="34" spans="1:104" x14ac:dyDescent="0.35">
      <c r="A34" s="26"/>
      <c r="B34" s="26" t="s">
        <v>942</v>
      </c>
      <c r="C34" s="26" t="str">
        <f t="shared" si="0"/>
        <v>AttributionalPED</v>
      </c>
      <c r="D34" s="193">
        <v>1.4444444444444444</v>
      </c>
      <c r="E34" s="193">
        <v>1.375</v>
      </c>
      <c r="F34" s="193">
        <v>1.2638888888888888</v>
      </c>
      <c r="G34" s="193">
        <v>1.2694444444444446</v>
      </c>
      <c r="H34" s="193">
        <v>1.2749999999999999</v>
      </c>
      <c r="I34" s="193">
        <v>1.2722222222222221</v>
      </c>
      <c r="J34" s="193">
        <v>1.2666666666666666</v>
      </c>
      <c r="K34" s="193">
        <v>1.2666666666666666</v>
      </c>
      <c r="L34" s="193">
        <v>1.2666666666666666</v>
      </c>
      <c r="M34" s="193">
        <v>1.2166666666666666</v>
      </c>
      <c r="N34" s="193">
        <v>1.1722222222222221</v>
      </c>
      <c r="O34" s="193">
        <v>1.125</v>
      </c>
      <c r="P34" s="193">
        <v>1.1194444444444445</v>
      </c>
      <c r="Q34" s="193">
        <v>1.1027777777777779</v>
      </c>
      <c r="R34" s="193">
        <v>1.1027777777777779</v>
      </c>
      <c r="S34" s="193">
        <v>1.1277777777777775</v>
      </c>
      <c r="T34" s="193">
        <v>1.1305555555555555</v>
      </c>
      <c r="U34" s="193">
        <v>1.086111111111111</v>
      </c>
      <c r="V34" s="193">
        <v>1.0916666666666668</v>
      </c>
      <c r="W34" s="193">
        <v>1.0944444444444443</v>
      </c>
      <c r="X34" s="193">
        <v>1.0972222222222223</v>
      </c>
      <c r="Y34" s="193">
        <v>1.0916666666666668</v>
      </c>
      <c r="Z34" s="193">
        <v>1.0916666666666668</v>
      </c>
      <c r="AA34" s="193">
        <v>1.0805555555555555</v>
      </c>
      <c r="AB34" s="193">
        <v>1.0805555555555555</v>
      </c>
      <c r="AC34" s="193">
        <v>1.075</v>
      </c>
      <c r="AD34" s="193">
        <v>1.0777777777777777</v>
      </c>
      <c r="AE34" s="193">
        <v>1.0777777777777777</v>
      </c>
      <c r="AF34" s="193">
        <v>1.0777777777777777</v>
      </c>
      <c r="AG34" s="193">
        <v>1.0805555555555555</v>
      </c>
      <c r="AH34">
        <v>1.0805555555555555</v>
      </c>
      <c r="AI34">
        <v>1.0805555555555555</v>
      </c>
      <c r="AJ34">
        <v>1.0805555555555555</v>
      </c>
      <c r="AK34">
        <v>1.0805555555555555</v>
      </c>
      <c r="AL34">
        <v>1.0805555555555555</v>
      </c>
      <c r="AM34">
        <v>1.0805555555555555</v>
      </c>
      <c r="AN34">
        <v>1.0805555555555555</v>
      </c>
      <c r="AO34">
        <v>1.0805555555555555</v>
      </c>
      <c r="AP34">
        <v>1.0805555555555555</v>
      </c>
      <c r="AQ34">
        <v>1.0805555555555555</v>
      </c>
      <c r="AR34">
        <v>1.0805555555555555</v>
      </c>
      <c r="AS34">
        <v>1.0805555555555555</v>
      </c>
      <c r="AT34">
        <v>1.0805555555555555</v>
      </c>
      <c r="AU34">
        <v>1.0805555555555555</v>
      </c>
      <c r="AV34">
        <v>1.0805555555555555</v>
      </c>
      <c r="AW34">
        <v>1.0805555555555555</v>
      </c>
      <c r="AX34">
        <v>1.0805555555555555</v>
      </c>
      <c r="AY34">
        <v>1.0805555555555555</v>
      </c>
      <c r="AZ34">
        <v>1.0805555555555555</v>
      </c>
      <c r="BA34">
        <v>1.0805555555555555</v>
      </c>
      <c r="BB34">
        <v>1.0805555555555555</v>
      </c>
      <c r="BC34">
        <v>1.0805555555555555</v>
      </c>
      <c r="BD34">
        <v>1.0805555555555555</v>
      </c>
      <c r="BE34">
        <v>1.0805555555555555</v>
      </c>
      <c r="BF34">
        <v>1.0805555555555555</v>
      </c>
      <c r="BG34">
        <v>1.0805555555555555</v>
      </c>
      <c r="BH34">
        <v>1.0805555555555555</v>
      </c>
      <c r="BI34">
        <v>1.0805555555555555</v>
      </c>
      <c r="BJ34">
        <v>1.0805555555555555</v>
      </c>
      <c r="BK34">
        <v>1.0805555555555555</v>
      </c>
      <c r="BL34">
        <v>1.0805555555555555</v>
      </c>
      <c r="BM34">
        <v>1.0805555555555555</v>
      </c>
      <c r="BN34">
        <v>1.0805555555555555</v>
      </c>
      <c r="BO34">
        <v>1.0805555555555555</v>
      </c>
      <c r="BP34">
        <v>1.0805555555555555</v>
      </c>
      <c r="BQ34">
        <v>1.0805555555555555</v>
      </c>
      <c r="BR34">
        <v>1.0805555555555555</v>
      </c>
      <c r="BS34">
        <v>1.0805555555555555</v>
      </c>
      <c r="BT34">
        <v>1.0805555555555555</v>
      </c>
      <c r="BU34">
        <v>1.0805555555555555</v>
      </c>
      <c r="BV34">
        <v>1.0805555555555555</v>
      </c>
      <c r="BW34">
        <v>1.0805555555555555</v>
      </c>
      <c r="BX34">
        <v>1.0805555555555555</v>
      </c>
      <c r="BY34">
        <v>1.0805555555555555</v>
      </c>
      <c r="BZ34">
        <v>1.0805555555555555</v>
      </c>
      <c r="CA34">
        <v>1.0805555555555555</v>
      </c>
      <c r="CB34">
        <v>1.0805555555555555</v>
      </c>
      <c r="CC34">
        <v>1.0805555555555555</v>
      </c>
      <c r="CD34">
        <v>1.0805555555555555</v>
      </c>
      <c r="CE34">
        <v>1.0805555555555555</v>
      </c>
      <c r="CF34">
        <v>1.0805555555555555</v>
      </c>
      <c r="CG34">
        <v>1.0805555555555555</v>
      </c>
      <c r="CH34">
        <v>1.0805555555555555</v>
      </c>
      <c r="CI34">
        <v>1.0805555555555555</v>
      </c>
      <c r="CJ34">
        <v>1.0805555555555555</v>
      </c>
      <c r="CK34">
        <v>1.0805555555555555</v>
      </c>
      <c r="CL34">
        <v>1.0805555555555555</v>
      </c>
      <c r="CM34">
        <v>1.0805555555555555</v>
      </c>
      <c r="CN34">
        <v>1.0805555555555555</v>
      </c>
      <c r="CO34">
        <v>1.0805555555555555</v>
      </c>
      <c r="CP34">
        <v>1.0805555555555555</v>
      </c>
      <c r="CQ34">
        <v>1.0805555555555555</v>
      </c>
      <c r="CR34">
        <v>1.0805555555555555</v>
      </c>
      <c r="CS34">
        <v>1.0805555555555555</v>
      </c>
      <c r="CT34">
        <v>1.0805555555555555</v>
      </c>
      <c r="CU34">
        <v>1.0805555555555555</v>
      </c>
      <c r="CV34">
        <v>1.0805555555555555</v>
      </c>
      <c r="CW34">
        <v>1.0805555555555555</v>
      </c>
      <c r="CX34">
        <v>1.0805555555555555</v>
      </c>
      <c r="CY34">
        <v>1.0805555555555555</v>
      </c>
      <c r="CZ34">
        <v>1.0805555555555555</v>
      </c>
    </row>
    <row r="35" spans="1:104" x14ac:dyDescent="0.35">
      <c r="A35" s="27" t="s">
        <v>485</v>
      </c>
      <c r="B35" s="27" t="s">
        <v>382</v>
      </c>
      <c r="C35" s="27" t="str">
        <f>$A$35&amp;B35</f>
        <v>ConsequentialGWP</v>
      </c>
      <c r="D35" s="28">
        <v>5.0444702610357814E-2</v>
      </c>
      <c r="E35" s="28">
        <v>4.8991301285203404E-2</v>
      </c>
      <c r="F35" s="28">
        <v>4.2410786213655148E-2</v>
      </c>
      <c r="G35" s="28">
        <v>4.2890590865403151E-2</v>
      </c>
      <c r="H35" s="28">
        <v>4.4080283646511266E-2</v>
      </c>
      <c r="I35" s="28">
        <v>4.1561168101184834E-2</v>
      </c>
      <c r="J35" s="28">
        <v>4.1988796625319361E-2</v>
      </c>
      <c r="K35" s="28">
        <v>4.0565711297837634E-2</v>
      </c>
      <c r="L35" s="28">
        <v>4.2519309722809803E-2</v>
      </c>
      <c r="M35" s="28">
        <v>3.5978924913536353E-2</v>
      </c>
      <c r="N35" s="28">
        <v>3.3007487832659776E-2</v>
      </c>
      <c r="O35" s="28">
        <v>3.1921366734475681E-2</v>
      </c>
      <c r="P35" s="28">
        <v>3.2746480642243822E-2</v>
      </c>
      <c r="Q35" s="28">
        <v>3.105434052433155E-2</v>
      </c>
      <c r="R35" s="28">
        <v>3.1828887573155766E-2</v>
      </c>
      <c r="S35" s="28">
        <v>2.9386703330604277E-2</v>
      </c>
      <c r="T35" s="28">
        <v>3.0198305130714011E-2</v>
      </c>
      <c r="U35" s="28">
        <v>2.6232740658902274E-2</v>
      </c>
      <c r="V35" s="28">
        <v>2.3608793681793059E-2</v>
      </c>
      <c r="W35" s="28">
        <v>2.2738032977646958E-2</v>
      </c>
      <c r="X35" s="28">
        <v>2.3382718495134694E-2</v>
      </c>
      <c r="Y35" s="28">
        <v>2.187939328297326E-2</v>
      </c>
      <c r="Z35" s="28">
        <v>2.2993753172484001E-2</v>
      </c>
      <c r="AA35" s="28">
        <v>2.2334082901055881E-2</v>
      </c>
      <c r="AB35" s="28">
        <v>2.3128813095884448E-2</v>
      </c>
      <c r="AC35" s="28">
        <v>2.2901805663521485E-2</v>
      </c>
      <c r="AD35" s="28">
        <v>2.2690173301688203E-2</v>
      </c>
      <c r="AE35" s="28">
        <v>2.2982159076169253E-2</v>
      </c>
      <c r="AF35" s="28">
        <v>2.2874813483237704E-2</v>
      </c>
      <c r="AG35" s="28">
        <v>2.3024396409403597E-2</v>
      </c>
      <c r="AH35">
        <v>2.3024396409403597E-2</v>
      </c>
      <c r="AI35">
        <v>2.3024396409403597E-2</v>
      </c>
      <c r="AJ35">
        <v>2.3024396409403597E-2</v>
      </c>
      <c r="AK35">
        <v>2.3024396409403597E-2</v>
      </c>
      <c r="AL35">
        <v>2.3024396409403597E-2</v>
      </c>
      <c r="AM35">
        <v>2.3024396409403597E-2</v>
      </c>
      <c r="AN35">
        <v>2.3024396409403597E-2</v>
      </c>
      <c r="AO35">
        <v>2.3024396409403597E-2</v>
      </c>
      <c r="AP35">
        <v>2.3024396409403597E-2</v>
      </c>
      <c r="AQ35">
        <v>2.3024396409403597E-2</v>
      </c>
      <c r="AR35">
        <v>2.3024396409403597E-2</v>
      </c>
      <c r="AS35">
        <v>2.3024396409403597E-2</v>
      </c>
      <c r="AT35">
        <v>2.3024396409403597E-2</v>
      </c>
      <c r="AU35">
        <v>2.3024396409403597E-2</v>
      </c>
      <c r="AV35">
        <v>2.3024396409403597E-2</v>
      </c>
      <c r="AW35">
        <v>2.3024396409403597E-2</v>
      </c>
      <c r="AX35">
        <v>2.3024396409403597E-2</v>
      </c>
      <c r="AY35">
        <v>2.3024396409403597E-2</v>
      </c>
      <c r="AZ35">
        <v>2.3024396409403597E-2</v>
      </c>
      <c r="BA35">
        <v>2.3024396409403597E-2</v>
      </c>
      <c r="BB35">
        <v>2.3024396409403597E-2</v>
      </c>
      <c r="BC35">
        <v>2.3024396409403597E-2</v>
      </c>
      <c r="BD35">
        <v>2.3024396409403597E-2</v>
      </c>
      <c r="BE35">
        <v>2.3024396409403597E-2</v>
      </c>
      <c r="BF35">
        <v>2.3024396409403597E-2</v>
      </c>
      <c r="BG35">
        <v>2.3024396409403597E-2</v>
      </c>
      <c r="BH35">
        <v>2.3024396409403597E-2</v>
      </c>
      <c r="BI35">
        <v>2.3024396409403597E-2</v>
      </c>
      <c r="BJ35">
        <v>2.3024396409403597E-2</v>
      </c>
      <c r="BK35">
        <v>2.3024396409403597E-2</v>
      </c>
      <c r="BL35">
        <v>2.3024396409403597E-2</v>
      </c>
      <c r="BM35">
        <v>2.3024396409403597E-2</v>
      </c>
      <c r="BN35">
        <v>2.3024396409403597E-2</v>
      </c>
      <c r="BO35">
        <v>2.3024396409403597E-2</v>
      </c>
      <c r="BP35">
        <v>2.3024396409403597E-2</v>
      </c>
      <c r="BQ35">
        <v>2.3024396409403597E-2</v>
      </c>
      <c r="BR35">
        <v>2.3024396409403597E-2</v>
      </c>
      <c r="BS35">
        <v>2.3024396409403597E-2</v>
      </c>
      <c r="BT35">
        <v>2.3024396409403597E-2</v>
      </c>
      <c r="BU35">
        <v>2.3024396409403597E-2</v>
      </c>
      <c r="BV35">
        <v>2.3024396409403597E-2</v>
      </c>
      <c r="BW35">
        <v>2.3024396409403597E-2</v>
      </c>
      <c r="BX35">
        <v>2.3024396409403597E-2</v>
      </c>
      <c r="BY35">
        <v>2.3024396409403597E-2</v>
      </c>
      <c r="BZ35">
        <v>2.3024396409403597E-2</v>
      </c>
      <c r="CA35">
        <v>2.3024396409403597E-2</v>
      </c>
      <c r="CB35">
        <v>2.3024396409403597E-2</v>
      </c>
      <c r="CC35">
        <v>2.3024396409403597E-2</v>
      </c>
      <c r="CD35">
        <v>2.3024396409403597E-2</v>
      </c>
      <c r="CE35">
        <v>2.3024396409403597E-2</v>
      </c>
      <c r="CF35">
        <v>2.3024396409403597E-2</v>
      </c>
      <c r="CG35">
        <v>2.3024396409403597E-2</v>
      </c>
      <c r="CH35">
        <v>2.3024396409403597E-2</v>
      </c>
      <c r="CI35">
        <v>2.3024396409403597E-2</v>
      </c>
      <c r="CJ35">
        <v>2.3024396409403597E-2</v>
      </c>
      <c r="CK35">
        <v>2.3024396409403597E-2</v>
      </c>
      <c r="CL35">
        <v>2.3024396409403597E-2</v>
      </c>
      <c r="CM35">
        <v>2.3024396409403597E-2</v>
      </c>
      <c r="CN35">
        <v>2.3024396409403597E-2</v>
      </c>
      <c r="CO35">
        <v>2.3024396409403597E-2</v>
      </c>
      <c r="CP35">
        <v>2.3024396409403597E-2</v>
      </c>
      <c r="CQ35">
        <v>2.3024396409403597E-2</v>
      </c>
      <c r="CR35">
        <v>2.3024396409403597E-2</v>
      </c>
      <c r="CS35">
        <v>2.3024396409403597E-2</v>
      </c>
      <c r="CT35">
        <v>2.3024396409403597E-2</v>
      </c>
      <c r="CU35">
        <v>2.3024396409403597E-2</v>
      </c>
      <c r="CV35">
        <v>2.3024396409403597E-2</v>
      </c>
      <c r="CW35">
        <v>2.3024396409403597E-2</v>
      </c>
      <c r="CX35">
        <v>2.3024396409403597E-2</v>
      </c>
      <c r="CY35">
        <v>2.3024396409403597E-2</v>
      </c>
      <c r="CZ35">
        <v>2.3024396409403597E-2</v>
      </c>
    </row>
    <row r="36" spans="1:104" x14ac:dyDescent="0.35">
      <c r="A36" s="27"/>
      <c r="B36" s="27" t="s">
        <v>403</v>
      </c>
      <c r="C36" s="27" t="str">
        <f t="shared" ref="C36:C44" si="1">$A$35&amp;B36</f>
        <v>ConsequentialODP</v>
      </c>
      <c r="D36" s="28">
        <v>3.5491562603090931E-10</v>
      </c>
      <c r="E36" s="28">
        <v>3.6694233301569994E-10</v>
      </c>
      <c r="F36" s="28">
        <v>2.2207124428468993E-10</v>
      </c>
      <c r="G36" s="28">
        <v>2.1952660498522111E-10</v>
      </c>
      <c r="H36" s="28">
        <v>2.9877810086144439E-10</v>
      </c>
      <c r="I36" s="28">
        <v>2.1344616582060378E-10</v>
      </c>
      <c r="J36" s="28">
        <v>2.7563786165627079E-10</v>
      </c>
      <c r="K36" s="28">
        <v>2.1048257052820826E-10</v>
      </c>
      <c r="L36" s="28">
        <v>3.6273934993913944E-10</v>
      </c>
      <c r="M36" s="28">
        <v>2.6617369227573606E-10</v>
      </c>
      <c r="N36" s="28">
        <v>2.6272073281362564E-10</v>
      </c>
      <c r="O36" s="28">
        <v>1.7578014340656322E-10</v>
      </c>
      <c r="P36" s="28">
        <v>2.7958685409464825E-10</v>
      </c>
      <c r="Q36" s="28">
        <v>2.5078335095697613E-10</v>
      </c>
      <c r="R36" s="28">
        <v>3.1867615742280794E-10</v>
      </c>
      <c r="S36" s="28">
        <v>2.443962397372603E-10</v>
      </c>
      <c r="T36" s="28">
        <v>3.0822570642964228E-10</v>
      </c>
      <c r="U36" s="28">
        <v>3.0275152820468172E-10</v>
      </c>
      <c r="V36" s="28">
        <v>2.7375313953875436E-10</v>
      </c>
      <c r="W36" s="28">
        <v>2.3603076926564061E-10</v>
      </c>
      <c r="X36" s="28">
        <v>3.1052609858932578E-10</v>
      </c>
      <c r="Y36" s="28">
        <v>2.3769208598491136E-10</v>
      </c>
      <c r="Z36" s="28">
        <v>3.0923296937100217E-10</v>
      </c>
      <c r="AA36" s="28">
        <v>2.9786894006152756E-10</v>
      </c>
      <c r="AB36" s="28">
        <v>3.4338807803935423E-10</v>
      </c>
      <c r="AC36" s="28">
        <v>3.333588547252107E-10</v>
      </c>
      <c r="AD36" s="28">
        <v>2.971184784739865E-10</v>
      </c>
      <c r="AE36" s="28">
        <v>3.2353875605113396E-10</v>
      </c>
      <c r="AF36" s="28">
        <v>3.0380832084147969E-10</v>
      </c>
      <c r="AG36" s="28">
        <v>3.0234839812977581E-10</v>
      </c>
      <c r="AH36">
        <v>3.0234839812977581E-10</v>
      </c>
      <c r="AI36">
        <v>3.0234839812977581E-10</v>
      </c>
      <c r="AJ36">
        <v>3.0234839812977581E-10</v>
      </c>
      <c r="AK36">
        <v>3.0234839812977581E-10</v>
      </c>
      <c r="AL36">
        <v>3.0234839812977581E-10</v>
      </c>
      <c r="AM36">
        <v>3.0234839812977581E-10</v>
      </c>
      <c r="AN36">
        <v>3.0234839812977581E-10</v>
      </c>
      <c r="AO36">
        <v>3.0234839812977581E-10</v>
      </c>
      <c r="AP36">
        <v>3.0234839812977581E-10</v>
      </c>
      <c r="AQ36">
        <v>3.0234839812977581E-10</v>
      </c>
      <c r="AR36">
        <v>3.0234839812977581E-10</v>
      </c>
      <c r="AS36">
        <v>3.0234839812977581E-10</v>
      </c>
      <c r="AT36">
        <v>3.0234839812977581E-10</v>
      </c>
      <c r="AU36">
        <v>3.0234839812977581E-10</v>
      </c>
      <c r="AV36">
        <v>3.0234839812977581E-10</v>
      </c>
      <c r="AW36">
        <v>3.0234839812977581E-10</v>
      </c>
      <c r="AX36">
        <v>3.0234839812977581E-10</v>
      </c>
      <c r="AY36">
        <v>3.0234839812977581E-10</v>
      </c>
      <c r="AZ36">
        <v>3.0234839812977581E-10</v>
      </c>
      <c r="BA36">
        <v>3.0234839812977581E-10</v>
      </c>
      <c r="BB36">
        <v>3.0234839812977581E-10</v>
      </c>
      <c r="BC36">
        <v>3.0234839812977581E-10</v>
      </c>
      <c r="BD36">
        <v>3.0234839812977581E-10</v>
      </c>
      <c r="BE36">
        <v>3.0234839812977581E-10</v>
      </c>
      <c r="BF36">
        <v>3.0234839812977581E-10</v>
      </c>
      <c r="BG36">
        <v>3.0234839812977581E-10</v>
      </c>
      <c r="BH36">
        <v>3.0234839812977581E-10</v>
      </c>
      <c r="BI36">
        <v>3.0234839812977581E-10</v>
      </c>
      <c r="BJ36">
        <v>3.0234839812977581E-10</v>
      </c>
      <c r="BK36">
        <v>3.0234839812977581E-10</v>
      </c>
      <c r="BL36">
        <v>3.0234839812977581E-10</v>
      </c>
      <c r="BM36">
        <v>3.0234839812977581E-10</v>
      </c>
      <c r="BN36">
        <v>3.0234839812977581E-10</v>
      </c>
      <c r="BO36">
        <v>3.0234839812977581E-10</v>
      </c>
      <c r="BP36">
        <v>3.0234839812977581E-10</v>
      </c>
      <c r="BQ36">
        <v>3.0234839812977581E-10</v>
      </c>
      <c r="BR36">
        <v>3.0234839812977581E-10</v>
      </c>
      <c r="BS36">
        <v>3.0234839812977581E-10</v>
      </c>
      <c r="BT36">
        <v>3.0234839812977581E-10</v>
      </c>
      <c r="BU36">
        <v>3.0234839812977581E-10</v>
      </c>
      <c r="BV36">
        <v>3.0234839812977581E-10</v>
      </c>
      <c r="BW36">
        <v>3.0234839812977581E-10</v>
      </c>
      <c r="BX36">
        <v>3.0234839812977581E-10</v>
      </c>
      <c r="BY36">
        <v>3.0234839812977581E-10</v>
      </c>
      <c r="BZ36">
        <v>3.0234839812977581E-10</v>
      </c>
      <c r="CA36">
        <v>3.0234839812977581E-10</v>
      </c>
      <c r="CB36">
        <v>3.0234839812977581E-10</v>
      </c>
      <c r="CC36">
        <v>3.0234839812977581E-10</v>
      </c>
      <c r="CD36">
        <v>3.0234839812977581E-10</v>
      </c>
      <c r="CE36">
        <v>3.0234839812977581E-10</v>
      </c>
      <c r="CF36">
        <v>3.0234839812977581E-10</v>
      </c>
      <c r="CG36">
        <v>3.0234839812977581E-10</v>
      </c>
      <c r="CH36">
        <v>3.0234839812977581E-10</v>
      </c>
      <c r="CI36">
        <v>3.0234839812977581E-10</v>
      </c>
      <c r="CJ36">
        <v>3.0234839812977581E-10</v>
      </c>
      <c r="CK36">
        <v>3.0234839812977581E-10</v>
      </c>
      <c r="CL36">
        <v>3.0234839812977581E-10</v>
      </c>
      <c r="CM36">
        <v>3.0234839812977581E-10</v>
      </c>
      <c r="CN36">
        <v>3.0234839812977581E-10</v>
      </c>
      <c r="CO36">
        <v>3.0234839812977581E-10</v>
      </c>
      <c r="CP36">
        <v>3.0234839812977581E-10</v>
      </c>
      <c r="CQ36">
        <v>3.0234839812977581E-10</v>
      </c>
      <c r="CR36">
        <v>3.0234839812977581E-10</v>
      </c>
      <c r="CS36">
        <v>3.0234839812977581E-10</v>
      </c>
      <c r="CT36">
        <v>3.0234839812977581E-10</v>
      </c>
      <c r="CU36">
        <v>3.0234839812977581E-10</v>
      </c>
      <c r="CV36">
        <v>3.0234839812977581E-10</v>
      </c>
      <c r="CW36">
        <v>3.0234839812977581E-10</v>
      </c>
      <c r="CX36">
        <v>3.0234839812977581E-10</v>
      </c>
      <c r="CY36">
        <v>3.0234839812977581E-10</v>
      </c>
      <c r="CZ36">
        <v>3.0234839812977581E-10</v>
      </c>
    </row>
    <row r="37" spans="1:104" x14ac:dyDescent="0.35">
      <c r="A37" s="27"/>
      <c r="B37" s="27" t="s">
        <v>379</v>
      </c>
      <c r="C37" s="27" t="str">
        <f t="shared" si="1"/>
        <v>ConsequentialAP</v>
      </c>
      <c r="D37" s="28">
        <v>4.2809773506198654E-4</v>
      </c>
      <c r="E37" s="28">
        <v>4.7634340158484053E-4</v>
      </c>
      <c r="F37" s="28">
        <v>5.3441043273097391E-4</v>
      </c>
      <c r="G37" s="28">
        <v>5.3264103695485729E-4</v>
      </c>
      <c r="H37" s="28">
        <v>5.368430018344542E-4</v>
      </c>
      <c r="I37" s="28">
        <v>5.1387481333655879E-4</v>
      </c>
      <c r="J37" s="28">
        <v>5.213408203916213E-4</v>
      </c>
      <c r="K37" s="28">
        <v>5.0665992020191132E-4</v>
      </c>
      <c r="L37" s="28">
        <v>5.2617472111688519E-4</v>
      </c>
      <c r="M37" s="28">
        <v>4.7157753677218062E-4</v>
      </c>
      <c r="N37" s="28">
        <v>4.4103905980750899E-4</v>
      </c>
      <c r="O37" s="28">
        <v>4.7814286588398976E-4</v>
      </c>
      <c r="P37" s="28">
        <v>4.8825074474587486E-4</v>
      </c>
      <c r="Q37" s="28">
        <v>4.9201208509748755E-4</v>
      </c>
      <c r="R37" s="28">
        <v>4.9940074280711616E-4</v>
      </c>
      <c r="S37" s="28">
        <v>4.5174328166431671E-4</v>
      </c>
      <c r="T37" s="28">
        <v>4.5503442446644972E-4</v>
      </c>
      <c r="U37" s="28">
        <v>4.6461611124788368E-4</v>
      </c>
      <c r="V37" s="28">
        <v>4.3847368287446432E-4</v>
      </c>
      <c r="W37" s="28">
        <v>4.2611329241910905E-4</v>
      </c>
      <c r="X37" s="28">
        <v>4.2856393873750686E-4</v>
      </c>
      <c r="Y37" s="28">
        <v>4.1786911644080456E-4</v>
      </c>
      <c r="Z37" s="28">
        <v>4.2402806801962863E-4</v>
      </c>
      <c r="AA37" s="28">
        <v>4.3262646732366439E-4</v>
      </c>
      <c r="AB37" s="28">
        <v>4.3681837580935933E-4</v>
      </c>
      <c r="AC37" s="28">
        <v>4.3982981469177241E-4</v>
      </c>
      <c r="AD37" s="28">
        <v>4.3298154975996664E-4</v>
      </c>
      <c r="AE37" s="28">
        <v>4.3435115083922433E-4</v>
      </c>
      <c r="AF37" s="28">
        <v>4.3237906702391305E-4</v>
      </c>
      <c r="AG37" s="28">
        <v>4.3092440941000753E-4</v>
      </c>
      <c r="AH37">
        <v>4.3092440941000753E-4</v>
      </c>
      <c r="AI37">
        <v>4.3092440941000753E-4</v>
      </c>
      <c r="AJ37">
        <v>4.3092440941000753E-4</v>
      </c>
      <c r="AK37">
        <v>4.3092440941000753E-4</v>
      </c>
      <c r="AL37">
        <v>4.3092440941000753E-4</v>
      </c>
      <c r="AM37">
        <v>4.3092440941000753E-4</v>
      </c>
      <c r="AN37">
        <v>4.3092440941000753E-4</v>
      </c>
      <c r="AO37">
        <v>4.3092440941000753E-4</v>
      </c>
      <c r="AP37">
        <v>4.3092440941000753E-4</v>
      </c>
      <c r="AQ37">
        <v>4.3092440941000753E-4</v>
      </c>
      <c r="AR37">
        <v>4.3092440941000753E-4</v>
      </c>
      <c r="AS37">
        <v>4.3092440941000753E-4</v>
      </c>
      <c r="AT37">
        <v>4.3092440941000753E-4</v>
      </c>
      <c r="AU37">
        <v>4.3092440941000753E-4</v>
      </c>
      <c r="AV37">
        <v>4.3092440941000753E-4</v>
      </c>
      <c r="AW37">
        <v>4.3092440941000753E-4</v>
      </c>
      <c r="AX37">
        <v>4.3092440941000753E-4</v>
      </c>
      <c r="AY37">
        <v>4.3092440941000753E-4</v>
      </c>
      <c r="AZ37">
        <v>4.3092440941000753E-4</v>
      </c>
      <c r="BA37">
        <v>4.3092440941000753E-4</v>
      </c>
      <c r="BB37">
        <v>4.3092440941000753E-4</v>
      </c>
      <c r="BC37">
        <v>4.3092440941000753E-4</v>
      </c>
      <c r="BD37">
        <v>4.3092440941000753E-4</v>
      </c>
      <c r="BE37">
        <v>4.3092440941000753E-4</v>
      </c>
      <c r="BF37">
        <v>4.3092440941000753E-4</v>
      </c>
      <c r="BG37">
        <v>4.3092440941000753E-4</v>
      </c>
      <c r="BH37">
        <v>4.3092440941000753E-4</v>
      </c>
      <c r="BI37">
        <v>4.3092440941000753E-4</v>
      </c>
      <c r="BJ37">
        <v>4.3092440941000753E-4</v>
      </c>
      <c r="BK37">
        <v>4.3092440941000753E-4</v>
      </c>
      <c r="BL37">
        <v>4.3092440941000753E-4</v>
      </c>
      <c r="BM37">
        <v>4.3092440941000753E-4</v>
      </c>
      <c r="BN37">
        <v>4.3092440941000753E-4</v>
      </c>
      <c r="BO37">
        <v>4.3092440941000753E-4</v>
      </c>
      <c r="BP37">
        <v>4.3092440941000753E-4</v>
      </c>
      <c r="BQ37">
        <v>4.3092440941000753E-4</v>
      </c>
      <c r="BR37">
        <v>4.3092440941000753E-4</v>
      </c>
      <c r="BS37">
        <v>4.3092440941000753E-4</v>
      </c>
      <c r="BT37">
        <v>4.3092440941000753E-4</v>
      </c>
      <c r="BU37">
        <v>4.3092440941000753E-4</v>
      </c>
      <c r="BV37">
        <v>4.3092440941000753E-4</v>
      </c>
      <c r="BW37">
        <v>4.3092440941000753E-4</v>
      </c>
      <c r="BX37">
        <v>4.3092440941000753E-4</v>
      </c>
      <c r="BY37">
        <v>4.3092440941000753E-4</v>
      </c>
      <c r="BZ37">
        <v>4.3092440941000753E-4</v>
      </c>
      <c r="CA37">
        <v>4.3092440941000753E-4</v>
      </c>
      <c r="CB37">
        <v>4.3092440941000753E-4</v>
      </c>
      <c r="CC37">
        <v>4.3092440941000753E-4</v>
      </c>
      <c r="CD37">
        <v>4.3092440941000753E-4</v>
      </c>
      <c r="CE37">
        <v>4.3092440941000753E-4</v>
      </c>
      <c r="CF37">
        <v>4.3092440941000753E-4</v>
      </c>
      <c r="CG37">
        <v>4.3092440941000753E-4</v>
      </c>
      <c r="CH37">
        <v>4.3092440941000753E-4</v>
      </c>
      <c r="CI37">
        <v>4.3092440941000753E-4</v>
      </c>
      <c r="CJ37">
        <v>4.3092440941000753E-4</v>
      </c>
      <c r="CK37">
        <v>4.3092440941000753E-4</v>
      </c>
      <c r="CL37">
        <v>4.3092440941000753E-4</v>
      </c>
      <c r="CM37">
        <v>4.3092440941000753E-4</v>
      </c>
      <c r="CN37">
        <v>4.3092440941000753E-4</v>
      </c>
      <c r="CO37">
        <v>4.3092440941000753E-4</v>
      </c>
      <c r="CP37">
        <v>4.3092440941000753E-4</v>
      </c>
      <c r="CQ37">
        <v>4.3092440941000753E-4</v>
      </c>
      <c r="CR37">
        <v>4.3092440941000753E-4</v>
      </c>
      <c r="CS37">
        <v>4.3092440941000753E-4</v>
      </c>
      <c r="CT37">
        <v>4.3092440941000753E-4</v>
      </c>
      <c r="CU37">
        <v>4.3092440941000753E-4</v>
      </c>
      <c r="CV37">
        <v>4.3092440941000753E-4</v>
      </c>
      <c r="CW37">
        <v>4.3092440941000753E-4</v>
      </c>
      <c r="CX37">
        <v>4.3092440941000753E-4</v>
      </c>
      <c r="CY37">
        <v>4.3092440941000753E-4</v>
      </c>
      <c r="CZ37">
        <v>4.3092440941000753E-4</v>
      </c>
    </row>
    <row r="38" spans="1:104" x14ac:dyDescent="0.35">
      <c r="A38" s="27"/>
      <c r="B38" s="27" t="s">
        <v>491</v>
      </c>
      <c r="C38" s="27" t="str">
        <f t="shared" si="1"/>
        <v>ConsequentialEP</v>
      </c>
      <c r="D38" s="28">
        <v>1.0926078397634645E-4</v>
      </c>
      <c r="E38" s="28">
        <v>1.073435812457679E-4</v>
      </c>
      <c r="F38" s="28">
        <v>1.0233296815844145E-4</v>
      </c>
      <c r="G38" s="28">
        <v>1.0164395494476561E-4</v>
      </c>
      <c r="H38" s="28">
        <v>1.088135262006683E-4</v>
      </c>
      <c r="I38" s="28">
        <v>9.9319607308928314E-5</v>
      </c>
      <c r="J38" s="28">
        <v>1.050524838772626E-4</v>
      </c>
      <c r="K38" s="28">
        <v>9.769687960423024E-5</v>
      </c>
      <c r="L38" s="28">
        <v>1.1289641816542377E-4</v>
      </c>
      <c r="M38" s="28">
        <v>8.8160680950592012E-5</v>
      </c>
      <c r="N38" s="28">
        <v>6.2697135395198294E-5</v>
      </c>
      <c r="O38" s="28">
        <v>6.0554602700106141E-5</v>
      </c>
      <c r="P38" s="28">
        <v>6.8043909146145085E-5</v>
      </c>
      <c r="Q38" s="28">
        <v>6.6582054106845368E-5</v>
      </c>
      <c r="R38" s="28">
        <v>7.1684872074051265E-5</v>
      </c>
      <c r="S38" s="28">
        <v>6.3728126905948393E-5</v>
      </c>
      <c r="T38" s="28">
        <v>6.7650814791813085E-5</v>
      </c>
      <c r="U38" s="28">
        <v>6.6181912425970535E-5</v>
      </c>
      <c r="V38" s="28">
        <v>6.2636549110604928E-5</v>
      </c>
      <c r="W38" s="28">
        <v>5.7463356210056875E-5</v>
      </c>
      <c r="X38" s="28">
        <v>6.3829150135977952E-5</v>
      </c>
      <c r="Y38" s="28">
        <v>5.4902453822110415E-5</v>
      </c>
      <c r="Z38" s="28">
        <v>5.6322216423591593E-5</v>
      </c>
      <c r="AA38" s="28">
        <v>5.8482598477847812E-5</v>
      </c>
      <c r="AB38" s="28">
        <v>6.2067562332206448E-5</v>
      </c>
      <c r="AC38" s="28">
        <v>5.8146485832314573E-5</v>
      </c>
      <c r="AD38" s="28">
        <v>5.5408350962837855E-5</v>
      </c>
      <c r="AE38" s="28">
        <v>5.7450193910071072E-5</v>
      </c>
      <c r="AF38" s="28">
        <v>5.5046683749538299E-5</v>
      </c>
      <c r="AG38" s="28">
        <v>5.4711349465687303E-5</v>
      </c>
      <c r="AH38">
        <v>5.4711349465687303E-5</v>
      </c>
      <c r="AI38">
        <v>5.4711349465687303E-5</v>
      </c>
      <c r="AJ38">
        <v>5.4711349465687303E-5</v>
      </c>
      <c r="AK38">
        <v>5.4711349465687303E-5</v>
      </c>
      <c r="AL38">
        <v>5.4711349465687303E-5</v>
      </c>
      <c r="AM38">
        <v>5.4711349465687303E-5</v>
      </c>
      <c r="AN38">
        <v>5.4711349465687303E-5</v>
      </c>
      <c r="AO38">
        <v>5.4711349465687303E-5</v>
      </c>
      <c r="AP38">
        <v>5.4711349465687303E-5</v>
      </c>
      <c r="AQ38">
        <v>5.4711349465687303E-5</v>
      </c>
      <c r="AR38">
        <v>5.4711349465687303E-5</v>
      </c>
      <c r="AS38">
        <v>5.4711349465687303E-5</v>
      </c>
      <c r="AT38">
        <v>5.4711349465687303E-5</v>
      </c>
      <c r="AU38">
        <v>5.4711349465687303E-5</v>
      </c>
      <c r="AV38">
        <v>5.4711349465687303E-5</v>
      </c>
      <c r="AW38">
        <v>5.4711349465687303E-5</v>
      </c>
      <c r="AX38">
        <v>5.4711349465687303E-5</v>
      </c>
      <c r="AY38">
        <v>5.4711349465687303E-5</v>
      </c>
      <c r="AZ38">
        <v>5.4711349465687303E-5</v>
      </c>
      <c r="BA38">
        <v>5.4711349465687303E-5</v>
      </c>
      <c r="BB38">
        <v>5.4711349465687303E-5</v>
      </c>
      <c r="BC38">
        <v>5.4711349465687303E-5</v>
      </c>
      <c r="BD38">
        <v>5.4711349465687303E-5</v>
      </c>
      <c r="BE38">
        <v>5.4711349465687303E-5</v>
      </c>
      <c r="BF38">
        <v>5.4711349465687303E-5</v>
      </c>
      <c r="BG38">
        <v>5.4711349465687303E-5</v>
      </c>
      <c r="BH38">
        <v>5.4711349465687303E-5</v>
      </c>
      <c r="BI38">
        <v>5.4711349465687303E-5</v>
      </c>
      <c r="BJ38">
        <v>5.4711349465687303E-5</v>
      </c>
      <c r="BK38">
        <v>5.4711349465687303E-5</v>
      </c>
      <c r="BL38">
        <v>5.4711349465687303E-5</v>
      </c>
      <c r="BM38">
        <v>5.4711349465687303E-5</v>
      </c>
      <c r="BN38">
        <v>5.4711349465687303E-5</v>
      </c>
      <c r="BO38">
        <v>5.4711349465687303E-5</v>
      </c>
      <c r="BP38">
        <v>5.4711349465687303E-5</v>
      </c>
      <c r="BQ38">
        <v>5.4711349465687303E-5</v>
      </c>
      <c r="BR38">
        <v>5.4711349465687303E-5</v>
      </c>
      <c r="BS38">
        <v>5.4711349465687303E-5</v>
      </c>
      <c r="BT38">
        <v>5.4711349465687303E-5</v>
      </c>
      <c r="BU38">
        <v>5.4711349465687303E-5</v>
      </c>
      <c r="BV38">
        <v>5.4711349465687303E-5</v>
      </c>
      <c r="BW38">
        <v>5.4711349465687303E-5</v>
      </c>
      <c r="BX38">
        <v>5.4711349465687303E-5</v>
      </c>
      <c r="BY38">
        <v>5.4711349465687303E-5</v>
      </c>
      <c r="BZ38">
        <v>5.4711349465687303E-5</v>
      </c>
      <c r="CA38">
        <v>5.4711349465687303E-5</v>
      </c>
      <c r="CB38">
        <v>5.4711349465687303E-5</v>
      </c>
      <c r="CC38">
        <v>5.4711349465687303E-5</v>
      </c>
      <c r="CD38">
        <v>5.4711349465687303E-5</v>
      </c>
      <c r="CE38">
        <v>5.4711349465687303E-5</v>
      </c>
      <c r="CF38">
        <v>5.4711349465687303E-5</v>
      </c>
      <c r="CG38">
        <v>5.4711349465687303E-5</v>
      </c>
      <c r="CH38">
        <v>5.4711349465687303E-5</v>
      </c>
      <c r="CI38">
        <v>5.4711349465687303E-5</v>
      </c>
      <c r="CJ38">
        <v>5.4711349465687303E-5</v>
      </c>
      <c r="CK38">
        <v>5.4711349465687303E-5</v>
      </c>
      <c r="CL38">
        <v>5.4711349465687303E-5</v>
      </c>
      <c r="CM38">
        <v>5.4711349465687303E-5</v>
      </c>
      <c r="CN38">
        <v>5.4711349465687303E-5</v>
      </c>
      <c r="CO38">
        <v>5.4711349465687303E-5</v>
      </c>
      <c r="CP38">
        <v>5.4711349465687303E-5</v>
      </c>
      <c r="CQ38">
        <v>5.4711349465687303E-5</v>
      </c>
      <c r="CR38">
        <v>5.4711349465687303E-5</v>
      </c>
      <c r="CS38">
        <v>5.4711349465687303E-5</v>
      </c>
      <c r="CT38">
        <v>5.4711349465687303E-5</v>
      </c>
      <c r="CU38">
        <v>5.4711349465687303E-5</v>
      </c>
      <c r="CV38">
        <v>5.4711349465687303E-5</v>
      </c>
      <c r="CW38">
        <v>5.4711349465687303E-5</v>
      </c>
      <c r="CX38">
        <v>5.4711349465687303E-5</v>
      </c>
      <c r="CY38">
        <v>5.4711349465687303E-5</v>
      </c>
      <c r="CZ38">
        <v>5.4711349465687303E-5</v>
      </c>
    </row>
    <row r="39" spans="1:104" x14ac:dyDescent="0.35">
      <c r="A39" s="27"/>
      <c r="B39" s="27" t="s">
        <v>495</v>
      </c>
      <c r="C39" s="27" t="str">
        <f t="shared" si="1"/>
        <v>ConsequentialPOCP</v>
      </c>
      <c r="D39" s="28">
        <v>1.4464480301759213E-5</v>
      </c>
      <c r="E39" s="28">
        <v>1.4183932116717573E-5</v>
      </c>
      <c r="F39" s="28">
        <v>1.2106882021589662E-5</v>
      </c>
      <c r="G39" s="28">
        <v>1.2139495633154798E-5</v>
      </c>
      <c r="H39" s="28">
        <v>1.3083075798241676E-5</v>
      </c>
      <c r="I39" s="28">
        <v>1.1801494040559836E-5</v>
      </c>
      <c r="J39" s="28">
        <v>1.2453209964222309E-5</v>
      </c>
      <c r="K39" s="28">
        <v>1.1550804842785845E-5</v>
      </c>
      <c r="L39" s="28">
        <v>1.3384916852721209E-5</v>
      </c>
      <c r="M39" s="28">
        <v>1.0816635612428617E-5</v>
      </c>
      <c r="N39" s="28">
        <v>9.4062647556182496E-6</v>
      </c>
      <c r="O39" s="28">
        <v>8.5721049262767197E-6</v>
      </c>
      <c r="P39" s="28">
        <v>9.5958368249008952E-6</v>
      </c>
      <c r="Q39" s="28">
        <v>9.0935319369876888E-6</v>
      </c>
      <c r="R39" s="28">
        <v>9.8399615642643968E-6</v>
      </c>
      <c r="S39" s="28">
        <v>8.6479191117558221E-6</v>
      </c>
      <c r="T39" s="28">
        <v>9.3086190476377051E-6</v>
      </c>
      <c r="U39" s="28">
        <v>8.5251916703868685E-6</v>
      </c>
      <c r="V39" s="28">
        <v>7.8747805080637939E-6</v>
      </c>
      <c r="W39" s="28">
        <v>7.2469833495975875E-6</v>
      </c>
      <c r="X39" s="28">
        <v>8.0006248545945204E-6</v>
      </c>
      <c r="Y39" s="28">
        <v>6.9138524991180524E-6</v>
      </c>
      <c r="Z39" s="28">
        <v>7.5118265727002244E-6</v>
      </c>
      <c r="AA39" s="28">
        <v>7.3630017009520196E-6</v>
      </c>
      <c r="AB39" s="28">
        <v>7.8445370416253306E-6</v>
      </c>
      <c r="AC39" s="28">
        <v>7.6361823878645254E-6</v>
      </c>
      <c r="AD39" s="28">
        <v>7.1237919187111062E-6</v>
      </c>
      <c r="AE39" s="28">
        <v>7.3841698670069275E-6</v>
      </c>
      <c r="AF39" s="28">
        <v>7.1291550349049137E-6</v>
      </c>
      <c r="AG39" s="28">
        <v>7.1236496286321169E-6</v>
      </c>
      <c r="AH39">
        <v>7.1236496286321169E-6</v>
      </c>
      <c r="AI39">
        <v>7.1236496286321169E-6</v>
      </c>
      <c r="AJ39">
        <v>7.1236496286321169E-6</v>
      </c>
      <c r="AK39">
        <v>7.1236496286321169E-6</v>
      </c>
      <c r="AL39">
        <v>7.1236496286321169E-6</v>
      </c>
      <c r="AM39">
        <v>7.1236496286321169E-6</v>
      </c>
      <c r="AN39">
        <v>7.1236496286321169E-6</v>
      </c>
      <c r="AO39">
        <v>7.1236496286321169E-6</v>
      </c>
      <c r="AP39">
        <v>7.1236496286321169E-6</v>
      </c>
      <c r="AQ39">
        <v>7.1236496286321169E-6</v>
      </c>
      <c r="AR39">
        <v>7.1236496286321169E-6</v>
      </c>
      <c r="AS39">
        <v>7.1236496286321169E-6</v>
      </c>
      <c r="AT39">
        <v>7.1236496286321169E-6</v>
      </c>
      <c r="AU39">
        <v>7.1236496286321169E-6</v>
      </c>
      <c r="AV39">
        <v>7.1236496286321169E-6</v>
      </c>
      <c r="AW39">
        <v>7.1236496286321169E-6</v>
      </c>
      <c r="AX39">
        <v>7.1236496286321169E-6</v>
      </c>
      <c r="AY39">
        <v>7.1236496286321169E-6</v>
      </c>
      <c r="AZ39">
        <v>7.1236496286321169E-6</v>
      </c>
      <c r="BA39">
        <v>7.1236496286321169E-6</v>
      </c>
      <c r="BB39">
        <v>7.1236496286321169E-6</v>
      </c>
      <c r="BC39">
        <v>7.1236496286321169E-6</v>
      </c>
      <c r="BD39">
        <v>7.1236496286321169E-6</v>
      </c>
      <c r="BE39">
        <v>7.1236496286321169E-6</v>
      </c>
      <c r="BF39">
        <v>7.1236496286321169E-6</v>
      </c>
      <c r="BG39">
        <v>7.1236496286321169E-6</v>
      </c>
      <c r="BH39">
        <v>7.1236496286321169E-6</v>
      </c>
      <c r="BI39">
        <v>7.1236496286321169E-6</v>
      </c>
      <c r="BJ39">
        <v>7.1236496286321169E-6</v>
      </c>
      <c r="BK39">
        <v>7.1236496286321169E-6</v>
      </c>
      <c r="BL39">
        <v>7.1236496286321169E-6</v>
      </c>
      <c r="BM39">
        <v>7.1236496286321169E-6</v>
      </c>
      <c r="BN39">
        <v>7.1236496286321169E-6</v>
      </c>
      <c r="BO39">
        <v>7.1236496286321169E-6</v>
      </c>
      <c r="BP39">
        <v>7.1236496286321169E-6</v>
      </c>
      <c r="BQ39">
        <v>7.1236496286321169E-6</v>
      </c>
      <c r="BR39">
        <v>7.1236496286321169E-6</v>
      </c>
      <c r="BS39">
        <v>7.1236496286321169E-6</v>
      </c>
      <c r="BT39">
        <v>7.1236496286321169E-6</v>
      </c>
      <c r="BU39">
        <v>7.1236496286321169E-6</v>
      </c>
      <c r="BV39">
        <v>7.1236496286321169E-6</v>
      </c>
      <c r="BW39">
        <v>7.1236496286321169E-6</v>
      </c>
      <c r="BX39">
        <v>7.1236496286321169E-6</v>
      </c>
      <c r="BY39">
        <v>7.1236496286321169E-6</v>
      </c>
      <c r="BZ39">
        <v>7.1236496286321169E-6</v>
      </c>
      <c r="CA39">
        <v>7.1236496286321169E-6</v>
      </c>
      <c r="CB39">
        <v>7.1236496286321169E-6</v>
      </c>
      <c r="CC39">
        <v>7.1236496286321169E-6</v>
      </c>
      <c r="CD39">
        <v>7.1236496286321169E-6</v>
      </c>
      <c r="CE39">
        <v>7.1236496286321169E-6</v>
      </c>
      <c r="CF39">
        <v>7.1236496286321169E-6</v>
      </c>
      <c r="CG39">
        <v>7.1236496286321169E-6</v>
      </c>
      <c r="CH39">
        <v>7.1236496286321169E-6</v>
      </c>
      <c r="CI39">
        <v>7.1236496286321169E-6</v>
      </c>
      <c r="CJ39">
        <v>7.1236496286321169E-6</v>
      </c>
      <c r="CK39">
        <v>7.1236496286321169E-6</v>
      </c>
      <c r="CL39">
        <v>7.1236496286321169E-6</v>
      </c>
      <c r="CM39">
        <v>7.1236496286321169E-6</v>
      </c>
      <c r="CN39">
        <v>7.1236496286321169E-6</v>
      </c>
      <c r="CO39">
        <v>7.1236496286321169E-6</v>
      </c>
      <c r="CP39">
        <v>7.1236496286321169E-6</v>
      </c>
      <c r="CQ39">
        <v>7.1236496286321169E-6</v>
      </c>
      <c r="CR39">
        <v>7.1236496286321169E-6</v>
      </c>
      <c r="CS39">
        <v>7.1236496286321169E-6</v>
      </c>
      <c r="CT39">
        <v>7.1236496286321169E-6</v>
      </c>
      <c r="CU39">
        <v>7.1236496286321169E-6</v>
      </c>
      <c r="CV39">
        <v>7.1236496286321169E-6</v>
      </c>
      <c r="CW39">
        <v>7.1236496286321169E-6</v>
      </c>
      <c r="CX39">
        <v>7.1236496286321169E-6</v>
      </c>
      <c r="CY39">
        <v>7.1236496286321169E-6</v>
      </c>
      <c r="CZ39">
        <v>7.1236496286321169E-6</v>
      </c>
    </row>
    <row r="40" spans="1:104" x14ac:dyDescent="0.35">
      <c r="A40" s="27"/>
      <c r="B40" s="27" t="s">
        <v>391</v>
      </c>
      <c r="C40" s="27" t="str">
        <f t="shared" si="1"/>
        <v>ConsequentialADPE</v>
      </c>
      <c r="D40" s="28">
        <v>1.5227514026753992E-7</v>
      </c>
      <c r="E40" s="28">
        <v>1.5049126410096437E-7</v>
      </c>
      <c r="F40" s="28">
        <v>1.4225419113513365E-7</v>
      </c>
      <c r="G40" s="28">
        <v>1.4018210123189735E-7</v>
      </c>
      <c r="H40" s="28">
        <v>1.9754903953694088E-7</v>
      </c>
      <c r="I40" s="28">
        <v>1.3676380126523358E-7</v>
      </c>
      <c r="J40" s="28">
        <v>1.809551734837054E-7</v>
      </c>
      <c r="K40" s="28">
        <v>1.3467316540105728E-7</v>
      </c>
      <c r="L40" s="28">
        <v>2.4731816228761625E-7</v>
      </c>
      <c r="M40" s="28">
        <v>1.9001096094389162E-7</v>
      </c>
      <c r="N40" s="28">
        <v>1.364141480961884E-7</v>
      </c>
      <c r="O40" s="28">
        <v>1.3100506972376889E-7</v>
      </c>
      <c r="P40" s="28">
        <v>1.8766366634437846E-7</v>
      </c>
      <c r="Q40" s="28">
        <v>1.8643732629698379E-7</v>
      </c>
      <c r="R40" s="28">
        <v>2.1985362870951676E-7</v>
      </c>
      <c r="S40" s="28">
        <v>1.7729208324501652E-7</v>
      </c>
      <c r="T40" s="28">
        <v>1.9862726346252877E-7</v>
      </c>
      <c r="U40" s="28">
        <v>2.0879131022335684E-7</v>
      </c>
      <c r="V40" s="28">
        <v>1.9657083713698559E-7</v>
      </c>
      <c r="W40" s="28">
        <v>1.6494073818327172E-7</v>
      </c>
      <c r="X40" s="28">
        <v>2.1452087677401176E-7</v>
      </c>
      <c r="Y40" s="28">
        <v>1.5657416347298078E-7</v>
      </c>
      <c r="Z40" s="28">
        <v>1.6496519256450913E-7</v>
      </c>
      <c r="AA40" s="28">
        <v>1.8975531615379922E-7</v>
      </c>
      <c r="AB40" s="28">
        <v>2.1770662542527554E-7</v>
      </c>
      <c r="AC40" s="28">
        <v>1.8151432742702511E-7</v>
      </c>
      <c r="AD40" s="28">
        <v>1.7562084422273589E-7</v>
      </c>
      <c r="AE40" s="28">
        <v>1.9270116376444399E-7</v>
      </c>
      <c r="AF40" s="28">
        <v>1.7685663291302539E-7</v>
      </c>
      <c r="AG40" s="28">
        <v>1.7552041741857581E-7</v>
      </c>
      <c r="AH40">
        <v>1.7552041741857581E-7</v>
      </c>
      <c r="AI40">
        <v>1.7552041741857581E-7</v>
      </c>
      <c r="AJ40">
        <v>1.7552041741857581E-7</v>
      </c>
      <c r="AK40">
        <v>1.7552041741857581E-7</v>
      </c>
      <c r="AL40">
        <v>1.7552041741857581E-7</v>
      </c>
      <c r="AM40">
        <v>1.7552041741857581E-7</v>
      </c>
      <c r="AN40">
        <v>1.7552041741857581E-7</v>
      </c>
      <c r="AO40">
        <v>1.7552041741857581E-7</v>
      </c>
      <c r="AP40">
        <v>1.7552041741857581E-7</v>
      </c>
      <c r="AQ40">
        <v>1.7552041741857581E-7</v>
      </c>
      <c r="AR40">
        <v>1.7552041741857581E-7</v>
      </c>
      <c r="AS40">
        <v>1.7552041741857581E-7</v>
      </c>
      <c r="AT40">
        <v>1.7552041741857581E-7</v>
      </c>
      <c r="AU40">
        <v>1.7552041741857581E-7</v>
      </c>
      <c r="AV40">
        <v>1.7552041741857581E-7</v>
      </c>
      <c r="AW40">
        <v>1.7552041741857581E-7</v>
      </c>
      <c r="AX40">
        <v>1.7552041741857581E-7</v>
      </c>
      <c r="AY40">
        <v>1.7552041741857581E-7</v>
      </c>
      <c r="AZ40">
        <v>1.7552041741857581E-7</v>
      </c>
      <c r="BA40">
        <v>1.7552041741857581E-7</v>
      </c>
      <c r="BB40">
        <v>1.7552041741857581E-7</v>
      </c>
      <c r="BC40">
        <v>1.7552041741857581E-7</v>
      </c>
      <c r="BD40">
        <v>1.7552041741857581E-7</v>
      </c>
      <c r="BE40">
        <v>1.7552041741857581E-7</v>
      </c>
      <c r="BF40">
        <v>1.7552041741857581E-7</v>
      </c>
      <c r="BG40">
        <v>1.7552041741857581E-7</v>
      </c>
      <c r="BH40">
        <v>1.7552041741857581E-7</v>
      </c>
      <c r="BI40">
        <v>1.7552041741857581E-7</v>
      </c>
      <c r="BJ40">
        <v>1.7552041741857581E-7</v>
      </c>
      <c r="BK40">
        <v>1.7552041741857581E-7</v>
      </c>
      <c r="BL40">
        <v>1.7552041741857581E-7</v>
      </c>
      <c r="BM40">
        <v>1.7552041741857581E-7</v>
      </c>
      <c r="BN40">
        <v>1.7552041741857581E-7</v>
      </c>
      <c r="BO40">
        <v>1.7552041741857581E-7</v>
      </c>
      <c r="BP40">
        <v>1.7552041741857581E-7</v>
      </c>
      <c r="BQ40">
        <v>1.7552041741857581E-7</v>
      </c>
      <c r="BR40">
        <v>1.7552041741857581E-7</v>
      </c>
      <c r="BS40">
        <v>1.7552041741857581E-7</v>
      </c>
      <c r="BT40">
        <v>1.7552041741857581E-7</v>
      </c>
      <c r="BU40">
        <v>1.7552041741857581E-7</v>
      </c>
      <c r="BV40">
        <v>1.7552041741857581E-7</v>
      </c>
      <c r="BW40">
        <v>1.7552041741857581E-7</v>
      </c>
      <c r="BX40">
        <v>1.7552041741857581E-7</v>
      </c>
      <c r="BY40">
        <v>1.7552041741857581E-7</v>
      </c>
      <c r="BZ40">
        <v>1.7552041741857581E-7</v>
      </c>
      <c r="CA40">
        <v>1.7552041741857581E-7</v>
      </c>
      <c r="CB40">
        <v>1.7552041741857581E-7</v>
      </c>
      <c r="CC40">
        <v>1.7552041741857581E-7</v>
      </c>
      <c r="CD40">
        <v>1.7552041741857581E-7</v>
      </c>
      <c r="CE40">
        <v>1.7552041741857581E-7</v>
      </c>
      <c r="CF40">
        <v>1.7552041741857581E-7</v>
      </c>
      <c r="CG40">
        <v>1.7552041741857581E-7</v>
      </c>
      <c r="CH40">
        <v>1.7552041741857581E-7</v>
      </c>
      <c r="CI40">
        <v>1.7552041741857581E-7</v>
      </c>
      <c r="CJ40">
        <v>1.7552041741857581E-7</v>
      </c>
      <c r="CK40">
        <v>1.7552041741857581E-7</v>
      </c>
      <c r="CL40">
        <v>1.7552041741857581E-7</v>
      </c>
      <c r="CM40">
        <v>1.7552041741857581E-7</v>
      </c>
      <c r="CN40">
        <v>1.7552041741857581E-7</v>
      </c>
      <c r="CO40">
        <v>1.7552041741857581E-7</v>
      </c>
      <c r="CP40">
        <v>1.7552041741857581E-7</v>
      </c>
      <c r="CQ40">
        <v>1.7552041741857581E-7</v>
      </c>
      <c r="CR40">
        <v>1.7552041741857581E-7</v>
      </c>
      <c r="CS40">
        <v>1.7552041741857581E-7</v>
      </c>
      <c r="CT40">
        <v>1.7552041741857581E-7</v>
      </c>
      <c r="CU40">
        <v>1.7552041741857581E-7</v>
      </c>
      <c r="CV40">
        <v>1.7552041741857581E-7</v>
      </c>
      <c r="CW40">
        <v>1.7552041741857581E-7</v>
      </c>
      <c r="CX40">
        <v>1.7552041741857581E-7</v>
      </c>
      <c r="CY40">
        <v>1.7552041741857581E-7</v>
      </c>
      <c r="CZ40">
        <v>1.7552041741857581E-7</v>
      </c>
    </row>
    <row r="41" spans="1:104" x14ac:dyDescent="0.35">
      <c r="A41" s="27"/>
      <c r="B41" s="27" t="s">
        <v>489</v>
      </c>
      <c r="C41" s="27" t="str">
        <f t="shared" si="1"/>
        <v>ConsequentialADPF</v>
      </c>
      <c r="D41" s="28">
        <v>0.66022371239669531</v>
      </c>
      <c r="E41" s="28">
        <v>0.61925764417995954</v>
      </c>
      <c r="F41" s="28">
        <v>0.49901835691920299</v>
      </c>
      <c r="G41" s="28">
        <v>0.50665163922700307</v>
      </c>
      <c r="H41" s="28">
        <v>0.52456370249435125</v>
      </c>
      <c r="I41" s="28">
        <v>0.49194194490709464</v>
      </c>
      <c r="J41" s="28">
        <v>0.49598548537400944</v>
      </c>
      <c r="K41" s="28">
        <v>0.47795945312275795</v>
      </c>
      <c r="L41" s="28">
        <v>0.50407724776711049</v>
      </c>
      <c r="M41" s="28">
        <v>0.40565350293932173</v>
      </c>
      <c r="N41" s="28">
        <v>0.35287167660596813</v>
      </c>
      <c r="O41" s="28">
        <v>0.32305547022532305</v>
      </c>
      <c r="P41" s="28">
        <v>0.33339495189721674</v>
      </c>
      <c r="Q41" s="28">
        <v>0.30624191277317991</v>
      </c>
      <c r="R41" s="28">
        <v>0.31617025051272285</v>
      </c>
      <c r="S41" s="28">
        <v>0.29512743340442654</v>
      </c>
      <c r="T41" s="28">
        <v>0.3047021644983649</v>
      </c>
      <c r="U41" s="28">
        <v>0.23915890662675468</v>
      </c>
      <c r="V41" s="28">
        <v>0.21193853865710927</v>
      </c>
      <c r="W41" s="28">
        <v>0.20189609896129387</v>
      </c>
      <c r="X41" s="28">
        <v>0.21204799829882226</v>
      </c>
      <c r="Y41" s="28">
        <v>0.19098652926130719</v>
      </c>
      <c r="Z41" s="28">
        <v>0.20545119050054791</v>
      </c>
      <c r="AA41" s="28">
        <v>0.19333888850677977</v>
      </c>
      <c r="AB41" s="28">
        <v>0.2045933777356391</v>
      </c>
      <c r="AC41" s="28">
        <v>0.19855410097294104</v>
      </c>
      <c r="AD41" s="28">
        <v>0.19769119151970982</v>
      </c>
      <c r="AE41" s="28">
        <v>0.2020366772213002</v>
      </c>
      <c r="AF41" s="28">
        <v>0.20059371228136449</v>
      </c>
      <c r="AG41" s="28">
        <v>0.20333130937646648</v>
      </c>
      <c r="AH41">
        <v>0.20333130937646648</v>
      </c>
      <c r="AI41">
        <v>0.20333130937646648</v>
      </c>
      <c r="AJ41">
        <v>0.20333130937646648</v>
      </c>
      <c r="AK41">
        <v>0.20333130937646648</v>
      </c>
      <c r="AL41">
        <v>0.20333130937646648</v>
      </c>
      <c r="AM41">
        <v>0.20333130937646648</v>
      </c>
      <c r="AN41">
        <v>0.20333130937646648</v>
      </c>
      <c r="AO41">
        <v>0.20333130937646648</v>
      </c>
      <c r="AP41">
        <v>0.20333130937646648</v>
      </c>
      <c r="AQ41">
        <v>0.20333130937646648</v>
      </c>
      <c r="AR41">
        <v>0.20333130937646648</v>
      </c>
      <c r="AS41">
        <v>0.20333130937646648</v>
      </c>
      <c r="AT41">
        <v>0.20333130937646648</v>
      </c>
      <c r="AU41">
        <v>0.20333130937646648</v>
      </c>
      <c r="AV41">
        <v>0.20333130937646648</v>
      </c>
      <c r="AW41">
        <v>0.20333130937646648</v>
      </c>
      <c r="AX41">
        <v>0.20333130937646648</v>
      </c>
      <c r="AY41">
        <v>0.20333130937646648</v>
      </c>
      <c r="AZ41">
        <v>0.20333130937646648</v>
      </c>
      <c r="BA41">
        <v>0.20333130937646648</v>
      </c>
      <c r="BB41">
        <v>0.20333130937646648</v>
      </c>
      <c r="BC41">
        <v>0.20333130937646648</v>
      </c>
      <c r="BD41">
        <v>0.20333130937646648</v>
      </c>
      <c r="BE41">
        <v>0.20333130937646648</v>
      </c>
      <c r="BF41">
        <v>0.20333130937646648</v>
      </c>
      <c r="BG41">
        <v>0.20333130937646648</v>
      </c>
      <c r="BH41">
        <v>0.20333130937646648</v>
      </c>
      <c r="BI41">
        <v>0.20333130937646648</v>
      </c>
      <c r="BJ41">
        <v>0.20333130937646648</v>
      </c>
      <c r="BK41">
        <v>0.20333130937646648</v>
      </c>
      <c r="BL41">
        <v>0.20333130937646648</v>
      </c>
      <c r="BM41">
        <v>0.20333130937646648</v>
      </c>
      <c r="BN41">
        <v>0.20333130937646648</v>
      </c>
      <c r="BO41">
        <v>0.20333130937646648</v>
      </c>
      <c r="BP41">
        <v>0.20333130937646648</v>
      </c>
      <c r="BQ41">
        <v>0.20333130937646648</v>
      </c>
      <c r="BR41">
        <v>0.20333130937646648</v>
      </c>
      <c r="BS41">
        <v>0.20333130937646648</v>
      </c>
      <c r="BT41">
        <v>0.20333130937646648</v>
      </c>
      <c r="BU41">
        <v>0.20333130937646648</v>
      </c>
      <c r="BV41">
        <v>0.20333130937646648</v>
      </c>
      <c r="BW41">
        <v>0.20333130937646648</v>
      </c>
      <c r="BX41">
        <v>0.20333130937646648</v>
      </c>
      <c r="BY41">
        <v>0.20333130937646648</v>
      </c>
      <c r="BZ41">
        <v>0.20333130937646648</v>
      </c>
      <c r="CA41">
        <v>0.20333130937646648</v>
      </c>
      <c r="CB41">
        <v>0.20333130937646648</v>
      </c>
      <c r="CC41">
        <v>0.20333130937646648</v>
      </c>
      <c r="CD41">
        <v>0.20333130937646648</v>
      </c>
      <c r="CE41">
        <v>0.20333130937646648</v>
      </c>
      <c r="CF41">
        <v>0.20333130937646648</v>
      </c>
      <c r="CG41">
        <v>0.20333130937646648</v>
      </c>
      <c r="CH41">
        <v>0.20333130937646648</v>
      </c>
      <c r="CI41">
        <v>0.20333130937646648</v>
      </c>
      <c r="CJ41">
        <v>0.20333130937646648</v>
      </c>
      <c r="CK41">
        <v>0.20333130937646648</v>
      </c>
      <c r="CL41">
        <v>0.20333130937646648</v>
      </c>
      <c r="CM41">
        <v>0.20333130937646648</v>
      </c>
      <c r="CN41">
        <v>0.20333130937646648</v>
      </c>
      <c r="CO41">
        <v>0.20333130937646648</v>
      </c>
      <c r="CP41">
        <v>0.20333130937646648</v>
      </c>
      <c r="CQ41">
        <v>0.20333130937646648</v>
      </c>
      <c r="CR41">
        <v>0.20333130937646648</v>
      </c>
      <c r="CS41">
        <v>0.20333130937646648</v>
      </c>
      <c r="CT41">
        <v>0.20333130937646648</v>
      </c>
      <c r="CU41">
        <v>0.20333130937646648</v>
      </c>
      <c r="CV41">
        <v>0.20333130937646648</v>
      </c>
      <c r="CW41">
        <v>0.20333130937646648</v>
      </c>
      <c r="CX41">
        <v>0.20333130937646648</v>
      </c>
      <c r="CY41">
        <v>0.20333130937646648</v>
      </c>
      <c r="CZ41">
        <v>0.20333130937646648</v>
      </c>
    </row>
    <row r="42" spans="1:104" x14ac:dyDescent="0.35">
      <c r="A42" s="27"/>
      <c r="B42" s="27" t="s">
        <v>409</v>
      </c>
      <c r="C42" s="27" t="str">
        <f t="shared" si="1"/>
        <v>ConsequentialPENRT</v>
      </c>
      <c r="D42" s="28">
        <v>0.66278973706602984</v>
      </c>
      <c r="E42" s="28">
        <v>0.62187443149979071</v>
      </c>
      <c r="F42" s="28">
        <v>0.50092696138951065</v>
      </c>
      <c r="G42" s="28">
        <v>0.50820472719119081</v>
      </c>
      <c r="H42" s="28">
        <v>0.52736076004356469</v>
      </c>
      <c r="I42" s="28">
        <v>0.49337582204768293</v>
      </c>
      <c r="J42" s="28">
        <v>0.49855252361763613</v>
      </c>
      <c r="K42" s="28">
        <v>0.47930982150619866</v>
      </c>
      <c r="L42" s="28">
        <v>0.50812806399499133</v>
      </c>
      <c r="M42" s="28">
        <v>0.40834913224875508</v>
      </c>
      <c r="N42" s="28">
        <v>0.35478514649623699</v>
      </c>
      <c r="O42" s="28">
        <v>0.32471748828640146</v>
      </c>
      <c r="P42" s="28">
        <v>0.3358635057276424</v>
      </c>
      <c r="Q42" s="28">
        <v>0.30890711916305097</v>
      </c>
      <c r="R42" s="28">
        <v>0.31967460288848776</v>
      </c>
      <c r="S42" s="28">
        <v>0.29788876775835998</v>
      </c>
      <c r="T42" s="28">
        <v>0.30832646670217612</v>
      </c>
      <c r="U42" s="28">
        <v>0.24260376097787018</v>
      </c>
      <c r="V42" s="28">
        <v>0.21513905049910684</v>
      </c>
      <c r="W42" s="28">
        <v>0.20467772851213659</v>
      </c>
      <c r="X42" s="28">
        <v>0.21620041526936565</v>
      </c>
      <c r="Y42" s="28">
        <v>0.19397371431824523</v>
      </c>
      <c r="Z42" s="28">
        <v>0.20901532565709968</v>
      </c>
      <c r="AA42" s="28">
        <v>0.19719464304678261</v>
      </c>
      <c r="AB42" s="28">
        <v>0.20930423611469975</v>
      </c>
      <c r="AC42" s="28">
        <v>0.20295710788463717</v>
      </c>
      <c r="AD42" s="28">
        <v>0.20139968432999614</v>
      </c>
      <c r="AE42" s="28">
        <v>0.20617699656062399</v>
      </c>
      <c r="AF42" s="28">
        <v>0.20484561099493387</v>
      </c>
      <c r="AG42" s="28">
        <v>0.20746440066007765</v>
      </c>
      <c r="AH42">
        <v>0.20746440066007765</v>
      </c>
      <c r="AI42">
        <v>0.20746440066007765</v>
      </c>
      <c r="AJ42">
        <v>0.20746440066007765</v>
      </c>
      <c r="AK42">
        <v>0.20746440066007765</v>
      </c>
      <c r="AL42">
        <v>0.20746440066007765</v>
      </c>
      <c r="AM42">
        <v>0.20746440066007765</v>
      </c>
      <c r="AN42">
        <v>0.20746440066007765</v>
      </c>
      <c r="AO42">
        <v>0.20746440066007765</v>
      </c>
      <c r="AP42">
        <v>0.20746440066007765</v>
      </c>
      <c r="AQ42">
        <v>0.20746440066007765</v>
      </c>
      <c r="AR42">
        <v>0.20746440066007765</v>
      </c>
      <c r="AS42">
        <v>0.20746440066007765</v>
      </c>
      <c r="AT42">
        <v>0.20746440066007765</v>
      </c>
      <c r="AU42">
        <v>0.20746440066007765</v>
      </c>
      <c r="AV42">
        <v>0.20746440066007765</v>
      </c>
      <c r="AW42">
        <v>0.20746440066007765</v>
      </c>
      <c r="AX42">
        <v>0.20746440066007765</v>
      </c>
      <c r="AY42">
        <v>0.20746440066007765</v>
      </c>
      <c r="AZ42">
        <v>0.20746440066007765</v>
      </c>
      <c r="BA42">
        <v>0.20746440066007765</v>
      </c>
      <c r="BB42">
        <v>0.20746440066007765</v>
      </c>
      <c r="BC42">
        <v>0.20746440066007765</v>
      </c>
      <c r="BD42">
        <v>0.20746440066007765</v>
      </c>
      <c r="BE42">
        <v>0.20746440066007765</v>
      </c>
      <c r="BF42">
        <v>0.20746440066007765</v>
      </c>
      <c r="BG42">
        <v>0.20746440066007765</v>
      </c>
      <c r="BH42">
        <v>0.20746440066007765</v>
      </c>
      <c r="BI42">
        <v>0.20746440066007765</v>
      </c>
      <c r="BJ42">
        <v>0.20746440066007765</v>
      </c>
      <c r="BK42">
        <v>0.20746440066007765</v>
      </c>
      <c r="BL42">
        <v>0.20746440066007765</v>
      </c>
      <c r="BM42">
        <v>0.20746440066007765</v>
      </c>
      <c r="BN42">
        <v>0.20746440066007765</v>
      </c>
      <c r="BO42">
        <v>0.20746440066007765</v>
      </c>
      <c r="BP42">
        <v>0.20746440066007765</v>
      </c>
      <c r="BQ42">
        <v>0.20746440066007765</v>
      </c>
      <c r="BR42">
        <v>0.20746440066007765</v>
      </c>
      <c r="BS42">
        <v>0.20746440066007765</v>
      </c>
      <c r="BT42">
        <v>0.20746440066007765</v>
      </c>
      <c r="BU42">
        <v>0.20746440066007765</v>
      </c>
      <c r="BV42">
        <v>0.20746440066007765</v>
      </c>
      <c r="BW42">
        <v>0.20746440066007765</v>
      </c>
      <c r="BX42">
        <v>0.20746440066007765</v>
      </c>
      <c r="BY42">
        <v>0.20746440066007765</v>
      </c>
      <c r="BZ42">
        <v>0.20746440066007765</v>
      </c>
      <c r="CA42">
        <v>0.20746440066007765</v>
      </c>
      <c r="CB42">
        <v>0.20746440066007765</v>
      </c>
      <c r="CC42">
        <v>0.20746440066007765</v>
      </c>
      <c r="CD42">
        <v>0.20746440066007765</v>
      </c>
      <c r="CE42">
        <v>0.20746440066007765</v>
      </c>
      <c r="CF42">
        <v>0.20746440066007765</v>
      </c>
      <c r="CG42">
        <v>0.20746440066007765</v>
      </c>
      <c r="CH42">
        <v>0.20746440066007765</v>
      </c>
      <c r="CI42">
        <v>0.20746440066007765</v>
      </c>
      <c r="CJ42">
        <v>0.20746440066007765</v>
      </c>
      <c r="CK42">
        <v>0.20746440066007765</v>
      </c>
      <c r="CL42">
        <v>0.20746440066007765</v>
      </c>
      <c r="CM42">
        <v>0.20746440066007765</v>
      </c>
      <c r="CN42">
        <v>0.20746440066007765</v>
      </c>
      <c r="CO42">
        <v>0.20746440066007765</v>
      </c>
      <c r="CP42">
        <v>0.20746440066007765</v>
      </c>
      <c r="CQ42">
        <v>0.20746440066007765</v>
      </c>
      <c r="CR42">
        <v>0.20746440066007765</v>
      </c>
      <c r="CS42">
        <v>0.20746440066007765</v>
      </c>
      <c r="CT42">
        <v>0.20746440066007765</v>
      </c>
      <c r="CU42">
        <v>0.20746440066007765</v>
      </c>
      <c r="CV42">
        <v>0.20746440066007765</v>
      </c>
      <c r="CW42">
        <v>0.20746440066007765</v>
      </c>
      <c r="CX42">
        <v>0.20746440066007765</v>
      </c>
      <c r="CY42">
        <v>0.20746440066007765</v>
      </c>
      <c r="CZ42">
        <v>0.20746440066007765</v>
      </c>
    </row>
    <row r="43" spans="1:104" x14ac:dyDescent="0.35">
      <c r="A43" s="27"/>
      <c r="B43" s="27" t="s">
        <v>411</v>
      </c>
      <c r="C43" s="27" t="str">
        <f t="shared" si="1"/>
        <v>ConsequentialPERT</v>
      </c>
      <c r="D43" s="28">
        <v>0.78950208539190303</v>
      </c>
      <c r="E43" s="28">
        <v>0.76539593868789835</v>
      </c>
      <c r="F43" s="28">
        <v>0.75351515491674692</v>
      </c>
      <c r="G43" s="28">
        <v>0.74960358390924875</v>
      </c>
      <c r="H43" s="28">
        <v>0.74906635829457258</v>
      </c>
      <c r="I43" s="28">
        <v>0.76673678466715278</v>
      </c>
      <c r="J43" s="28">
        <v>0.76837250143352831</v>
      </c>
      <c r="K43" s="28">
        <v>0.77360493680478948</v>
      </c>
      <c r="L43" s="28">
        <v>0.77536351227368638</v>
      </c>
      <c r="M43" s="28">
        <v>0.80644392078330995</v>
      </c>
      <c r="N43" s="28">
        <v>0.81051103051639051</v>
      </c>
      <c r="O43" s="28">
        <v>0.78636167594187123</v>
      </c>
      <c r="P43" s="28">
        <v>0.78628875355954797</v>
      </c>
      <c r="Q43" s="28">
        <v>0.79523245055872549</v>
      </c>
      <c r="R43" s="28">
        <v>0.79337424171415594</v>
      </c>
      <c r="S43" s="28">
        <v>0.82587915086351493</v>
      </c>
      <c r="T43" s="28">
        <v>0.83073854972611483</v>
      </c>
      <c r="U43" s="28">
        <v>0.84778642410469796</v>
      </c>
      <c r="V43" s="28">
        <v>0.87600954282712351</v>
      </c>
      <c r="W43" s="28">
        <v>0.87708257255347821</v>
      </c>
      <c r="X43" s="28">
        <v>0.88489350026432545</v>
      </c>
      <c r="Y43" s="28">
        <v>0.88535940078062758</v>
      </c>
      <c r="Z43" s="28">
        <v>0.88244854328364064</v>
      </c>
      <c r="AA43" s="28">
        <v>0.88338430919038458</v>
      </c>
      <c r="AB43" s="28">
        <v>0.88134859365431373</v>
      </c>
      <c r="AC43" s="28">
        <v>0.87758226278255669</v>
      </c>
      <c r="AD43" s="28">
        <v>0.86897062398510072</v>
      </c>
      <c r="AE43" s="28">
        <v>0.87208376583959812</v>
      </c>
      <c r="AF43" s="28">
        <v>0.86910945824299846</v>
      </c>
      <c r="AG43" s="28">
        <v>0.86729737030909948</v>
      </c>
      <c r="AH43">
        <v>0.86729737030909948</v>
      </c>
      <c r="AI43">
        <v>0.86729737030909948</v>
      </c>
      <c r="AJ43">
        <v>0.86729737030909948</v>
      </c>
      <c r="AK43">
        <v>0.86729737030909948</v>
      </c>
      <c r="AL43">
        <v>0.86729737030909948</v>
      </c>
      <c r="AM43">
        <v>0.86729737030909948</v>
      </c>
      <c r="AN43">
        <v>0.86729737030909948</v>
      </c>
      <c r="AO43">
        <v>0.86729737030909948</v>
      </c>
      <c r="AP43">
        <v>0.86729737030909948</v>
      </c>
      <c r="AQ43">
        <v>0.86729737030909948</v>
      </c>
      <c r="AR43">
        <v>0.86729737030909948</v>
      </c>
      <c r="AS43">
        <v>0.86729737030909948</v>
      </c>
      <c r="AT43">
        <v>0.86729737030909948</v>
      </c>
      <c r="AU43">
        <v>0.86729737030909948</v>
      </c>
      <c r="AV43">
        <v>0.86729737030909948</v>
      </c>
      <c r="AW43">
        <v>0.86729737030909948</v>
      </c>
      <c r="AX43">
        <v>0.86729737030909948</v>
      </c>
      <c r="AY43">
        <v>0.86729737030909948</v>
      </c>
      <c r="AZ43">
        <v>0.86729737030909948</v>
      </c>
      <c r="BA43">
        <v>0.86729737030909948</v>
      </c>
      <c r="BB43">
        <v>0.86729737030909948</v>
      </c>
      <c r="BC43">
        <v>0.86729737030909948</v>
      </c>
      <c r="BD43">
        <v>0.86729737030909948</v>
      </c>
      <c r="BE43">
        <v>0.86729737030909948</v>
      </c>
      <c r="BF43">
        <v>0.86729737030909948</v>
      </c>
      <c r="BG43">
        <v>0.86729737030909948</v>
      </c>
      <c r="BH43">
        <v>0.86729737030909948</v>
      </c>
      <c r="BI43">
        <v>0.86729737030909948</v>
      </c>
      <c r="BJ43">
        <v>0.86729737030909948</v>
      </c>
      <c r="BK43">
        <v>0.86729737030909948</v>
      </c>
      <c r="BL43">
        <v>0.86729737030909948</v>
      </c>
      <c r="BM43">
        <v>0.86729737030909948</v>
      </c>
      <c r="BN43">
        <v>0.86729737030909948</v>
      </c>
      <c r="BO43">
        <v>0.86729737030909948</v>
      </c>
      <c r="BP43">
        <v>0.86729737030909948</v>
      </c>
      <c r="BQ43">
        <v>0.86729737030909948</v>
      </c>
      <c r="BR43">
        <v>0.86729737030909948</v>
      </c>
      <c r="BS43">
        <v>0.86729737030909948</v>
      </c>
      <c r="BT43">
        <v>0.86729737030909948</v>
      </c>
      <c r="BU43">
        <v>0.86729737030909948</v>
      </c>
      <c r="BV43">
        <v>0.86729737030909948</v>
      </c>
      <c r="BW43">
        <v>0.86729737030909948</v>
      </c>
      <c r="BX43">
        <v>0.86729737030909948</v>
      </c>
      <c r="BY43">
        <v>0.86729737030909948</v>
      </c>
      <c r="BZ43">
        <v>0.86729737030909948</v>
      </c>
      <c r="CA43">
        <v>0.86729737030909948</v>
      </c>
      <c r="CB43">
        <v>0.86729737030909948</v>
      </c>
      <c r="CC43">
        <v>0.86729737030909948</v>
      </c>
      <c r="CD43">
        <v>0.86729737030909948</v>
      </c>
      <c r="CE43">
        <v>0.86729737030909948</v>
      </c>
      <c r="CF43">
        <v>0.86729737030909948</v>
      </c>
      <c r="CG43">
        <v>0.86729737030909948</v>
      </c>
      <c r="CH43">
        <v>0.86729737030909948</v>
      </c>
      <c r="CI43">
        <v>0.86729737030909948</v>
      </c>
      <c r="CJ43">
        <v>0.86729737030909948</v>
      </c>
      <c r="CK43">
        <v>0.86729737030909948</v>
      </c>
      <c r="CL43">
        <v>0.86729737030909948</v>
      </c>
      <c r="CM43">
        <v>0.86729737030909948</v>
      </c>
      <c r="CN43">
        <v>0.86729737030909948</v>
      </c>
      <c r="CO43">
        <v>0.86729737030909948</v>
      </c>
      <c r="CP43">
        <v>0.86729737030909948</v>
      </c>
      <c r="CQ43">
        <v>0.86729737030909948</v>
      </c>
      <c r="CR43">
        <v>0.86729737030909948</v>
      </c>
      <c r="CS43">
        <v>0.86729737030909948</v>
      </c>
      <c r="CT43">
        <v>0.86729737030909948</v>
      </c>
      <c r="CU43">
        <v>0.86729737030909948</v>
      </c>
      <c r="CV43">
        <v>0.86729737030909948</v>
      </c>
      <c r="CW43">
        <v>0.86729737030909948</v>
      </c>
      <c r="CX43">
        <v>0.86729737030909948</v>
      </c>
      <c r="CY43">
        <v>0.86729737030909948</v>
      </c>
      <c r="CZ43">
        <v>0.86729737030909948</v>
      </c>
    </row>
    <row r="44" spans="1:104" x14ac:dyDescent="0.35">
      <c r="A44" s="27"/>
      <c r="B44" s="27" t="s">
        <v>942</v>
      </c>
      <c r="C44" s="27" t="str">
        <f t="shared" si="1"/>
        <v>ConsequentialPED</v>
      </c>
      <c r="D44" s="28">
        <v>1.4517458781240362</v>
      </c>
      <c r="E44" s="28">
        <v>1.3822036793540222</v>
      </c>
      <c r="F44" s="28">
        <v>1.2509246801232174</v>
      </c>
      <c r="G44" s="28">
        <v>1.2574602698161235</v>
      </c>
      <c r="H44" s="28">
        <v>1.2812247823747789</v>
      </c>
      <c r="I44" s="28">
        <v>1.2572007565642733</v>
      </c>
      <c r="J44" s="28">
        <v>1.2675816735080114</v>
      </c>
      <c r="K44" s="28">
        <v>1.2491048120756731</v>
      </c>
      <c r="L44" s="28">
        <v>1.2839828179015429</v>
      </c>
      <c r="M44" s="28">
        <v>1.2173840082054042</v>
      </c>
      <c r="N44" s="28">
        <v>1.169135921261391</v>
      </c>
      <c r="O44" s="28">
        <v>1.1100157827719379</v>
      </c>
      <c r="P44" s="28">
        <v>1.1259749046859466</v>
      </c>
      <c r="Q44" s="28">
        <v>1.103198204911686</v>
      </c>
      <c r="R44" s="28">
        <v>1.1170806730472667</v>
      </c>
      <c r="S44" s="28">
        <v>1.125300793927664</v>
      </c>
      <c r="T44" s="28">
        <v>1.1409878401265432</v>
      </c>
      <c r="U44" s="28">
        <v>1.0906020174106279</v>
      </c>
      <c r="V44" s="28">
        <v>1.0921641770042689</v>
      </c>
      <c r="W44" s="28">
        <v>1.0827202363583188</v>
      </c>
      <c r="X44" s="28">
        <v>1.1031476049942111</v>
      </c>
      <c r="Y44" s="28">
        <v>1.0807106940587947</v>
      </c>
      <c r="Z44" s="28">
        <v>1.0924394486288764</v>
      </c>
      <c r="AA44" s="28">
        <v>1.0806826297571708</v>
      </c>
      <c r="AB44" s="28">
        <v>1.0922454736864302</v>
      </c>
      <c r="AC44" s="28">
        <v>1.0791154671290404</v>
      </c>
      <c r="AD44" s="28">
        <v>1.0717304362482909</v>
      </c>
      <c r="AE44" s="28">
        <v>1.0783106841911569</v>
      </c>
      <c r="AF44" s="28">
        <v>1.0749941411777617</v>
      </c>
      <c r="AG44" s="28">
        <v>1.0764301223462922</v>
      </c>
      <c r="AH44">
        <v>1.0764301223462922</v>
      </c>
      <c r="AI44">
        <v>1.0764301223462922</v>
      </c>
      <c r="AJ44">
        <v>1.0764301223462922</v>
      </c>
      <c r="AK44">
        <v>1.0764301223462922</v>
      </c>
      <c r="AL44">
        <v>1.0764301223462922</v>
      </c>
      <c r="AM44">
        <v>1.0764301223462922</v>
      </c>
      <c r="AN44">
        <v>1.0764301223462922</v>
      </c>
      <c r="AO44">
        <v>1.0764301223462922</v>
      </c>
      <c r="AP44">
        <v>1.0764301223462922</v>
      </c>
      <c r="AQ44">
        <v>1.0764301223462922</v>
      </c>
      <c r="AR44">
        <v>1.0764301223462922</v>
      </c>
      <c r="AS44">
        <v>1.0764301223462922</v>
      </c>
      <c r="AT44">
        <v>1.0764301223462922</v>
      </c>
      <c r="AU44">
        <v>1.0764301223462922</v>
      </c>
      <c r="AV44">
        <v>1.0764301223462922</v>
      </c>
      <c r="AW44">
        <v>1.0764301223462922</v>
      </c>
      <c r="AX44">
        <v>1.0764301223462922</v>
      </c>
      <c r="AY44">
        <v>1.0764301223462922</v>
      </c>
      <c r="AZ44">
        <v>1.0764301223462922</v>
      </c>
      <c r="BA44">
        <v>1.0764301223462922</v>
      </c>
      <c r="BB44">
        <v>1.0764301223462922</v>
      </c>
      <c r="BC44">
        <v>1.0764301223462922</v>
      </c>
      <c r="BD44">
        <v>1.0764301223462922</v>
      </c>
      <c r="BE44">
        <v>1.0764301223462922</v>
      </c>
      <c r="BF44">
        <v>1.0764301223462922</v>
      </c>
      <c r="BG44">
        <v>1.0764301223462922</v>
      </c>
      <c r="BH44">
        <v>1.0764301223462922</v>
      </c>
      <c r="BI44">
        <v>1.0764301223462922</v>
      </c>
      <c r="BJ44">
        <v>1.0764301223462922</v>
      </c>
      <c r="BK44">
        <v>1.0764301223462922</v>
      </c>
      <c r="BL44">
        <v>1.0764301223462922</v>
      </c>
      <c r="BM44">
        <v>1.0764301223462922</v>
      </c>
      <c r="BN44">
        <v>1.0764301223462922</v>
      </c>
      <c r="BO44">
        <v>1.0764301223462922</v>
      </c>
      <c r="BP44">
        <v>1.0764301223462922</v>
      </c>
      <c r="BQ44">
        <v>1.0764301223462922</v>
      </c>
      <c r="BR44">
        <v>1.0764301223462922</v>
      </c>
      <c r="BS44">
        <v>1.0764301223462922</v>
      </c>
      <c r="BT44">
        <v>1.0764301223462922</v>
      </c>
      <c r="BU44">
        <v>1.0764301223462922</v>
      </c>
      <c r="BV44">
        <v>1.0764301223462922</v>
      </c>
      <c r="BW44">
        <v>1.0764301223462922</v>
      </c>
      <c r="BX44">
        <v>1.0764301223462922</v>
      </c>
      <c r="BY44">
        <v>1.0764301223462922</v>
      </c>
      <c r="BZ44">
        <v>1.0764301223462922</v>
      </c>
      <c r="CA44">
        <v>1.0764301223462922</v>
      </c>
      <c r="CB44">
        <v>1.0764301223462922</v>
      </c>
      <c r="CC44">
        <v>1.0764301223462922</v>
      </c>
      <c r="CD44">
        <v>1.0764301223462922</v>
      </c>
      <c r="CE44">
        <v>1.0764301223462922</v>
      </c>
      <c r="CF44">
        <v>1.0764301223462922</v>
      </c>
      <c r="CG44">
        <v>1.0764301223462922</v>
      </c>
      <c r="CH44">
        <v>1.0764301223462922</v>
      </c>
      <c r="CI44">
        <v>1.0764301223462922</v>
      </c>
      <c r="CJ44">
        <v>1.0764301223462922</v>
      </c>
      <c r="CK44">
        <v>1.0764301223462922</v>
      </c>
      <c r="CL44">
        <v>1.0764301223462922</v>
      </c>
      <c r="CM44">
        <v>1.0764301223462922</v>
      </c>
      <c r="CN44">
        <v>1.0764301223462922</v>
      </c>
      <c r="CO44">
        <v>1.0764301223462922</v>
      </c>
      <c r="CP44">
        <v>1.0764301223462922</v>
      </c>
      <c r="CQ44">
        <v>1.0764301223462922</v>
      </c>
      <c r="CR44">
        <v>1.0764301223462922</v>
      </c>
      <c r="CS44">
        <v>1.0764301223462922</v>
      </c>
      <c r="CT44">
        <v>1.0764301223462922</v>
      </c>
      <c r="CU44">
        <v>1.0764301223462922</v>
      </c>
      <c r="CV44">
        <v>1.0764301223462922</v>
      </c>
      <c r="CW44">
        <v>1.0764301223462922</v>
      </c>
      <c r="CX44">
        <v>1.0764301223462922</v>
      </c>
      <c r="CY44">
        <v>1.0764301223462922</v>
      </c>
      <c r="CZ44">
        <v>1.0764301223462922</v>
      </c>
    </row>
    <row r="47" spans="1:104" x14ac:dyDescent="0.35">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row>
    <row r="48" spans="1:104" x14ac:dyDescent="0.35">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row>
    <row r="49" spans="4:104" x14ac:dyDescent="0.35">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row>
    <row r="50" spans="4:104" x14ac:dyDescent="0.35">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row>
    <row r="51" spans="4:104" x14ac:dyDescent="0.35">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row>
    <row r="52" spans="4:104" x14ac:dyDescent="0.35">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row>
    <row r="53" spans="4:104" x14ac:dyDescent="0.35">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row>
    <row r="54" spans="4:104" x14ac:dyDescent="0.35">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row>
    <row r="55" spans="4:104" x14ac:dyDescent="0.35">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row>
    <row r="56" spans="4:104" x14ac:dyDescent="0.35">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row>
    <row r="57" spans="4:104" x14ac:dyDescent="0.35">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row>
    <row r="58" spans="4:104" x14ac:dyDescent="0.35">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row>
    <row r="59" spans="4:104" x14ac:dyDescent="0.35">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row>
    <row r="60" spans="4:104" x14ac:dyDescent="0.35">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row>
    <row r="61" spans="4:104" x14ac:dyDescent="0.35">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row>
    <row r="62" spans="4:104" x14ac:dyDescent="0.35">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row>
    <row r="63" spans="4:104" x14ac:dyDescent="0.35">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row>
    <row r="64" spans="4:104" x14ac:dyDescent="0.35">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row>
    <row r="65" spans="4:104" x14ac:dyDescent="0.35">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row>
    <row r="66" spans="4:104" x14ac:dyDescent="0.35">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row>
    <row r="67" spans="4:104" x14ac:dyDescent="0.35">
      <c r="D67" s="1"/>
    </row>
    <row r="68" spans="4:104" x14ac:dyDescent="0.35">
      <c r="D68" s="1"/>
    </row>
    <row r="69" spans="4:104" x14ac:dyDescent="0.35">
      <c r="D69" s="1"/>
    </row>
    <row r="70" spans="4:104" x14ac:dyDescent="0.35">
      <c r="D70" s="1"/>
    </row>
    <row r="71" spans="4:104" x14ac:dyDescent="0.35">
      <c r="D71" s="1"/>
    </row>
    <row r="72" spans="4:104" x14ac:dyDescent="0.35">
      <c r="D72" s="1"/>
    </row>
    <row r="73" spans="4:104" x14ac:dyDescent="0.35">
      <c r="D73" s="1"/>
    </row>
  </sheetData>
  <conditionalFormatting sqref="A21">
    <cfRule type="containsText" dxfId="7" priority="1" operator="containsText" text="FALSE">
      <formula>NOT(ISERROR(SEARCH("FALSE",A21)))</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A888-23F6-4A80-891C-5F8CDECDD480}">
  <sheetPr codeName="Sheet11">
    <tabColor theme="0" tint="-0.499984740745262"/>
  </sheetPr>
  <dimension ref="A1:EP71"/>
  <sheetViews>
    <sheetView workbookViewId="0"/>
  </sheetViews>
  <sheetFormatPr defaultRowHeight="14.5" x14ac:dyDescent="0.35"/>
  <cols>
    <col min="2" max="2" width="12.54296875" bestFit="1" customWidth="1"/>
    <col min="43" max="43" width="11.54296875" customWidth="1"/>
    <col min="44" max="44" width="20.54296875" customWidth="1"/>
    <col min="45" max="45" width="30.453125" customWidth="1"/>
  </cols>
  <sheetData>
    <row r="1" spans="1:39" x14ac:dyDescent="0.35">
      <c r="A1" s="4" t="s">
        <v>943</v>
      </c>
    </row>
    <row r="2" spans="1:39" x14ac:dyDescent="0.35">
      <c r="C2" s="4" t="s">
        <v>944</v>
      </c>
      <c r="M2" s="4" t="s">
        <v>945</v>
      </c>
      <c r="X2" t="s">
        <v>946</v>
      </c>
      <c r="AA2" s="4" t="s">
        <v>947</v>
      </c>
      <c r="AL2" t="s">
        <v>946</v>
      </c>
    </row>
    <row r="3" spans="1:39" x14ac:dyDescent="0.35">
      <c r="C3" s="210" t="s">
        <v>948</v>
      </c>
      <c r="D3" s="292"/>
      <c r="E3" s="292"/>
      <c r="F3" s="292"/>
      <c r="G3" s="292"/>
      <c r="H3" s="293" t="s">
        <v>823</v>
      </c>
      <c r="I3" s="293"/>
      <c r="J3" s="293"/>
      <c r="K3" s="294"/>
      <c r="M3" s="95" t="s">
        <v>948</v>
      </c>
      <c r="N3" s="289"/>
      <c r="O3" s="289"/>
      <c r="P3" s="289"/>
      <c r="Q3" s="289"/>
      <c r="R3" s="290" t="s">
        <v>823</v>
      </c>
      <c r="S3" s="290"/>
      <c r="T3" s="290"/>
      <c r="U3" s="291"/>
      <c r="X3" s="95" t="s">
        <v>948</v>
      </c>
      <c r="Y3" s="291" t="s">
        <v>823</v>
      </c>
      <c r="AA3" s="95" t="s">
        <v>948</v>
      </c>
      <c r="AB3" s="289"/>
      <c r="AC3" s="289"/>
      <c r="AD3" s="289"/>
      <c r="AE3" s="289"/>
      <c r="AF3" s="290" t="s">
        <v>823</v>
      </c>
      <c r="AG3" s="290"/>
      <c r="AH3" s="290"/>
      <c r="AI3" s="291"/>
      <c r="AL3" s="95" t="s">
        <v>948</v>
      </c>
      <c r="AM3" s="291" t="s">
        <v>823</v>
      </c>
    </row>
    <row r="4" spans="1:39" x14ac:dyDescent="0.35">
      <c r="A4" s="286" t="s">
        <v>264</v>
      </c>
      <c r="B4" s="288" t="s">
        <v>949</v>
      </c>
      <c r="C4" s="286" t="s">
        <v>821</v>
      </c>
      <c r="D4" s="287" t="s">
        <v>132</v>
      </c>
      <c r="E4" s="287" t="s">
        <v>822</v>
      </c>
      <c r="F4" s="287" t="s">
        <v>950</v>
      </c>
      <c r="G4" s="288" t="s">
        <v>951</v>
      </c>
      <c r="H4" s="286" t="s">
        <v>821</v>
      </c>
      <c r="I4" s="287" t="s">
        <v>132</v>
      </c>
      <c r="J4" s="287" t="s">
        <v>822</v>
      </c>
      <c r="K4" s="288" t="s">
        <v>952</v>
      </c>
      <c r="M4" s="286" t="s">
        <v>821</v>
      </c>
      <c r="N4" s="287" t="s">
        <v>132</v>
      </c>
      <c r="O4" s="287" t="s">
        <v>822</v>
      </c>
      <c r="P4" s="287" t="s">
        <v>950</v>
      </c>
      <c r="Q4" s="288" t="s">
        <v>951</v>
      </c>
      <c r="R4" s="287" t="s">
        <v>821</v>
      </c>
      <c r="S4" s="287" t="s">
        <v>132</v>
      </c>
      <c r="T4" s="287" t="s">
        <v>822</v>
      </c>
      <c r="U4" s="288" t="s">
        <v>952</v>
      </c>
      <c r="V4" s="298" t="s">
        <v>314</v>
      </c>
      <c r="X4" s="17"/>
      <c r="Y4" s="18"/>
      <c r="AA4" s="16" t="s">
        <v>953</v>
      </c>
      <c r="AB4" s="5" t="s">
        <v>954</v>
      </c>
      <c r="AC4" s="5" t="s">
        <v>955</v>
      </c>
      <c r="AD4" s="5" t="s">
        <v>956</v>
      </c>
      <c r="AE4" s="6" t="s">
        <v>957</v>
      </c>
      <c r="AF4" s="5" t="s">
        <v>958</v>
      </c>
      <c r="AG4" s="5" t="s">
        <v>959</v>
      </c>
      <c r="AH4" s="5" t="s">
        <v>960</v>
      </c>
      <c r="AI4" s="6" t="s">
        <v>961</v>
      </c>
      <c r="AJ4" s="288" t="s">
        <v>314</v>
      </c>
      <c r="AL4" s="17"/>
      <c r="AM4" s="18"/>
    </row>
    <row r="5" spans="1:39" hidden="1" x14ac:dyDescent="0.35">
      <c r="A5" s="8">
        <v>2001</v>
      </c>
      <c r="B5" s="7">
        <v>36567845999.532143</v>
      </c>
      <c r="C5" s="8">
        <v>28636265616.396164</v>
      </c>
      <c r="D5">
        <v>5342144777.5908642</v>
      </c>
      <c r="E5">
        <v>395118.92121642391</v>
      </c>
      <c r="F5">
        <v>78634.803954500007</v>
      </c>
      <c r="G5" s="7">
        <v>233722432.45483509</v>
      </c>
      <c r="H5" s="8">
        <v>35096080.919836171</v>
      </c>
      <c r="I5">
        <v>2290601899.4422216</v>
      </c>
      <c r="K5" s="7">
        <v>22671180.822699539</v>
      </c>
      <c r="M5" s="274">
        <f t="shared" ref="M5:S5" si="0">C5/$B5</f>
        <v>0.78309960112943333</v>
      </c>
      <c r="N5" s="275">
        <f t="shared" si="0"/>
        <v>0.14608858223859325</v>
      </c>
      <c r="O5" s="275">
        <f t="shared" si="0"/>
        <v>1.0805091479040881E-5</v>
      </c>
      <c r="P5" s="275">
        <f t="shared" si="0"/>
        <v>2.1503810740043609E-6</v>
      </c>
      <c r="Q5" s="281">
        <f t="shared" si="0"/>
        <v>6.3914738772916889E-3</v>
      </c>
      <c r="R5" s="274">
        <f t="shared" si="0"/>
        <v>9.5975248091684695E-4</v>
      </c>
      <c r="S5" s="275">
        <f t="shared" si="0"/>
        <v>6.2639781940438274E-2</v>
      </c>
      <c r="T5" s="275"/>
      <c r="U5" s="281">
        <f t="shared" ref="U5:U36" si="1">K5/$B5</f>
        <v>6.1997583404255197E-4</v>
      </c>
      <c r="V5" s="283">
        <f t="shared" ref="V5:V24" si="2">SUM(M5:S5)</f>
        <v>0.99919214713922633</v>
      </c>
      <c r="X5" s="295">
        <f>SUM(M5:Q5)</f>
        <v>0.9355926127178712</v>
      </c>
      <c r="Y5" s="276">
        <f>SUM(R5:U5)</f>
        <v>6.4219510255397669E-2</v>
      </c>
      <c r="AA5" s="274">
        <f t="shared" ref="AA5:AA36" si="3">M5*(($Y5-Per_Heavy+$X5)/$X5)</f>
        <v>0.83685192044247025</v>
      </c>
      <c r="AB5" s="275">
        <f t="shared" ref="AB5:AB36" si="4">N5*(($Y5-Per_Heavy+$X5)/$X5)</f>
        <v>0.15611617018417798</v>
      </c>
      <c r="AC5" s="275">
        <f t="shared" ref="AC5:AC36" si="5">O5*(($Y5-Per_Heavy+$X5)/$X5)</f>
        <v>1.1546757962525634E-5</v>
      </c>
      <c r="AD5" s="275">
        <f t="shared" ref="AD5:AD36" si="6">P5*(($Y5-Per_Heavy+$X5)/$X5)</f>
        <v>2.2979842268700828E-6</v>
      </c>
      <c r="AE5" s="281">
        <f t="shared" ref="AE5:AE36" si="7">Q5*(($Y5-Per_Heavy+$X5)/$X5)</f>
        <v>6.8301876044314022E-3</v>
      </c>
      <c r="AF5" s="275">
        <f t="shared" ref="AF5:AF36" si="8">R5*(Per_Heavy/$Y5)</f>
        <v>0</v>
      </c>
      <c r="AG5" s="275">
        <f t="shared" ref="AG5:AG36" si="9">S5*(Per_Heavy/$Y5)</f>
        <v>0</v>
      </c>
      <c r="AH5" s="275"/>
      <c r="AI5" s="281">
        <f t="shared" ref="AI5:AI36" si="10">U5*(Per_Heavy/$Y5)</f>
        <v>0</v>
      </c>
      <c r="AJ5" s="283">
        <f>SUM(AA5:AI5)</f>
        <v>0.99981212297326916</v>
      </c>
      <c r="AL5" s="295">
        <f>SUM(AA5:AE5)</f>
        <v>0.99981212297326916</v>
      </c>
      <c r="AM5" s="276">
        <f>SUM(AF5:AI5)</f>
        <v>0</v>
      </c>
    </row>
    <row r="6" spans="1:39" hidden="1" x14ac:dyDescent="0.35">
      <c r="A6" s="8">
        <v>2002</v>
      </c>
      <c r="B6" s="7">
        <v>37761908843.079628</v>
      </c>
      <c r="C6" s="8">
        <v>29428409197.827148</v>
      </c>
      <c r="D6">
        <v>5639295961.822381</v>
      </c>
      <c r="E6">
        <v>363124.64329586498</v>
      </c>
      <c r="F6">
        <v>60215.036377099997</v>
      </c>
      <c r="G6" s="7">
        <v>231928683.97452039</v>
      </c>
      <c r="H6" s="8">
        <v>33084660.385213017</v>
      </c>
      <c r="I6">
        <v>2394784647.312295</v>
      </c>
      <c r="K6" s="7">
        <v>27437441.051219348</v>
      </c>
      <c r="M6" s="277">
        <f t="shared" ref="M6:M59" si="11">C6/$B6</f>
        <v>0.77931466124017978</v>
      </c>
      <c r="N6" s="91">
        <f t="shared" ref="N6:N37" si="12">D6/$B6</f>
        <v>0.14933821235723513</v>
      </c>
      <c r="O6" s="91">
        <f t="shared" ref="O6:O37" si="13">E6/$B6</f>
        <v>9.6161622762460642E-6</v>
      </c>
      <c r="P6" s="91">
        <f t="shared" ref="P6:P37" si="14">F6/$B6</f>
        <v>1.5945972600941544E-6</v>
      </c>
      <c r="Q6" s="282">
        <f t="shared" ref="Q6:Q37" si="15">G6/$B6</f>
        <v>6.1418686470089395E-3</v>
      </c>
      <c r="R6" s="277">
        <f t="shared" ref="R6:R59" si="16">H6/$B6</f>
        <v>8.7613845271161976E-4</v>
      </c>
      <c r="S6" s="91">
        <f t="shared" ref="S6:T59" si="17">I6/$B6</f>
        <v>6.3417997677603394E-2</v>
      </c>
      <c r="T6" s="91"/>
      <c r="U6" s="282">
        <f t="shared" si="1"/>
        <v>7.2659041589333273E-4</v>
      </c>
      <c r="V6" s="284">
        <f t="shared" si="2"/>
        <v>0.99910008913427517</v>
      </c>
      <c r="X6" s="296">
        <f t="shared" ref="X6:X59" si="18">SUM(M6:Q6)</f>
        <v>0.93480595300396019</v>
      </c>
      <c r="Y6" s="278">
        <f t="shared" ref="Y6:Y59" si="19">SUM(R6:U6)</f>
        <v>6.5020726546208343E-2</v>
      </c>
      <c r="AA6" s="277">
        <f t="shared" si="3"/>
        <v>0.83352014133914321</v>
      </c>
      <c r="AB6" s="91">
        <f t="shared" si="4"/>
        <v>0.15972547940166978</v>
      </c>
      <c r="AC6" s="91">
        <f t="shared" si="5"/>
        <v>1.0285017513826168E-5</v>
      </c>
      <c r="AD6" s="91">
        <f t="shared" si="6"/>
        <v>1.7055099816774281E-6</v>
      </c>
      <c r="AE6" s="282">
        <f t="shared" si="7"/>
        <v>6.5690682818600101E-3</v>
      </c>
      <c r="AF6" s="91">
        <f t="shared" si="8"/>
        <v>0</v>
      </c>
      <c r="AG6" s="91">
        <f t="shared" si="9"/>
        <v>0</v>
      </c>
      <c r="AH6" s="91"/>
      <c r="AI6" s="282">
        <f t="shared" si="10"/>
        <v>0</v>
      </c>
      <c r="AJ6" s="284">
        <f>SUM(AA6:AI6)</f>
        <v>0.99982667955016857</v>
      </c>
      <c r="AL6" s="296">
        <f t="shared" ref="AL6:AL59" si="20">SUM(AA6:AE6)</f>
        <v>0.99982667955016857</v>
      </c>
      <c r="AM6" s="278">
        <f t="shared" ref="AM6:AM59" si="21">SUM(AF6:AI6)</f>
        <v>0</v>
      </c>
    </row>
    <row r="7" spans="1:39" hidden="1" x14ac:dyDescent="0.35">
      <c r="A7" s="8">
        <v>2003</v>
      </c>
      <c r="B7" s="7">
        <v>38918533162.369598</v>
      </c>
      <c r="C7" s="8">
        <v>30056731083.208157</v>
      </c>
      <c r="D7">
        <v>6071038382.5915966</v>
      </c>
      <c r="E7">
        <v>350552.96105850296</v>
      </c>
      <c r="F7">
        <v>71937.780273600001</v>
      </c>
      <c r="G7" s="7">
        <v>234059081.36670363</v>
      </c>
      <c r="H7" s="8">
        <v>30619275.097211353</v>
      </c>
      <c r="I7">
        <v>2488490932.294404</v>
      </c>
      <c r="K7" s="7">
        <v>31081499.41219813</v>
      </c>
      <c r="M7" s="277">
        <f t="shared" si="11"/>
        <v>0.77229866186914942</v>
      </c>
      <c r="N7" s="91">
        <f t="shared" si="12"/>
        <v>0.1559935046180439</v>
      </c>
      <c r="O7" s="91">
        <f t="shared" si="13"/>
        <v>9.007352861835329E-6</v>
      </c>
      <c r="P7" s="91">
        <f t="shared" si="14"/>
        <v>1.8484196198626718E-6</v>
      </c>
      <c r="Q7" s="282">
        <f t="shared" si="15"/>
        <v>6.0140776732309064E-3</v>
      </c>
      <c r="R7" s="277">
        <f t="shared" si="16"/>
        <v>7.8675306105362641E-4</v>
      </c>
      <c r="S7" s="91">
        <f t="shared" si="17"/>
        <v>6.3941025781016084E-2</v>
      </c>
      <c r="T7" s="91"/>
      <c r="U7" s="282">
        <f t="shared" si="1"/>
        <v>7.9862977575554902E-4</v>
      </c>
      <c r="V7" s="284">
        <f t="shared" si="2"/>
        <v>0.9990448787749755</v>
      </c>
      <c r="X7" s="296">
        <f t="shared" si="18"/>
        <v>0.93431709993290579</v>
      </c>
      <c r="Y7" s="278">
        <f t="shared" si="19"/>
        <v>6.5526408617825257E-2</v>
      </c>
      <c r="AA7" s="277">
        <f t="shared" si="3"/>
        <v>0.82646224048316774</v>
      </c>
      <c r="AB7" s="91">
        <f t="shared" si="4"/>
        <v>0.16693378830338221</v>
      </c>
      <c r="AC7" s="91">
        <f t="shared" si="5"/>
        <v>9.639065033465223E-6</v>
      </c>
      <c r="AD7" s="91">
        <f t="shared" si="6"/>
        <v>1.978054729095955E-6</v>
      </c>
      <c r="AE7" s="282">
        <f t="shared" si="7"/>
        <v>6.4358626444187056E-3</v>
      </c>
      <c r="AF7" s="91">
        <f t="shared" si="8"/>
        <v>0</v>
      </c>
      <c r="AG7" s="91">
        <f t="shared" si="9"/>
        <v>0</v>
      </c>
      <c r="AH7" s="91"/>
      <c r="AI7" s="282">
        <f t="shared" si="10"/>
        <v>0</v>
      </c>
      <c r="AJ7" s="284">
        <f t="shared" ref="AJ7:AJ59" si="22">SUM(AA7:AI7)</f>
        <v>0.99984350855073134</v>
      </c>
      <c r="AL7" s="296">
        <f t="shared" si="20"/>
        <v>0.99984350855073134</v>
      </c>
      <c r="AM7" s="278">
        <f t="shared" si="21"/>
        <v>0</v>
      </c>
    </row>
    <row r="8" spans="1:39" hidden="1" x14ac:dyDescent="0.35">
      <c r="A8" s="8">
        <v>2004</v>
      </c>
      <c r="B8" s="7">
        <v>40051485960.511681</v>
      </c>
      <c r="C8" s="8">
        <v>30535626945.345818</v>
      </c>
      <c r="D8">
        <v>6549722520.4500618</v>
      </c>
      <c r="E8">
        <v>301040.14225914603</v>
      </c>
      <c r="F8">
        <v>84065.155029299989</v>
      </c>
      <c r="G8" s="7">
        <v>240055639.7980583</v>
      </c>
      <c r="H8" s="8">
        <v>28812358.506603207</v>
      </c>
      <c r="I8">
        <v>2658054671.6061482</v>
      </c>
      <c r="K8" s="7">
        <v>33181887.771848273</v>
      </c>
      <c r="M8" s="277">
        <f t="shared" si="11"/>
        <v>0.76240933920534382</v>
      </c>
      <c r="N8" s="91">
        <f t="shared" si="12"/>
        <v>0.1635325722223562</v>
      </c>
      <c r="O8" s="91">
        <f t="shared" si="13"/>
        <v>7.5163289211280008E-6</v>
      </c>
      <c r="P8" s="91">
        <f t="shared" si="14"/>
        <v>2.0989272436029737E-6</v>
      </c>
      <c r="Q8" s="282">
        <f t="shared" si="15"/>
        <v>5.9936762404955088E-3</v>
      </c>
      <c r="R8" s="277">
        <f t="shared" si="16"/>
        <v>7.193830095345385E-4</v>
      </c>
      <c r="S8" s="91">
        <f t="shared" si="17"/>
        <v>6.6365943930939988E-2</v>
      </c>
      <c r="T8" s="91"/>
      <c r="U8" s="282">
        <f t="shared" si="1"/>
        <v>8.2848081603173441E-4</v>
      </c>
      <c r="V8" s="284">
        <f t="shared" si="2"/>
        <v>0.99903052986483476</v>
      </c>
      <c r="X8" s="296">
        <f t="shared" si="18"/>
        <v>0.93194520292436023</v>
      </c>
      <c r="Y8" s="278">
        <f t="shared" si="19"/>
        <v>6.7913807756506267E-2</v>
      </c>
      <c r="AA8" s="277">
        <f t="shared" si="3"/>
        <v>0.81796852995184</v>
      </c>
      <c r="AB8" s="91">
        <f t="shared" si="4"/>
        <v>0.17544971030835746</v>
      </c>
      <c r="AC8" s="91">
        <f t="shared" si="5"/>
        <v>8.0640676892254908E-6</v>
      </c>
      <c r="AD8" s="91">
        <f t="shared" si="6"/>
        <v>2.2518827402026116E-6</v>
      </c>
      <c r="AE8" s="282">
        <f t="shared" si="7"/>
        <v>6.4304544702395465E-3</v>
      </c>
      <c r="AF8" s="91">
        <f t="shared" si="8"/>
        <v>0</v>
      </c>
      <c r="AG8" s="91">
        <f t="shared" si="9"/>
        <v>0</v>
      </c>
      <c r="AH8" s="91"/>
      <c r="AI8" s="282">
        <f t="shared" si="10"/>
        <v>0</v>
      </c>
      <c r="AJ8" s="284">
        <f t="shared" si="22"/>
        <v>0.99985901068086647</v>
      </c>
      <c r="AL8" s="296">
        <f t="shared" si="20"/>
        <v>0.99985901068086647</v>
      </c>
      <c r="AM8" s="278">
        <f t="shared" si="21"/>
        <v>0</v>
      </c>
    </row>
    <row r="9" spans="1:39" hidden="1" x14ac:dyDescent="0.35">
      <c r="A9" s="8">
        <v>2005</v>
      </c>
      <c r="B9" s="7">
        <v>40447170126.852959</v>
      </c>
      <c r="C9" s="8">
        <v>30522470238.92738</v>
      </c>
      <c r="D9">
        <v>6842037618.3231773</v>
      </c>
      <c r="E9">
        <v>323073.5582826031</v>
      </c>
      <c r="F9">
        <v>77759.579589700006</v>
      </c>
      <c r="G9" s="7">
        <v>271580811.7310394</v>
      </c>
      <c r="H9" s="8">
        <v>25814175.296857655</v>
      </c>
      <c r="I9">
        <v>2744269926.7742553</v>
      </c>
      <c r="K9" s="7">
        <v>35381958.924485303</v>
      </c>
      <c r="M9" s="277">
        <f t="shared" si="11"/>
        <v>0.75462560528217149</v>
      </c>
      <c r="N9" s="91">
        <f t="shared" si="12"/>
        <v>0.16915985956161453</v>
      </c>
      <c r="O9" s="91">
        <f t="shared" si="13"/>
        <v>7.9875441784767518E-6</v>
      </c>
      <c r="P9" s="91">
        <f t="shared" si="14"/>
        <v>1.9224974045359793E-6</v>
      </c>
      <c r="Q9" s="282">
        <f t="shared" si="15"/>
        <v>6.7144576710630333E-3</v>
      </c>
      <c r="R9" s="277">
        <f t="shared" si="16"/>
        <v>6.3821956433287208E-4</v>
      </c>
      <c r="S9" s="91">
        <f t="shared" si="17"/>
        <v>6.7848255345615116E-2</v>
      </c>
      <c r="T9" s="91"/>
      <c r="U9" s="282">
        <f t="shared" si="1"/>
        <v>8.747697011563029E-4</v>
      </c>
      <c r="V9" s="284">
        <f t="shared" si="2"/>
        <v>0.99899630746638002</v>
      </c>
      <c r="X9" s="296">
        <f t="shared" si="18"/>
        <v>0.93050983255643205</v>
      </c>
      <c r="Y9" s="278">
        <f t="shared" si="19"/>
        <v>6.9361244611104281E-2</v>
      </c>
      <c r="AA9" s="277">
        <f t="shared" si="3"/>
        <v>0.81087624269239467</v>
      </c>
      <c r="AB9" s="91">
        <f t="shared" si="4"/>
        <v>0.18176922486536229</v>
      </c>
      <c r="AC9" s="91">
        <f t="shared" si="5"/>
        <v>8.5829446634810083E-6</v>
      </c>
      <c r="AD9" s="91">
        <f t="shared" si="6"/>
        <v>2.0658025132782303E-6</v>
      </c>
      <c r="AE9" s="282">
        <f t="shared" si="7"/>
        <v>7.2149608626026719E-3</v>
      </c>
      <c r="AF9" s="91">
        <f t="shared" si="8"/>
        <v>0</v>
      </c>
      <c r="AG9" s="91">
        <f t="shared" si="9"/>
        <v>0</v>
      </c>
      <c r="AH9" s="91"/>
      <c r="AI9" s="282">
        <f t="shared" si="10"/>
        <v>0</v>
      </c>
      <c r="AJ9" s="284">
        <f t="shared" si="22"/>
        <v>0.99987107716753632</v>
      </c>
      <c r="AL9" s="296">
        <f t="shared" si="20"/>
        <v>0.99987107716753632</v>
      </c>
      <c r="AM9" s="278">
        <f t="shared" si="21"/>
        <v>0</v>
      </c>
    </row>
    <row r="10" spans="1:39" hidden="1" x14ac:dyDescent="0.35">
      <c r="A10" s="8">
        <v>2006</v>
      </c>
      <c r="B10" s="7">
        <v>40435975718.185532</v>
      </c>
      <c r="C10" s="8">
        <v>30226334802.959824</v>
      </c>
      <c r="D10">
        <v>7037264263.7431993</v>
      </c>
      <c r="E10">
        <v>346043.41067093011</v>
      </c>
      <c r="F10">
        <v>60271.490478200001</v>
      </c>
      <c r="G10" s="7">
        <v>314623161.45115125</v>
      </c>
      <c r="H10" s="8">
        <v>22741155.28170884</v>
      </c>
      <c r="I10">
        <v>2790151883.4345603</v>
      </c>
      <c r="K10" s="7">
        <v>39686406.412408531</v>
      </c>
      <c r="M10" s="277">
        <f t="shared" si="11"/>
        <v>0.74751095444361793</v>
      </c>
      <c r="N10" s="91">
        <f t="shared" si="12"/>
        <v>0.17403473364383995</v>
      </c>
      <c r="O10" s="91">
        <f t="shared" si="13"/>
        <v>8.557810329164427E-6</v>
      </c>
      <c r="P10" s="91">
        <f t="shared" si="14"/>
        <v>1.4905412669711768E-6</v>
      </c>
      <c r="Q10" s="282">
        <f t="shared" si="15"/>
        <v>7.7807733302612935E-3</v>
      </c>
      <c r="R10" s="277">
        <f t="shared" si="16"/>
        <v>5.623990735428529E-4</v>
      </c>
      <c r="S10" s="91">
        <f t="shared" si="17"/>
        <v>6.9001720222611751E-2</v>
      </c>
      <c r="T10" s="91"/>
      <c r="U10" s="282">
        <f t="shared" si="1"/>
        <v>9.8146281145777099E-4</v>
      </c>
      <c r="V10" s="284">
        <f t="shared" si="2"/>
        <v>0.99890062906546984</v>
      </c>
      <c r="X10" s="296">
        <f t="shared" si="18"/>
        <v>0.92933650976931526</v>
      </c>
      <c r="Y10" s="278">
        <f t="shared" si="19"/>
        <v>7.0545582107612373E-2</v>
      </c>
      <c r="AA10" s="277">
        <f t="shared" si="3"/>
        <v>0.80425422758386267</v>
      </c>
      <c r="AB10" s="91">
        <f t="shared" si="4"/>
        <v>0.18724564429115276</v>
      </c>
      <c r="AC10" s="91">
        <f t="shared" si="5"/>
        <v>9.2074304666400337E-6</v>
      </c>
      <c r="AD10" s="91">
        <f t="shared" si="6"/>
        <v>1.6036876894226105E-6</v>
      </c>
      <c r="AE10" s="282">
        <f t="shared" si="7"/>
        <v>8.3714088837562491E-3</v>
      </c>
      <c r="AF10" s="91">
        <f t="shared" si="8"/>
        <v>0</v>
      </c>
      <c r="AG10" s="91">
        <f t="shared" si="9"/>
        <v>0</v>
      </c>
      <c r="AH10" s="91"/>
      <c r="AI10" s="282">
        <f t="shared" si="10"/>
        <v>0</v>
      </c>
      <c r="AJ10" s="284">
        <f t="shared" si="22"/>
        <v>0.99988209187692767</v>
      </c>
      <c r="AL10" s="296">
        <f t="shared" si="20"/>
        <v>0.99988209187692767</v>
      </c>
      <c r="AM10" s="278">
        <f t="shared" si="21"/>
        <v>0</v>
      </c>
    </row>
    <row r="11" spans="1:39" hidden="1" x14ac:dyDescent="0.35">
      <c r="A11" s="8">
        <v>2007</v>
      </c>
      <c r="B11" s="7">
        <v>41081347279.34977</v>
      </c>
      <c r="C11" s="8">
        <v>30499586226.335087</v>
      </c>
      <c r="D11">
        <v>7299547893.8195286</v>
      </c>
      <c r="E11">
        <v>307926.34026248893</v>
      </c>
      <c r="F11">
        <v>22311.1237793</v>
      </c>
      <c r="G11" s="7">
        <v>341288802.09779739</v>
      </c>
      <c r="H11" s="8">
        <v>21530000.382956665</v>
      </c>
      <c r="I11">
        <v>2870677394.2933125</v>
      </c>
      <c r="K11" s="7">
        <v>43992200.549240232</v>
      </c>
      <c r="M11" s="277">
        <f t="shared" si="11"/>
        <v>0.74241932765594121</v>
      </c>
      <c r="N11" s="91">
        <f t="shared" si="12"/>
        <v>0.17768521183551272</v>
      </c>
      <c r="O11" s="91">
        <f t="shared" si="13"/>
        <v>7.4955268182568417E-6</v>
      </c>
      <c r="P11" s="91">
        <f t="shared" si="14"/>
        <v>5.4309620440600939E-7</v>
      </c>
      <c r="Q11" s="282">
        <f t="shared" si="15"/>
        <v>8.3076341137758147E-3</v>
      </c>
      <c r="R11" s="277">
        <f t="shared" si="16"/>
        <v>5.2408213967654077E-4</v>
      </c>
      <c r="S11" s="91">
        <f t="shared" si="17"/>
        <v>6.9877878511942257E-2</v>
      </c>
      <c r="T11" s="91"/>
      <c r="U11" s="282">
        <f t="shared" si="1"/>
        <v>1.0708558375677629E-3</v>
      </c>
      <c r="V11" s="284">
        <f t="shared" si="2"/>
        <v>0.9988221728798713</v>
      </c>
      <c r="X11" s="296">
        <f t="shared" si="18"/>
        <v>0.92842021222825244</v>
      </c>
      <c r="Y11" s="278">
        <f t="shared" si="19"/>
        <v>7.1472816489186561E-2</v>
      </c>
      <c r="AA11" s="277">
        <f t="shared" si="3"/>
        <v>0.79957318930682575</v>
      </c>
      <c r="AB11" s="91">
        <f t="shared" si="4"/>
        <v>0.19136399906040744</v>
      </c>
      <c r="AC11" s="91">
        <f t="shared" si="5"/>
        <v>8.0725569234990355E-6</v>
      </c>
      <c r="AD11" s="91">
        <f t="shared" si="6"/>
        <v>5.8490552182739853E-7</v>
      </c>
      <c r="AE11" s="282">
        <f t="shared" si="7"/>
        <v>8.9471828877605263E-3</v>
      </c>
      <c r="AF11" s="91">
        <f t="shared" si="8"/>
        <v>0</v>
      </c>
      <c r="AG11" s="91">
        <f t="shared" si="9"/>
        <v>0</v>
      </c>
      <c r="AH11" s="91"/>
      <c r="AI11" s="282">
        <f t="shared" si="10"/>
        <v>0</v>
      </c>
      <c r="AJ11" s="284">
        <f t="shared" si="22"/>
        <v>0.99989302871743901</v>
      </c>
      <c r="AL11" s="296">
        <f t="shared" si="20"/>
        <v>0.99989302871743901</v>
      </c>
      <c r="AM11" s="278">
        <f t="shared" si="21"/>
        <v>0</v>
      </c>
    </row>
    <row r="12" spans="1:39" hidden="1" x14ac:dyDescent="0.35">
      <c r="A12" s="8">
        <v>2008</v>
      </c>
      <c r="B12" s="7">
        <v>40511542875.575394</v>
      </c>
      <c r="C12" s="8">
        <v>29822514896.350014</v>
      </c>
      <c r="D12">
        <v>7370779217.7362843</v>
      </c>
      <c r="E12">
        <v>280049.03755367192</v>
      </c>
      <c r="F12">
        <v>18470.159423860001</v>
      </c>
      <c r="G12" s="7">
        <v>380395338.08340365</v>
      </c>
      <c r="H12" s="8">
        <v>19463122.753295064</v>
      </c>
      <c r="I12">
        <v>2869689803.6374674</v>
      </c>
      <c r="K12" s="7">
        <v>44730733.251790069</v>
      </c>
      <c r="M12" s="277">
        <f t="shared" si="11"/>
        <v>0.73614858332957134</v>
      </c>
      <c r="N12" s="91">
        <f t="shared" si="12"/>
        <v>0.18194269323127071</v>
      </c>
      <c r="O12" s="91">
        <f t="shared" si="13"/>
        <v>6.9128208326648271E-6</v>
      </c>
      <c r="P12" s="91">
        <f t="shared" si="14"/>
        <v>4.5592337671729973E-7</v>
      </c>
      <c r="Q12" s="282">
        <f t="shared" si="15"/>
        <v>9.3898013030934407E-3</v>
      </c>
      <c r="R12" s="277">
        <f t="shared" si="16"/>
        <v>4.8043400403368681E-4</v>
      </c>
      <c r="S12" s="91">
        <f t="shared" si="17"/>
        <v>7.0836349344957125E-2</v>
      </c>
      <c r="T12" s="91"/>
      <c r="U12" s="282">
        <f t="shared" si="1"/>
        <v>1.1041478570483782E-3</v>
      </c>
      <c r="V12" s="284">
        <f t="shared" si="2"/>
        <v>0.9988052299571355</v>
      </c>
      <c r="X12" s="296">
        <f t="shared" si="18"/>
        <v>0.92748844660814478</v>
      </c>
      <c r="Y12" s="278">
        <f t="shared" si="19"/>
        <v>7.2420931206039194E-2</v>
      </c>
      <c r="AA12" s="277">
        <f t="shared" si="3"/>
        <v>0.79362915476493512</v>
      </c>
      <c r="AB12" s="91">
        <f t="shared" si="4"/>
        <v>0.19614929528451469</v>
      </c>
      <c r="AC12" s="91">
        <f t="shared" si="5"/>
        <v>7.4525935099342042E-6</v>
      </c>
      <c r="AD12" s="91">
        <f t="shared" si="6"/>
        <v>4.9152316841413214E-7</v>
      </c>
      <c r="AE12" s="282">
        <f t="shared" si="7"/>
        <v>1.0122983648055856E-2</v>
      </c>
      <c r="AF12" s="91">
        <f t="shared" si="8"/>
        <v>0</v>
      </c>
      <c r="AG12" s="91">
        <f t="shared" si="9"/>
        <v>0</v>
      </c>
      <c r="AH12" s="91"/>
      <c r="AI12" s="282">
        <f t="shared" si="10"/>
        <v>0</v>
      </c>
      <c r="AJ12" s="284">
        <f t="shared" si="22"/>
        <v>0.99990937781418399</v>
      </c>
      <c r="AL12" s="296">
        <f t="shared" si="20"/>
        <v>0.99990937781418399</v>
      </c>
      <c r="AM12" s="278">
        <f t="shared" si="21"/>
        <v>0</v>
      </c>
    </row>
    <row r="13" spans="1:39" hidden="1" x14ac:dyDescent="0.35">
      <c r="A13" s="8">
        <v>2009</v>
      </c>
      <c r="B13" s="7">
        <v>40475061709.799255</v>
      </c>
      <c r="C13" s="8">
        <v>29873280910.957977</v>
      </c>
      <c r="D13">
        <v>7404517095.7876358</v>
      </c>
      <c r="E13">
        <v>258476.05172771</v>
      </c>
      <c r="F13">
        <v>16444.871582305001</v>
      </c>
      <c r="G13" s="7">
        <v>395823784.52345461</v>
      </c>
      <c r="H13" s="8">
        <v>17376911.157417711</v>
      </c>
      <c r="I13">
        <v>2739366934.3336062</v>
      </c>
      <c r="K13" s="7">
        <v>40806238.230697885</v>
      </c>
      <c r="M13" s="277">
        <f t="shared" si="11"/>
        <v>0.73806634626391387</v>
      </c>
      <c r="N13" s="91">
        <f t="shared" si="12"/>
        <v>0.18294022993410181</v>
      </c>
      <c r="O13" s="91">
        <f t="shared" si="13"/>
        <v>6.3860570140929863E-6</v>
      </c>
      <c r="P13" s="91">
        <f t="shared" si="14"/>
        <v>4.0629639307810117E-7</v>
      </c>
      <c r="Q13" s="282">
        <f t="shared" si="15"/>
        <v>9.7794485740740275E-3</v>
      </c>
      <c r="R13" s="277">
        <f t="shared" si="16"/>
        <v>4.2932389534098365E-4</v>
      </c>
      <c r="S13" s="91">
        <f t="shared" si="17"/>
        <v>6.7680364614994257E-2</v>
      </c>
      <c r="T13" s="91"/>
      <c r="U13" s="282">
        <f t="shared" si="1"/>
        <v>1.0081822363427911E-3</v>
      </c>
      <c r="V13" s="284">
        <f t="shared" si="2"/>
        <v>0.99890250563583216</v>
      </c>
      <c r="X13" s="296">
        <f t="shared" si="18"/>
        <v>0.93079281712549689</v>
      </c>
      <c r="Y13" s="278">
        <f t="shared" si="19"/>
        <v>6.9117870746678023E-2</v>
      </c>
      <c r="AA13" s="277">
        <f t="shared" si="3"/>
        <v>0.79287292983971303</v>
      </c>
      <c r="AB13" s="91">
        <f t="shared" si="4"/>
        <v>0.19652482033307131</v>
      </c>
      <c r="AC13" s="91">
        <f t="shared" si="5"/>
        <v>6.8602663710625765E-6</v>
      </c>
      <c r="AD13" s="91">
        <f t="shared" si="6"/>
        <v>4.3646673933016875E-7</v>
      </c>
      <c r="AE13" s="282">
        <f t="shared" si="7"/>
        <v>1.0505640966280143E-2</v>
      </c>
      <c r="AF13" s="91">
        <f t="shared" si="8"/>
        <v>0</v>
      </c>
      <c r="AG13" s="91">
        <f t="shared" si="9"/>
        <v>0</v>
      </c>
      <c r="AH13" s="91"/>
      <c r="AI13" s="282">
        <f t="shared" si="10"/>
        <v>0</v>
      </c>
      <c r="AJ13" s="284">
        <f t="shared" si="22"/>
        <v>0.99991068787217485</v>
      </c>
      <c r="AL13" s="296">
        <f t="shared" si="20"/>
        <v>0.99991068787217485</v>
      </c>
      <c r="AM13" s="278">
        <f t="shared" si="21"/>
        <v>0</v>
      </c>
    </row>
    <row r="14" spans="1:39" hidden="1" x14ac:dyDescent="0.35">
      <c r="A14" s="8">
        <v>2010</v>
      </c>
      <c r="B14" s="7">
        <v>40447947380.674919</v>
      </c>
      <c r="C14" s="8">
        <v>29776355344.916214</v>
      </c>
      <c r="D14">
        <v>7473925691.929224</v>
      </c>
      <c r="E14">
        <v>257240.89414519403</v>
      </c>
      <c r="F14">
        <v>10561.005371044999</v>
      </c>
      <c r="G14" s="7">
        <v>392506531.83392078</v>
      </c>
      <c r="H14" s="8">
        <v>16386350.097942207</v>
      </c>
      <c r="I14">
        <v>2747353849.2393308</v>
      </c>
      <c r="K14" s="7">
        <v>37382700.878077626</v>
      </c>
      <c r="M14" s="277">
        <f t="shared" si="11"/>
        <v>0.73616480620578184</v>
      </c>
      <c r="N14" s="91">
        <f t="shared" si="12"/>
        <v>0.18477886211600666</v>
      </c>
      <c r="O14" s="91">
        <f t="shared" si="13"/>
        <v>6.3598009492095437E-6</v>
      </c>
      <c r="P14" s="91">
        <f t="shared" si="14"/>
        <v>2.6110114492709217E-7</v>
      </c>
      <c r="Q14" s="282">
        <f t="shared" si="15"/>
        <v>9.7039913580744819E-3</v>
      </c>
      <c r="R14" s="277">
        <f t="shared" si="16"/>
        <v>4.0512191987698295E-4</v>
      </c>
      <c r="S14" s="91">
        <f t="shared" si="17"/>
        <v>6.7923195789953789E-2</v>
      </c>
      <c r="T14" s="91"/>
      <c r="U14" s="282">
        <f t="shared" si="1"/>
        <v>9.2421750172514826E-4</v>
      </c>
      <c r="V14" s="284">
        <f t="shared" si="2"/>
        <v>0.99898259829178782</v>
      </c>
      <c r="X14" s="296">
        <f t="shared" si="18"/>
        <v>0.93065428058195709</v>
      </c>
      <c r="Y14" s="278">
        <f t="shared" si="19"/>
        <v>6.925253521155593E-2</v>
      </c>
      <c r="AA14" s="277">
        <f t="shared" si="3"/>
        <v>0.79094484668589926</v>
      </c>
      <c r="AB14" s="91">
        <f t="shared" si="4"/>
        <v>0.19852876357999408</v>
      </c>
      <c r="AC14" s="91">
        <f t="shared" si="5"/>
        <v>6.8330511650665103E-6</v>
      </c>
      <c r="AD14" s="91">
        <f t="shared" si="6"/>
        <v>2.8053039659456858E-7</v>
      </c>
      <c r="AE14" s="282">
        <f t="shared" si="7"/>
        <v>1.0426091946058084E-2</v>
      </c>
      <c r="AF14" s="91">
        <f t="shared" si="8"/>
        <v>0</v>
      </c>
      <c r="AG14" s="91">
        <f t="shared" si="9"/>
        <v>0</v>
      </c>
      <c r="AH14" s="91"/>
      <c r="AI14" s="282">
        <f t="shared" si="10"/>
        <v>0</v>
      </c>
      <c r="AJ14" s="284">
        <f t="shared" si="22"/>
        <v>0.99990681579351304</v>
      </c>
      <c r="AL14" s="296">
        <f t="shared" si="20"/>
        <v>0.99990681579351304</v>
      </c>
      <c r="AM14" s="278">
        <f t="shared" si="21"/>
        <v>0</v>
      </c>
    </row>
    <row r="15" spans="1:39" hidden="1" x14ac:dyDescent="0.35">
      <c r="A15" s="8">
        <v>2011</v>
      </c>
      <c r="B15" s="7">
        <v>39986156834.386574</v>
      </c>
      <c r="C15" s="8">
        <v>29289104279.992626</v>
      </c>
      <c r="D15">
        <v>7509314310.9288378</v>
      </c>
      <c r="E15">
        <v>330876.79357518308</v>
      </c>
      <c r="F15">
        <v>14910.735512499999</v>
      </c>
      <c r="G15" s="7">
        <v>381061029.40598923</v>
      </c>
      <c r="H15" s="8">
        <v>14353524.139775291</v>
      </c>
      <c r="I15">
        <v>2754500420.6580353</v>
      </c>
      <c r="K15" s="7">
        <v>34299159.273432523</v>
      </c>
      <c r="M15" s="277">
        <f t="shared" si="11"/>
        <v>0.73248110343040296</v>
      </c>
      <c r="N15" s="91">
        <f t="shared" si="12"/>
        <v>0.1877978506919453</v>
      </c>
      <c r="O15" s="91">
        <f t="shared" si="13"/>
        <v>8.2747835693637252E-6</v>
      </c>
      <c r="P15" s="91">
        <f t="shared" si="14"/>
        <v>3.7289743983791245E-7</v>
      </c>
      <c r="Q15" s="282">
        <f t="shared" si="15"/>
        <v>9.5298238083808863E-3</v>
      </c>
      <c r="R15" s="277">
        <f t="shared" si="16"/>
        <v>3.589623328699548E-4</v>
      </c>
      <c r="S15" s="91">
        <f t="shared" si="17"/>
        <v>6.8886350645463126E-2</v>
      </c>
      <c r="T15" s="91"/>
      <c r="U15" s="282">
        <f t="shared" si="1"/>
        <v>8.5777584016117671E-4</v>
      </c>
      <c r="V15" s="284">
        <f t="shared" si="2"/>
        <v>0.99906273859007133</v>
      </c>
      <c r="X15" s="296">
        <f t="shared" si="18"/>
        <v>0.9298174256117383</v>
      </c>
      <c r="Y15" s="278">
        <f t="shared" si="19"/>
        <v>7.0103088818494266E-2</v>
      </c>
      <c r="AA15" s="277">
        <f t="shared" si="3"/>
        <v>0.78770612550166275</v>
      </c>
      <c r="AB15" s="91">
        <f t="shared" si="4"/>
        <v>0.20195676946927216</v>
      </c>
      <c r="AC15" s="91">
        <f t="shared" si="5"/>
        <v>8.8986564626204574E-6</v>
      </c>
      <c r="AD15" s="91">
        <f t="shared" si="6"/>
        <v>4.0101184340262047E-7</v>
      </c>
      <c r="AE15" s="282">
        <f t="shared" si="7"/>
        <v>1.024831979099166E-2</v>
      </c>
      <c r="AF15" s="91">
        <f t="shared" si="8"/>
        <v>0</v>
      </c>
      <c r="AG15" s="91">
        <f t="shared" si="9"/>
        <v>0</v>
      </c>
      <c r="AH15" s="91"/>
      <c r="AI15" s="282">
        <f t="shared" si="10"/>
        <v>0</v>
      </c>
      <c r="AJ15" s="284">
        <f t="shared" si="22"/>
        <v>0.99992051443023255</v>
      </c>
      <c r="AL15" s="296">
        <f t="shared" si="20"/>
        <v>0.99992051443023255</v>
      </c>
      <c r="AM15" s="278">
        <f t="shared" si="21"/>
        <v>0</v>
      </c>
    </row>
    <row r="16" spans="1:39" hidden="1" x14ac:dyDescent="0.35">
      <c r="A16" s="8">
        <v>2012</v>
      </c>
      <c r="B16" s="7">
        <v>40056819741.912857</v>
      </c>
      <c r="C16" s="8">
        <v>29181086091.324547</v>
      </c>
      <c r="D16">
        <v>7695610236.9997997</v>
      </c>
      <c r="E16">
        <v>518309.05421041115</v>
      </c>
      <c r="F16">
        <v>26171.809074149998</v>
      </c>
      <c r="G16" s="7">
        <v>380037069.62778682</v>
      </c>
      <c r="H16" s="8">
        <v>12643142.329027563</v>
      </c>
      <c r="I16">
        <v>2752442049.4206262</v>
      </c>
      <c r="K16" s="7">
        <v>31740550.774788089</v>
      </c>
      <c r="M16" s="277">
        <f t="shared" si="11"/>
        <v>0.72849233362356403</v>
      </c>
      <c r="N16" s="91">
        <f t="shared" si="12"/>
        <v>0.1921173544625564</v>
      </c>
      <c r="O16" s="91">
        <f t="shared" si="13"/>
        <v>1.2939346097615588E-5</v>
      </c>
      <c r="P16" s="91">
        <f t="shared" si="14"/>
        <v>6.5336712307106884E-7</v>
      </c>
      <c r="Q16" s="282">
        <f t="shared" si="15"/>
        <v>9.4874498793557655E-3</v>
      </c>
      <c r="R16" s="277">
        <f t="shared" si="16"/>
        <v>3.1563020755236344E-4</v>
      </c>
      <c r="S16" s="91">
        <f t="shared" si="17"/>
        <v>6.8713444231336449E-2</v>
      </c>
      <c r="T16" s="91"/>
      <c r="U16" s="282">
        <f t="shared" si="1"/>
        <v>7.9238818706260986E-4</v>
      </c>
      <c r="V16" s="284">
        <f t="shared" si="2"/>
        <v>0.9991398051175856</v>
      </c>
      <c r="X16" s="296">
        <f t="shared" si="18"/>
        <v>0.93011073067869687</v>
      </c>
      <c r="Y16" s="278">
        <f t="shared" si="19"/>
        <v>6.9821462625951417E-2</v>
      </c>
      <c r="AA16" s="277">
        <f t="shared" si="3"/>
        <v>0.78317872586449044</v>
      </c>
      <c r="AB16" s="91">
        <f t="shared" si="4"/>
        <v>0.20653920149857113</v>
      </c>
      <c r="AC16" s="91">
        <f t="shared" si="5"/>
        <v>1.3910675682534665E-5</v>
      </c>
      <c r="AD16" s="91">
        <f t="shared" si="6"/>
        <v>7.0241402325170016E-7</v>
      </c>
      <c r="AE16" s="282">
        <f t="shared" si="7"/>
        <v>1.0199652851881045E-2</v>
      </c>
      <c r="AF16" s="91">
        <f t="shared" si="8"/>
        <v>0</v>
      </c>
      <c r="AG16" s="91">
        <f t="shared" si="9"/>
        <v>0</v>
      </c>
      <c r="AH16" s="91"/>
      <c r="AI16" s="282">
        <f t="shared" si="10"/>
        <v>0</v>
      </c>
      <c r="AJ16" s="284">
        <f t="shared" si="22"/>
        <v>0.99993219330464855</v>
      </c>
      <c r="AL16" s="296">
        <f t="shared" si="20"/>
        <v>0.99993219330464855</v>
      </c>
      <c r="AM16" s="278">
        <f t="shared" si="21"/>
        <v>0</v>
      </c>
    </row>
    <row r="17" spans="1:146" hidden="1" x14ac:dyDescent="0.35">
      <c r="A17" s="8">
        <v>2013</v>
      </c>
      <c r="B17" s="7">
        <v>40677248979.744354</v>
      </c>
      <c r="C17" s="8">
        <v>29343759828.717049</v>
      </c>
      <c r="D17">
        <v>8083207675.3687687</v>
      </c>
      <c r="E17">
        <v>620769.41377766116</v>
      </c>
      <c r="F17">
        <v>50789.788574239996</v>
      </c>
      <c r="G17" s="7">
        <v>388421292.34275246</v>
      </c>
      <c r="H17" s="8">
        <v>11504713.784544088</v>
      </c>
      <c r="I17">
        <v>2816601791.2069769</v>
      </c>
      <c r="K17" s="7">
        <v>30560867.649758749</v>
      </c>
      <c r="M17" s="277">
        <f t="shared" si="11"/>
        <v>0.72138014651209748</v>
      </c>
      <c r="N17" s="91">
        <f t="shared" si="12"/>
        <v>0.19871569189435312</v>
      </c>
      <c r="O17" s="91">
        <f t="shared" si="13"/>
        <v>1.5260850459350865E-5</v>
      </c>
      <c r="P17" s="91">
        <f t="shared" si="14"/>
        <v>1.2486043144051183E-6</v>
      </c>
      <c r="Q17" s="282">
        <f t="shared" si="15"/>
        <v>9.5488584426191344E-3</v>
      </c>
      <c r="R17" s="277">
        <f t="shared" si="16"/>
        <v>2.8282919993613569E-4</v>
      </c>
      <c r="S17" s="91">
        <f t="shared" si="17"/>
        <v>6.924268139690401E-2</v>
      </c>
      <c r="T17" s="91"/>
      <c r="U17" s="282">
        <f t="shared" si="1"/>
        <v>7.5130124126577093E-4</v>
      </c>
      <c r="V17" s="284">
        <f t="shared" si="2"/>
        <v>0.99918671690068361</v>
      </c>
      <c r="X17" s="296">
        <f t="shared" si="18"/>
        <v>0.92966120630384341</v>
      </c>
      <c r="Y17" s="278">
        <f t="shared" si="19"/>
        <v>7.0276811838105913E-2</v>
      </c>
      <c r="AA17" s="277">
        <f t="shared" si="3"/>
        <v>0.77591215933183721</v>
      </c>
      <c r="AB17" s="91">
        <f t="shared" si="4"/>
        <v>0.2137374064650418</v>
      </c>
      <c r="AC17" s="91">
        <f t="shared" si="5"/>
        <v>1.6414479231799341E-5</v>
      </c>
      <c r="AD17" s="91">
        <f t="shared" si="6"/>
        <v>1.3429913124520356E-6</v>
      </c>
      <c r="AE17" s="282">
        <f t="shared" si="7"/>
        <v>1.0270694874526058E-2</v>
      </c>
      <c r="AF17" s="91">
        <f t="shared" si="8"/>
        <v>0</v>
      </c>
      <c r="AG17" s="91">
        <f t="shared" si="9"/>
        <v>0</v>
      </c>
      <c r="AH17" s="91"/>
      <c r="AI17" s="282">
        <f t="shared" si="10"/>
        <v>0</v>
      </c>
      <c r="AJ17" s="284">
        <f t="shared" si="22"/>
        <v>0.99993801814194938</v>
      </c>
      <c r="AL17" s="296">
        <f t="shared" si="20"/>
        <v>0.99993801814194938</v>
      </c>
      <c r="AM17" s="278">
        <f t="shared" si="21"/>
        <v>0</v>
      </c>
    </row>
    <row r="18" spans="1:146" hidden="1" x14ac:dyDescent="0.35">
      <c r="A18" s="8">
        <v>2014</v>
      </c>
      <c r="B18" s="7">
        <v>41710260265.501297</v>
      </c>
      <c r="C18" s="8">
        <v>29798492426.349503</v>
      </c>
      <c r="D18">
        <v>8552834118.6353559</v>
      </c>
      <c r="E18">
        <v>1194726.7028757813</v>
      </c>
      <c r="F18">
        <v>41362.121018179998</v>
      </c>
      <c r="G18" s="7">
        <v>393713503.08855152</v>
      </c>
      <c r="H18" s="8">
        <v>10764641.431306686</v>
      </c>
      <c r="I18">
        <v>2919979649.6216583</v>
      </c>
      <c r="K18" s="7">
        <v>30773167.976418111</v>
      </c>
      <c r="M18" s="277">
        <f t="shared" si="11"/>
        <v>0.71441636270478848</v>
      </c>
      <c r="N18" s="91">
        <f t="shared" si="12"/>
        <v>0.20505348238523063</v>
      </c>
      <c r="O18" s="91">
        <f t="shared" si="13"/>
        <v>2.8643472739582591E-5</v>
      </c>
      <c r="P18" s="91">
        <f t="shared" si="14"/>
        <v>9.916533906740149E-7</v>
      </c>
      <c r="Q18" s="282">
        <f t="shared" si="15"/>
        <v>9.4392482948420578E-3</v>
      </c>
      <c r="R18" s="277">
        <f t="shared" si="16"/>
        <v>2.580813776463092E-4</v>
      </c>
      <c r="S18" s="91">
        <f t="shared" si="17"/>
        <v>7.0006267787227974E-2</v>
      </c>
      <c r="T18" s="91"/>
      <c r="U18" s="282">
        <f t="shared" si="1"/>
        <v>7.3778412746732978E-4</v>
      </c>
      <c r="V18" s="284">
        <f t="shared" si="2"/>
        <v>0.99920307767586569</v>
      </c>
      <c r="X18" s="296">
        <f t="shared" si="18"/>
        <v>0.92893872851099146</v>
      </c>
      <c r="Y18" s="278">
        <f t="shared" si="19"/>
        <v>7.1002133292341618E-2</v>
      </c>
      <c r="AA18" s="277">
        <f t="shared" si="3"/>
        <v>0.76902177881474365</v>
      </c>
      <c r="AB18" s="91">
        <f t="shared" si="4"/>
        <v>0.22072645869843935</v>
      </c>
      <c r="AC18" s="91">
        <f t="shared" si="5"/>
        <v>3.083279654210218E-5</v>
      </c>
      <c r="AD18" s="91">
        <f t="shared" si="6"/>
        <v>1.0674490315095513E-6</v>
      </c>
      <c r="AE18" s="282">
        <f t="shared" si="7"/>
        <v>1.0160724044576562E-2</v>
      </c>
      <c r="AF18" s="91">
        <f t="shared" si="8"/>
        <v>0</v>
      </c>
      <c r="AG18" s="91">
        <f t="shared" si="9"/>
        <v>0</v>
      </c>
      <c r="AH18" s="91"/>
      <c r="AI18" s="282">
        <f t="shared" si="10"/>
        <v>0</v>
      </c>
      <c r="AJ18" s="284">
        <f t="shared" si="22"/>
        <v>0.99994086180333319</v>
      </c>
      <c r="AL18" s="296">
        <f t="shared" si="20"/>
        <v>0.99994086180333319</v>
      </c>
      <c r="AM18" s="278">
        <f t="shared" si="21"/>
        <v>0</v>
      </c>
    </row>
    <row r="19" spans="1:146" hidden="1" x14ac:dyDescent="0.35">
      <c r="A19" s="8">
        <v>2015</v>
      </c>
      <c r="B19" s="7">
        <v>43237148214.48584</v>
      </c>
      <c r="C19" s="8">
        <v>30716886231.548183</v>
      </c>
      <c r="D19">
        <v>9084697966.9719067</v>
      </c>
      <c r="E19">
        <v>3156013.6960903085</v>
      </c>
      <c r="F19">
        <v>25114.696029155002</v>
      </c>
      <c r="G19" s="7">
        <v>403955014.39251423</v>
      </c>
      <c r="H19" s="8">
        <v>9989070.9301994275</v>
      </c>
      <c r="I19">
        <v>2985449860.0341277</v>
      </c>
      <c r="K19" s="7">
        <v>30666921.800754547</v>
      </c>
      <c r="M19" s="277">
        <f t="shared" si="11"/>
        <v>0.71042812720143822</v>
      </c>
      <c r="N19" s="91">
        <f t="shared" si="12"/>
        <v>0.21011325543270312</v>
      </c>
      <c r="O19" s="91">
        <f t="shared" si="13"/>
        <v>7.2993104920665008E-5</v>
      </c>
      <c r="P19" s="91">
        <f t="shared" si="14"/>
        <v>5.8085921635184922E-7</v>
      </c>
      <c r="Q19" s="282">
        <f t="shared" si="15"/>
        <v>9.3427765491984113E-3</v>
      </c>
      <c r="R19" s="277">
        <f t="shared" si="16"/>
        <v>2.3102982834683733E-4</v>
      </c>
      <c r="S19" s="91">
        <f t="shared" si="17"/>
        <v>6.9048260195706104E-2</v>
      </c>
      <c r="T19" s="91"/>
      <c r="U19" s="282">
        <f t="shared" si="1"/>
        <v>7.0927253686171973E-4</v>
      </c>
      <c r="V19" s="284">
        <f t="shared" si="2"/>
        <v>0.99923702317152985</v>
      </c>
      <c r="X19" s="296">
        <f t="shared" si="18"/>
        <v>0.92995773314747687</v>
      </c>
      <c r="Y19" s="278">
        <f t="shared" si="19"/>
        <v>6.9988562560914666E-2</v>
      </c>
      <c r="AA19" s="277">
        <f t="shared" si="3"/>
        <v>0.76389490494131018</v>
      </c>
      <c r="AB19" s="91">
        <f t="shared" si="4"/>
        <v>0.22592636628555637</v>
      </c>
      <c r="AC19" s="91">
        <f t="shared" si="5"/>
        <v>7.8486561567307257E-5</v>
      </c>
      <c r="AD19" s="91">
        <f t="shared" si="6"/>
        <v>6.2457464572424869E-7</v>
      </c>
      <c r="AE19" s="282">
        <f t="shared" si="7"/>
        <v>1.0045913345311835E-2</v>
      </c>
      <c r="AF19" s="91">
        <f t="shared" si="8"/>
        <v>0</v>
      </c>
      <c r="AG19" s="91">
        <f t="shared" si="9"/>
        <v>0</v>
      </c>
      <c r="AH19" s="91"/>
      <c r="AI19" s="282">
        <f t="shared" si="10"/>
        <v>0</v>
      </c>
      <c r="AJ19" s="284">
        <f t="shared" si="22"/>
        <v>0.99994629570839133</v>
      </c>
      <c r="AL19" s="296">
        <f t="shared" si="20"/>
        <v>0.99994629570839133</v>
      </c>
      <c r="AM19" s="278">
        <f t="shared" si="21"/>
        <v>0</v>
      </c>
    </row>
    <row r="20" spans="1:146" hidden="1" x14ac:dyDescent="0.35">
      <c r="A20" s="8">
        <v>2016</v>
      </c>
      <c r="B20" s="7">
        <v>45252681817.900772</v>
      </c>
      <c r="C20" s="8">
        <v>31929292168.364037</v>
      </c>
      <c r="D20">
        <v>9776590886.979475</v>
      </c>
      <c r="E20">
        <v>9144281.7920508552</v>
      </c>
      <c r="F20">
        <v>59939.083437569992</v>
      </c>
      <c r="G20" s="7">
        <v>418629240.93016642</v>
      </c>
      <c r="H20" s="8">
        <v>9922280.1932016332</v>
      </c>
      <c r="I20">
        <v>3078505433.6378088</v>
      </c>
      <c r="K20" s="7">
        <v>28230203.231168773</v>
      </c>
      <c r="M20" s="277">
        <f t="shared" si="11"/>
        <v>0.70557789915853442</v>
      </c>
      <c r="N20" s="91">
        <f t="shared" si="12"/>
        <v>0.21604445293034794</v>
      </c>
      <c r="O20" s="91">
        <f t="shared" si="13"/>
        <v>2.0207159939930052E-4</v>
      </c>
      <c r="P20" s="91">
        <f t="shared" si="14"/>
        <v>1.3245421272217213E-6</v>
      </c>
      <c r="Q20" s="282">
        <f t="shared" si="15"/>
        <v>9.2509266658438727E-3</v>
      </c>
      <c r="R20" s="277">
        <f t="shared" si="16"/>
        <v>2.1926391529963733E-4</v>
      </c>
      <c r="S20" s="91">
        <f t="shared" si="17"/>
        <v>6.8029237383673308E-2</v>
      </c>
      <c r="T20" s="91"/>
      <c r="U20" s="282">
        <f t="shared" si="1"/>
        <v>6.2383492197807481E-4</v>
      </c>
      <c r="V20" s="284">
        <f t="shared" si="2"/>
        <v>0.99932517619522554</v>
      </c>
      <c r="X20" s="296">
        <f t="shared" si="18"/>
        <v>0.93107667489625268</v>
      </c>
      <c r="Y20" s="278">
        <f t="shared" si="19"/>
        <v>6.8872336220951028E-2</v>
      </c>
      <c r="AA20" s="277">
        <f t="shared" si="3"/>
        <v>0.75776994693626831</v>
      </c>
      <c r="AB20" s="91">
        <f t="shared" si="4"/>
        <v>0.23202539907804121</v>
      </c>
      <c r="AC20" s="91">
        <f t="shared" si="5"/>
        <v>2.1701896464833834E-4</v>
      </c>
      <c r="AD20" s="91">
        <f t="shared" si="6"/>
        <v>1.4225193542153982E-6</v>
      </c>
      <c r="AE20" s="282">
        <f t="shared" si="7"/>
        <v>9.935223618891648E-3</v>
      </c>
      <c r="AF20" s="91">
        <f t="shared" si="8"/>
        <v>0</v>
      </c>
      <c r="AG20" s="91">
        <f t="shared" si="9"/>
        <v>0</v>
      </c>
      <c r="AH20" s="91"/>
      <c r="AI20" s="282">
        <f t="shared" si="10"/>
        <v>0</v>
      </c>
      <c r="AJ20" s="284">
        <f t="shared" si="22"/>
        <v>0.99994901111720369</v>
      </c>
      <c r="AL20" s="296">
        <f t="shared" si="20"/>
        <v>0.99994901111720369</v>
      </c>
      <c r="AM20" s="278">
        <f t="shared" si="21"/>
        <v>0</v>
      </c>
    </row>
    <row r="21" spans="1:146" hidden="1" x14ac:dyDescent="0.35">
      <c r="A21" s="8">
        <v>2017</v>
      </c>
      <c r="B21" s="7">
        <v>46907241439.868347</v>
      </c>
      <c r="C21" s="8">
        <v>32675760178.205402</v>
      </c>
      <c r="D21">
        <v>10501150933.582363</v>
      </c>
      <c r="E21">
        <v>30935466.578764148</v>
      </c>
      <c r="F21">
        <v>148464.67708398</v>
      </c>
      <c r="G21" s="7">
        <v>422448019.12820035</v>
      </c>
      <c r="H21" s="8">
        <v>9594431.3244258892</v>
      </c>
      <c r="I21">
        <v>3239886902.1065474</v>
      </c>
      <c r="K21" s="7">
        <v>25132883.967270344</v>
      </c>
      <c r="M21" s="277">
        <f t="shared" si="11"/>
        <v>0.69660374763443156</v>
      </c>
      <c r="N21" s="91">
        <f t="shared" si="12"/>
        <v>0.22387057117916581</v>
      </c>
      <c r="O21" s="91">
        <f t="shared" si="13"/>
        <v>6.5950300271699317E-4</v>
      </c>
      <c r="P21" s="91">
        <f t="shared" si="14"/>
        <v>3.1650694546662024E-6</v>
      </c>
      <c r="Q21" s="282">
        <f t="shared" si="15"/>
        <v>9.0060299041406604E-3</v>
      </c>
      <c r="R21" s="277">
        <f t="shared" si="16"/>
        <v>2.0454051506578678E-4</v>
      </c>
      <c r="S21" s="91">
        <f t="shared" si="17"/>
        <v>6.9070079643456447E-2</v>
      </c>
      <c r="T21" s="91"/>
      <c r="U21" s="282">
        <f t="shared" si="1"/>
        <v>5.3579965898205425E-4</v>
      </c>
      <c r="V21" s="284">
        <f t="shared" si="2"/>
        <v>0.99941763694843189</v>
      </c>
      <c r="X21" s="296">
        <f t="shared" si="18"/>
        <v>0.93014301678990963</v>
      </c>
      <c r="Y21" s="278">
        <f t="shared" si="19"/>
        <v>6.9810419817504285E-2</v>
      </c>
      <c r="AA21" s="277">
        <f t="shared" si="3"/>
        <v>0.74888624526220282</v>
      </c>
      <c r="AB21" s="91">
        <f t="shared" si="4"/>
        <v>0.24067282446354651</v>
      </c>
      <c r="AC21" s="91">
        <f t="shared" si="5"/>
        <v>7.0900096234203114E-4</v>
      </c>
      <c r="AD21" s="91">
        <f t="shared" si="6"/>
        <v>3.4026187598734398E-6</v>
      </c>
      <c r="AE21" s="282">
        <f t="shared" si="7"/>
        <v>9.6819633005627119E-3</v>
      </c>
      <c r="AF21" s="91">
        <f t="shared" si="8"/>
        <v>0</v>
      </c>
      <c r="AG21" s="91">
        <f t="shared" si="9"/>
        <v>0</v>
      </c>
      <c r="AH21" s="91"/>
      <c r="AI21" s="282">
        <f t="shared" si="10"/>
        <v>0</v>
      </c>
      <c r="AJ21" s="284">
        <f t="shared" si="22"/>
        <v>0.99995343660741398</v>
      </c>
      <c r="AL21" s="296">
        <f t="shared" si="20"/>
        <v>0.99995343660741398</v>
      </c>
      <c r="AM21" s="278">
        <f t="shared" si="21"/>
        <v>0</v>
      </c>
    </row>
    <row r="22" spans="1:146" hidden="1" x14ac:dyDescent="0.35">
      <c r="A22" s="8">
        <v>2018</v>
      </c>
      <c r="B22" s="7">
        <v>48263020726.476448</v>
      </c>
      <c r="C22" s="8">
        <v>33182782789.505112</v>
      </c>
      <c r="D22">
        <v>11193370243.687672</v>
      </c>
      <c r="E22">
        <v>76526913.165443346</v>
      </c>
      <c r="F22">
        <v>233919.56024276</v>
      </c>
      <c r="G22" s="7">
        <v>426795618.40736008</v>
      </c>
      <c r="H22" s="8">
        <v>9222258.1494053863</v>
      </c>
      <c r="I22">
        <v>3348712245.3711929</v>
      </c>
      <c r="K22" s="7">
        <v>23123481.4302257</v>
      </c>
      <c r="M22" s="277">
        <f t="shared" si="11"/>
        <v>0.68754052875313465</v>
      </c>
      <c r="N22" s="91">
        <f t="shared" si="12"/>
        <v>0.23192436103667124</v>
      </c>
      <c r="O22" s="91">
        <f t="shared" si="13"/>
        <v>1.585622118415429E-3</v>
      </c>
      <c r="P22" s="91">
        <f t="shared" si="14"/>
        <v>4.8467658410455619E-6</v>
      </c>
      <c r="Q22" s="282">
        <f t="shared" si="15"/>
        <v>8.8431186441097695E-3</v>
      </c>
      <c r="R22" s="277">
        <f t="shared" si="16"/>
        <v>1.9108331825459443E-4</v>
      </c>
      <c r="S22" s="91">
        <f t="shared" si="17"/>
        <v>6.9384638486462036E-2</v>
      </c>
      <c r="T22" s="91"/>
      <c r="U22" s="282">
        <f t="shared" si="1"/>
        <v>4.79113844972005E-4</v>
      </c>
      <c r="V22" s="284">
        <f t="shared" si="2"/>
        <v>0.99947419912288871</v>
      </c>
      <c r="X22" s="296">
        <f t="shared" si="18"/>
        <v>0.9298984773181721</v>
      </c>
      <c r="Y22" s="278">
        <f t="shared" si="19"/>
        <v>7.0054835649688632E-2</v>
      </c>
      <c r="AA22" s="277">
        <f t="shared" si="3"/>
        <v>0.73933708495700146</v>
      </c>
      <c r="AB22" s="91">
        <f t="shared" si="4"/>
        <v>0.24939661568799687</v>
      </c>
      <c r="AC22" s="91">
        <f t="shared" si="5"/>
        <v>1.7050765530849644E-3</v>
      </c>
      <c r="AD22" s="91">
        <f t="shared" si="6"/>
        <v>5.2119018130994177E-6</v>
      </c>
      <c r="AE22" s="282">
        <f t="shared" si="7"/>
        <v>9.5093238679643723E-3</v>
      </c>
      <c r="AF22" s="91">
        <f t="shared" si="8"/>
        <v>0</v>
      </c>
      <c r="AG22" s="91">
        <f t="shared" si="9"/>
        <v>0</v>
      </c>
      <c r="AH22" s="91"/>
      <c r="AI22" s="282">
        <f t="shared" si="10"/>
        <v>0</v>
      </c>
      <c r="AJ22" s="284">
        <f t="shared" si="22"/>
        <v>0.99995331296786072</v>
      </c>
      <c r="AL22" s="296">
        <f t="shared" si="20"/>
        <v>0.99995331296786072</v>
      </c>
      <c r="AM22" s="278">
        <f t="shared" si="21"/>
        <v>0</v>
      </c>
    </row>
    <row r="23" spans="1:146" hidden="1" x14ac:dyDescent="0.35">
      <c r="A23" s="8">
        <v>2019</v>
      </c>
      <c r="B23" s="7">
        <v>48849096525.171333</v>
      </c>
      <c r="C23" s="8">
        <v>33095641485.25415</v>
      </c>
      <c r="D23">
        <v>11762210572.898998</v>
      </c>
      <c r="E23">
        <v>133919145.66474012</v>
      </c>
      <c r="F23">
        <v>169414.48260632204</v>
      </c>
      <c r="G23" s="7">
        <v>422072411.45293683</v>
      </c>
      <c r="H23" s="8">
        <v>9051863.6827193368</v>
      </c>
      <c r="I23">
        <v>3402234313.6885486</v>
      </c>
      <c r="K23" s="7">
        <v>20792252.045586359</v>
      </c>
      <c r="M23" s="277">
        <f t="shared" si="11"/>
        <v>0.67750775018326848</v>
      </c>
      <c r="N23" s="91">
        <f t="shared" si="12"/>
        <v>0.24078665542643307</v>
      </c>
      <c r="O23" s="91">
        <f t="shared" si="13"/>
        <v>2.7414866433759576E-3</v>
      </c>
      <c r="P23" s="91">
        <f t="shared" si="14"/>
        <v>3.4681190576170608E-6</v>
      </c>
      <c r="Q23" s="282">
        <f t="shared" si="15"/>
        <v>8.6403319913081339E-3</v>
      </c>
      <c r="R23" s="277">
        <f t="shared" si="16"/>
        <v>1.8530258134979066E-4</v>
      </c>
      <c r="S23" s="91">
        <f t="shared" si="17"/>
        <v>6.9647845215221521E-2</v>
      </c>
      <c r="T23" s="91"/>
      <c r="U23" s="282">
        <f t="shared" si="1"/>
        <v>4.2564250978259895E-4</v>
      </c>
      <c r="V23" s="284">
        <f t="shared" si="2"/>
        <v>0.9995128401600144</v>
      </c>
      <c r="X23" s="296">
        <f t="shared" si="18"/>
        <v>0.92967969236344317</v>
      </c>
      <c r="Y23" s="278">
        <f t="shared" si="19"/>
        <v>7.0258790306353902E-2</v>
      </c>
      <c r="AA23" s="277">
        <f t="shared" si="3"/>
        <v>0.72870912130286813</v>
      </c>
      <c r="AB23" s="91">
        <f t="shared" si="4"/>
        <v>0.25898365302801185</v>
      </c>
      <c r="AC23" s="91">
        <f t="shared" si="5"/>
        <v>2.9486693287532804E-3</v>
      </c>
      <c r="AD23" s="91">
        <f t="shared" si="6"/>
        <v>3.7302156180002791E-6</v>
      </c>
      <c r="AE23" s="282">
        <f t="shared" si="7"/>
        <v>9.2933087945459517E-3</v>
      </c>
      <c r="AF23" s="91">
        <f t="shared" si="8"/>
        <v>0</v>
      </c>
      <c r="AG23" s="91">
        <f t="shared" si="9"/>
        <v>0</v>
      </c>
      <c r="AH23" s="91"/>
      <c r="AI23" s="282">
        <f t="shared" si="10"/>
        <v>0</v>
      </c>
      <c r="AJ23" s="284">
        <f t="shared" si="22"/>
        <v>0.99993848266979712</v>
      </c>
      <c r="AL23" s="296">
        <f t="shared" si="20"/>
        <v>0.99993848266979712</v>
      </c>
      <c r="AM23" s="278">
        <f t="shared" si="21"/>
        <v>0</v>
      </c>
    </row>
    <row r="24" spans="1:146" hidden="1" x14ac:dyDescent="0.35">
      <c r="A24" s="8">
        <v>2020</v>
      </c>
      <c r="B24" s="7">
        <v>44714345749.94593</v>
      </c>
      <c r="C24" s="8">
        <v>30274599727.079788</v>
      </c>
      <c r="D24">
        <v>10736144755.708849</v>
      </c>
      <c r="E24">
        <v>139102320.62568471</v>
      </c>
      <c r="F24">
        <v>208028.939019771</v>
      </c>
      <c r="G24" s="7">
        <v>387339125.00049168</v>
      </c>
      <c r="H24" s="8">
        <v>8553853.5870994311</v>
      </c>
      <c r="I24">
        <v>3147581411.0554714</v>
      </c>
      <c r="K24" s="7">
        <v>14314167.600960303</v>
      </c>
      <c r="M24" s="277">
        <f t="shared" si="11"/>
        <v>0.67706681646161393</v>
      </c>
      <c r="N24" s="91">
        <f t="shared" si="12"/>
        <v>0.24010515139253338</v>
      </c>
      <c r="O24" s="91">
        <f t="shared" si="13"/>
        <v>3.1109103419198056E-3</v>
      </c>
      <c r="P24" s="91">
        <f t="shared" si="14"/>
        <v>4.6523981404787203E-6</v>
      </c>
      <c r="Q24" s="282">
        <f t="shared" si="15"/>
        <v>8.6625247111204815E-3</v>
      </c>
      <c r="R24" s="277">
        <f t="shared" si="16"/>
        <v>1.9129998311805276E-4</v>
      </c>
      <c r="S24" s="91">
        <f t="shared" si="17"/>
        <v>7.039309998311398E-2</v>
      </c>
      <c r="T24" s="91"/>
      <c r="U24" s="282">
        <f t="shared" si="1"/>
        <v>3.2012472419945027E-4</v>
      </c>
      <c r="V24" s="284">
        <f t="shared" si="2"/>
        <v>0.99953445527156015</v>
      </c>
      <c r="X24" s="296">
        <f t="shared" si="18"/>
        <v>0.92895005530532815</v>
      </c>
      <c r="Y24" s="278">
        <f t="shared" si="19"/>
        <v>7.0904524690431486E-2</v>
      </c>
      <c r="AA24" s="277">
        <f t="shared" si="3"/>
        <v>0.72874569901369612</v>
      </c>
      <c r="AB24" s="91">
        <f t="shared" si="4"/>
        <v>0.25843180042816538</v>
      </c>
      <c r="AC24" s="91">
        <f t="shared" si="5"/>
        <v>3.3483586502423362E-3</v>
      </c>
      <c r="AD24" s="91">
        <f t="shared" si="6"/>
        <v>5.0075045070022322E-6</v>
      </c>
      <c r="AE24" s="282">
        <f t="shared" si="7"/>
        <v>9.3237143991486884E-3</v>
      </c>
      <c r="AF24" s="91">
        <f t="shared" si="8"/>
        <v>0</v>
      </c>
      <c r="AG24" s="91">
        <f t="shared" si="9"/>
        <v>0</v>
      </c>
      <c r="AH24" s="91"/>
      <c r="AI24" s="282">
        <f t="shared" si="10"/>
        <v>0</v>
      </c>
      <c r="AJ24" s="284">
        <f t="shared" si="22"/>
        <v>0.99985457999575955</v>
      </c>
      <c r="AL24" s="296">
        <f t="shared" si="20"/>
        <v>0.99985457999575955</v>
      </c>
      <c r="AM24" s="278">
        <f t="shared" si="21"/>
        <v>0</v>
      </c>
    </row>
    <row r="25" spans="1:146" x14ac:dyDescent="0.35">
      <c r="A25" s="8">
        <v>2021</v>
      </c>
      <c r="B25" s="7">
        <v>48540221124.940559</v>
      </c>
      <c r="C25" s="8">
        <v>32851743881.229912</v>
      </c>
      <c r="D25">
        <v>11695082328.318972</v>
      </c>
      <c r="E25">
        <v>202284056.85932705</v>
      </c>
      <c r="F25">
        <v>228656.14892403997</v>
      </c>
      <c r="G25" s="7">
        <v>418843124.99893588</v>
      </c>
      <c r="H25" s="8">
        <v>8881938.1725075543</v>
      </c>
      <c r="I25">
        <v>3339761347.5720844</v>
      </c>
      <c r="J25">
        <v>8157922.4745395062</v>
      </c>
      <c r="K25" s="7">
        <v>13996077.388889134</v>
      </c>
      <c r="M25" s="277">
        <f t="shared" si="11"/>
        <v>0.6767942774028749</v>
      </c>
      <c r="N25" s="91">
        <f t="shared" si="12"/>
        <v>0.24093590958756253</v>
      </c>
      <c r="O25" s="91">
        <f t="shared" si="13"/>
        <v>4.1673493068491814E-3</v>
      </c>
      <c r="P25" s="91">
        <f t="shared" si="14"/>
        <v>4.7106532196359044E-6</v>
      </c>
      <c r="Q25" s="282">
        <f t="shared" si="15"/>
        <v>8.6287848570127165E-3</v>
      </c>
      <c r="R25" s="277">
        <f t="shared" si="16"/>
        <v>1.8298099939936008E-4</v>
      </c>
      <c r="S25" s="91">
        <f t="shared" si="17"/>
        <v>6.8803999449769171E-2</v>
      </c>
      <c r="T25" s="91">
        <f t="shared" si="17"/>
        <v>1.6806521036526276E-4</v>
      </c>
      <c r="U25" s="282">
        <f t="shared" si="1"/>
        <v>2.8833979459763479E-4</v>
      </c>
      <c r="V25" s="284">
        <f>SUM(M25:U25)</f>
        <v>0.99997441726165026</v>
      </c>
      <c r="X25" s="296">
        <f>SUM(M25:Q25)</f>
        <v>0.93053103180751884</v>
      </c>
      <c r="Y25" s="278">
        <f>SUM(R25:U25)</f>
        <v>6.9443385454131423E-2</v>
      </c>
      <c r="AA25" s="277">
        <f>M25*(($Y25-Per_Heavy+$X25)/$X25)</f>
        <v>0.72730187389597056</v>
      </c>
      <c r="AB25" s="91">
        <f>N25*(($Y25-Per_Heavy+$X25)/$X25)</f>
        <v>0.25891640101376545</v>
      </c>
      <c r="AC25" s="91">
        <f>O25*(($Y25-Per_Heavy+$X25)/$X25)</f>
        <v>4.4783489773012209E-3</v>
      </c>
      <c r="AD25" s="91">
        <f>P25*(($Y25-Per_Heavy+$X25)/$X25)</f>
        <v>5.062198408447605E-6</v>
      </c>
      <c r="AE25" s="282">
        <f>Q25*(($Y25-Per_Heavy+$X25)/$X25)</f>
        <v>9.2727311762046301E-3</v>
      </c>
      <c r="AF25" s="91">
        <f>R25*(Per_Heavy/$Y25)</f>
        <v>0</v>
      </c>
      <c r="AG25" s="91">
        <f t="shared" si="9"/>
        <v>0</v>
      </c>
      <c r="AH25" s="91">
        <f t="shared" ref="AH25:AH59" si="23">T25*(Per_Heavy/$Y25)</f>
        <v>0</v>
      </c>
      <c r="AI25" s="282">
        <f t="shared" si="10"/>
        <v>0</v>
      </c>
      <c r="AJ25" s="284">
        <f t="shared" si="22"/>
        <v>0.99997441726165037</v>
      </c>
      <c r="AL25" s="296">
        <f t="shared" si="20"/>
        <v>0.99997441726165037</v>
      </c>
      <c r="AM25" s="278">
        <f t="shared" si="21"/>
        <v>0</v>
      </c>
      <c r="AP25" s="50"/>
      <c r="AQ25" s="50"/>
      <c r="AR25" s="50"/>
      <c r="AS25" s="50"/>
      <c r="AT25" s="50"/>
      <c r="AU25" s="50"/>
      <c r="AV25" s="50"/>
      <c r="AW25" s="50"/>
      <c r="AX25" s="50"/>
      <c r="AY25" s="50"/>
      <c r="AZ25" s="50"/>
      <c r="BA25" s="50"/>
      <c r="BB25" s="50"/>
      <c r="BC25" s="50"/>
      <c r="BD25" s="50"/>
      <c r="BE25" s="50"/>
      <c r="BF25" s="50"/>
      <c r="BG25" s="50"/>
      <c r="BH25" s="50"/>
      <c r="BI25" s="50"/>
      <c r="BJ25" s="50"/>
      <c r="BK25" s="125"/>
      <c r="BL25" s="50"/>
      <c r="BM25" s="50"/>
      <c r="BN25" s="50"/>
      <c r="BO25" s="50"/>
      <c r="BP25" s="50"/>
      <c r="BQ25" s="50"/>
      <c r="BR25" s="50"/>
      <c r="BS25" s="50"/>
      <c r="BT25" s="50"/>
      <c r="BU25" s="50"/>
      <c r="BV25" s="50"/>
      <c r="BW25" s="50"/>
      <c r="BX25" s="50"/>
      <c r="BY25" s="50"/>
      <c r="BZ25" s="50"/>
      <c r="CA25" s="50"/>
      <c r="CB25" s="50"/>
      <c r="CC25" s="125" t="s">
        <v>962</v>
      </c>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row>
    <row r="26" spans="1:146" x14ac:dyDescent="0.35">
      <c r="A26" s="8">
        <v>2022</v>
      </c>
      <c r="B26" s="7">
        <v>50912212375.037224</v>
      </c>
      <c r="C26" s="8">
        <v>34442589038.487694</v>
      </c>
      <c r="D26">
        <v>12294642385.351484</v>
      </c>
      <c r="E26">
        <v>276273002.68525821</v>
      </c>
      <c r="F26">
        <v>189601.89668541</v>
      </c>
      <c r="G26" s="7">
        <v>437631250.00081307</v>
      </c>
      <c r="H26" s="8">
        <v>8581265.1845045369</v>
      </c>
      <c r="I26">
        <v>3426544774.5940118</v>
      </c>
      <c r="J26">
        <v>11501883.492128266</v>
      </c>
      <c r="K26" s="7">
        <v>13075971.611771468</v>
      </c>
      <c r="M26" s="277">
        <f t="shared" si="11"/>
        <v>0.67650937627246477</v>
      </c>
      <c r="N26" s="91">
        <f t="shared" si="12"/>
        <v>0.24148709733501333</v>
      </c>
      <c r="O26" s="91">
        <f t="shared" si="13"/>
        <v>5.4264584035385128E-3</v>
      </c>
      <c r="P26" s="91">
        <f t="shared" si="14"/>
        <v>3.7240946295701294E-6</v>
      </c>
      <c r="Q26" s="282">
        <f t="shared" si="15"/>
        <v>8.5958010776877591E-3</v>
      </c>
      <c r="R26" s="277">
        <f t="shared" si="16"/>
        <v>1.6855023154939576E-4</v>
      </c>
      <c r="S26" s="91">
        <f t="shared" si="17"/>
        <v>6.73030028503354E-2</v>
      </c>
      <c r="T26" s="91">
        <f t="shared" si="17"/>
        <v>2.2591600238075211E-4</v>
      </c>
      <c r="U26" s="282">
        <f t="shared" si="1"/>
        <v>2.5683369474202518E-4</v>
      </c>
      <c r="V26" s="284">
        <f>SUM(M26:U26)</f>
        <v>0.99997675996234159</v>
      </c>
      <c r="X26" s="296">
        <f t="shared" si="18"/>
        <v>0.93202245718333399</v>
      </c>
      <c r="Y26" s="278">
        <f t="shared" si="19"/>
        <v>6.7954302779007575E-2</v>
      </c>
      <c r="AA26" s="277">
        <f t="shared" si="3"/>
        <v>0.7258340707942984</v>
      </c>
      <c r="AB26" s="91">
        <f t="shared" si="4"/>
        <v>0.25909406292157239</v>
      </c>
      <c r="AC26" s="91">
        <f t="shared" si="5"/>
        <v>5.8221046613402289E-3</v>
      </c>
      <c r="AD26" s="91">
        <f t="shared" si="6"/>
        <v>3.9956205483771532E-6</v>
      </c>
      <c r="AE26" s="282">
        <f t="shared" si="7"/>
        <v>9.2225259645822115E-3</v>
      </c>
      <c r="AF26" s="91">
        <f t="shared" si="8"/>
        <v>0</v>
      </c>
      <c r="AG26" s="91">
        <f t="shared" si="9"/>
        <v>0</v>
      </c>
      <c r="AH26" s="91">
        <f t="shared" si="23"/>
        <v>0</v>
      </c>
      <c r="AI26" s="282">
        <f t="shared" si="10"/>
        <v>0</v>
      </c>
      <c r="AJ26" s="284">
        <f t="shared" si="22"/>
        <v>0.9999767599623417</v>
      </c>
      <c r="AL26" s="296">
        <f t="shared" si="20"/>
        <v>0.9999767599623417</v>
      </c>
      <c r="AM26" s="278">
        <f t="shared" si="21"/>
        <v>0</v>
      </c>
      <c r="AP26" s="16"/>
      <c r="AQ26" s="5" t="s">
        <v>963</v>
      </c>
      <c r="AR26" s="5" t="s">
        <v>964</v>
      </c>
      <c r="AS26" s="6" t="s">
        <v>965</v>
      </c>
      <c r="AT26" s="29">
        <v>2021</v>
      </c>
      <c r="AU26" s="30">
        <v>2022</v>
      </c>
      <c r="AV26" s="29">
        <v>2023</v>
      </c>
      <c r="AW26" s="30">
        <v>2024</v>
      </c>
      <c r="AX26" s="29">
        <v>2025</v>
      </c>
      <c r="AY26" s="30">
        <v>2026</v>
      </c>
      <c r="AZ26" s="29">
        <v>2027</v>
      </c>
      <c r="BA26" s="30">
        <v>2028</v>
      </c>
      <c r="BB26" s="29">
        <v>2029</v>
      </c>
      <c r="BC26" s="30">
        <v>2030</v>
      </c>
      <c r="BD26" s="29">
        <v>2031</v>
      </c>
      <c r="BE26" s="30">
        <v>2032</v>
      </c>
      <c r="BF26" s="29">
        <v>2033</v>
      </c>
      <c r="BG26" s="30">
        <v>2034</v>
      </c>
      <c r="BH26" s="30">
        <v>2034</v>
      </c>
      <c r="BI26" s="30">
        <v>2034</v>
      </c>
      <c r="BJ26" s="30">
        <v>2034</v>
      </c>
      <c r="BK26" s="30">
        <v>2038</v>
      </c>
      <c r="BL26" s="29">
        <v>2039</v>
      </c>
      <c r="BM26" s="30">
        <v>2040</v>
      </c>
      <c r="BN26" s="29">
        <v>2041</v>
      </c>
      <c r="BO26" s="30">
        <v>2042</v>
      </c>
      <c r="BP26" s="29">
        <v>2043</v>
      </c>
      <c r="BQ26" s="30">
        <v>2044</v>
      </c>
      <c r="BR26" s="29">
        <v>2045</v>
      </c>
      <c r="BS26" s="30">
        <v>2046</v>
      </c>
      <c r="BT26" s="29">
        <v>2047</v>
      </c>
      <c r="BU26" s="30">
        <v>2048</v>
      </c>
      <c r="BV26" s="29">
        <v>2049</v>
      </c>
      <c r="BW26" s="30">
        <v>2050</v>
      </c>
      <c r="BX26" s="29">
        <v>2051</v>
      </c>
      <c r="BY26" s="30">
        <v>2052</v>
      </c>
      <c r="BZ26" s="29">
        <v>2053</v>
      </c>
      <c r="CA26" s="30">
        <v>2054</v>
      </c>
      <c r="CB26" s="29">
        <v>2055</v>
      </c>
      <c r="CC26" s="299">
        <v>2056</v>
      </c>
      <c r="CD26" s="29">
        <v>2057</v>
      </c>
      <c r="CE26" s="30">
        <v>2058</v>
      </c>
      <c r="CF26" s="29">
        <v>2059</v>
      </c>
      <c r="CG26" s="30">
        <v>2060</v>
      </c>
      <c r="CH26" s="29">
        <v>2061</v>
      </c>
      <c r="CI26" s="30">
        <v>2062</v>
      </c>
      <c r="CJ26" s="29">
        <v>2063</v>
      </c>
      <c r="CK26" s="30">
        <v>2064</v>
      </c>
      <c r="CL26" s="29">
        <v>2065</v>
      </c>
      <c r="CM26" s="30">
        <v>2066</v>
      </c>
      <c r="CN26" s="29">
        <v>2067</v>
      </c>
      <c r="CO26" s="30">
        <v>2068</v>
      </c>
      <c r="CP26" s="29">
        <v>2069</v>
      </c>
      <c r="CQ26" s="30">
        <v>2070</v>
      </c>
      <c r="CR26" s="29">
        <v>2071</v>
      </c>
      <c r="CS26" s="30">
        <v>2072</v>
      </c>
      <c r="CT26" s="29">
        <v>2073</v>
      </c>
      <c r="CU26" s="30">
        <v>2074</v>
      </c>
      <c r="CV26" s="29">
        <v>2075</v>
      </c>
      <c r="CW26" s="30">
        <v>2076</v>
      </c>
      <c r="CX26" s="29">
        <v>2077</v>
      </c>
      <c r="CY26" s="30">
        <v>2078</v>
      </c>
      <c r="CZ26" s="29">
        <v>2079</v>
      </c>
      <c r="DA26" s="30">
        <v>2080</v>
      </c>
      <c r="DB26" s="29">
        <v>2081</v>
      </c>
      <c r="DC26" s="30">
        <v>2082</v>
      </c>
      <c r="DD26" s="29">
        <v>2083</v>
      </c>
      <c r="DE26" s="30">
        <v>2084</v>
      </c>
      <c r="DF26" s="29">
        <v>2085</v>
      </c>
      <c r="DG26" s="30">
        <v>2086</v>
      </c>
      <c r="DH26" s="29">
        <v>2087</v>
      </c>
      <c r="DI26" s="30">
        <v>2088</v>
      </c>
      <c r="DJ26" s="29">
        <v>2089</v>
      </c>
      <c r="DK26" s="30">
        <v>2090</v>
      </c>
      <c r="DL26" s="29">
        <v>2091</v>
      </c>
      <c r="DM26" s="30">
        <v>2092</v>
      </c>
      <c r="DN26" s="29">
        <v>2093</v>
      </c>
      <c r="DO26" s="30">
        <v>2094</v>
      </c>
      <c r="DP26" s="29">
        <v>2095</v>
      </c>
      <c r="DQ26" s="30">
        <v>2096</v>
      </c>
      <c r="DR26" s="29">
        <v>2097</v>
      </c>
      <c r="DS26" s="30">
        <v>2098</v>
      </c>
      <c r="DT26" s="29">
        <v>2099</v>
      </c>
      <c r="DU26" s="30">
        <v>2100</v>
      </c>
      <c r="DV26" s="29">
        <v>2101</v>
      </c>
      <c r="DW26" s="30">
        <v>2102</v>
      </c>
      <c r="DX26" s="29">
        <v>2103</v>
      </c>
      <c r="DY26" s="30">
        <v>2104</v>
      </c>
      <c r="DZ26" s="29">
        <v>2105</v>
      </c>
      <c r="EA26" s="30">
        <v>2106</v>
      </c>
      <c r="EB26" s="29">
        <v>2107</v>
      </c>
      <c r="EC26" s="30">
        <v>2108</v>
      </c>
      <c r="ED26" s="29">
        <v>2109</v>
      </c>
      <c r="EE26" s="30">
        <v>2110</v>
      </c>
      <c r="EF26" s="29">
        <v>2111</v>
      </c>
      <c r="EG26" s="30">
        <v>2112</v>
      </c>
      <c r="EH26" s="29">
        <v>2113</v>
      </c>
      <c r="EI26" s="30">
        <v>2114</v>
      </c>
      <c r="EJ26" s="29">
        <v>2115</v>
      </c>
      <c r="EK26" s="30">
        <v>2116</v>
      </c>
      <c r="EL26" s="29">
        <v>2117</v>
      </c>
      <c r="EM26" s="30">
        <v>2118</v>
      </c>
      <c r="EN26" s="29">
        <v>2119</v>
      </c>
      <c r="EO26" s="30">
        <v>2120</v>
      </c>
      <c r="EP26" s="308">
        <v>2121</v>
      </c>
    </row>
    <row r="27" spans="1:146" x14ac:dyDescent="0.35">
      <c r="A27" s="8">
        <v>2023</v>
      </c>
      <c r="B27" s="7">
        <v>52699809999.990135</v>
      </c>
      <c r="C27" s="8">
        <v>35621562284.00341</v>
      </c>
      <c r="D27">
        <v>12746082376.900047</v>
      </c>
      <c r="E27">
        <v>358389289.4438169</v>
      </c>
      <c r="F27">
        <v>179937.23925575</v>
      </c>
      <c r="G27" s="7">
        <v>450470000.00131059</v>
      </c>
      <c r="H27" s="8">
        <v>8389038.6749394573</v>
      </c>
      <c r="I27">
        <v>3486193215.2360253</v>
      </c>
      <c r="J27">
        <v>15000509.212074561</v>
      </c>
      <c r="K27" s="7">
        <v>12436112.402237438</v>
      </c>
      <c r="M27" s="277">
        <f t="shared" si="11"/>
        <v>0.67593341008269436</v>
      </c>
      <c r="N27" s="91">
        <f t="shared" si="12"/>
        <v>0.2418620176600719</v>
      </c>
      <c r="O27" s="91">
        <f t="shared" si="13"/>
        <v>6.8005802951449723E-3</v>
      </c>
      <c r="P27" s="91">
        <f t="shared" si="14"/>
        <v>3.4143811762468154E-6</v>
      </c>
      <c r="Q27" s="282">
        <f t="shared" si="15"/>
        <v>8.5478486545092838E-3</v>
      </c>
      <c r="R27" s="277">
        <f t="shared" si="16"/>
        <v>1.5918536850400463E-4</v>
      </c>
      <c r="S27" s="91">
        <f t="shared" si="17"/>
        <v>6.6151912411765393E-2</v>
      </c>
      <c r="T27" s="91">
        <f t="shared" si="17"/>
        <v>2.846406697116625E-4</v>
      </c>
      <c r="U27" s="282">
        <f t="shared" si="1"/>
        <v>2.3598021325389534E-4</v>
      </c>
      <c r="V27" s="284">
        <f t="shared" ref="V27:V59" si="24">SUM(M27:U27)</f>
        <v>0.99997898973683175</v>
      </c>
      <c r="X27" s="296">
        <f t="shared" si="18"/>
        <v>0.93314727107359674</v>
      </c>
      <c r="Y27" s="278">
        <f t="shared" si="19"/>
        <v>6.6831718663234965E-2</v>
      </c>
      <c r="AA27" s="277">
        <f t="shared" si="3"/>
        <v>0.72434355165204678</v>
      </c>
      <c r="AB27" s="91">
        <f t="shared" si="4"/>
        <v>0.25918410048734458</v>
      </c>
      <c r="AC27" s="91">
        <f t="shared" si="5"/>
        <v>7.2876357505062333E-3</v>
      </c>
      <c r="AD27" s="91">
        <f t="shared" si="6"/>
        <v>3.6589180990386903E-6</v>
      </c>
      <c r="AE27" s="282">
        <f t="shared" si="7"/>
        <v>9.1600429288351652E-3</v>
      </c>
      <c r="AF27" s="91">
        <f t="shared" si="8"/>
        <v>0</v>
      </c>
      <c r="AG27" s="91">
        <f t="shared" si="9"/>
        <v>0</v>
      </c>
      <c r="AH27" s="91">
        <f t="shared" si="23"/>
        <v>0</v>
      </c>
      <c r="AI27" s="282">
        <f t="shared" si="10"/>
        <v>0</v>
      </c>
      <c r="AJ27" s="284">
        <f t="shared" si="22"/>
        <v>0.99997898973683197</v>
      </c>
      <c r="AL27" s="296">
        <f t="shared" si="20"/>
        <v>0.99997898973683197</v>
      </c>
      <c r="AM27" s="278">
        <f t="shared" si="21"/>
        <v>0</v>
      </c>
      <c r="AP27" s="309" t="s">
        <v>820</v>
      </c>
      <c r="AQ27" t="s">
        <v>132</v>
      </c>
      <c r="AR27" s="31">
        <f>((0.17+0.39)/2)*3.78541*0.835</f>
        <v>0.88502885799999997</v>
      </c>
      <c r="AS27" s="7" t="s">
        <v>966</v>
      </c>
      <c r="AT27" s="21">
        <f ca="1">OFFSET('Fleet Projection'!$AB$25,'Fleet Projection'!AT26-YEAR(TODAY()),0)</f>
        <v>0.24939661568799687</v>
      </c>
      <c r="AU27" s="21">
        <f ca="1">OFFSET('Fleet Projection'!$AB$25,'Fleet Projection'!AU26-YEAR(TODAY()),0)</f>
        <v>0.25898365302801185</v>
      </c>
      <c r="AV27" s="21">
        <f ca="1">OFFSET('Fleet Projection'!$AB$25,'Fleet Projection'!AV26-YEAR(TODAY()),0)</f>
        <v>0.25843180042816538</v>
      </c>
      <c r="AW27" s="21">
        <f ca="1">OFFSET('Fleet Projection'!$AB$25,'Fleet Projection'!AW26-YEAR(TODAY()),0)</f>
        <v>0.25891640101376545</v>
      </c>
      <c r="AX27" s="21">
        <f ca="1">OFFSET('Fleet Projection'!$AB$25,'Fleet Projection'!AX26-YEAR(TODAY()),0)</f>
        <v>0.25909406292157239</v>
      </c>
      <c r="AY27" s="21">
        <f ca="1">OFFSET('Fleet Projection'!$AB$25,'Fleet Projection'!AY26-YEAR(TODAY()),0)</f>
        <v>0.25918410048734458</v>
      </c>
      <c r="AZ27" s="21">
        <f ca="1">OFFSET('Fleet Projection'!$AB$25,'Fleet Projection'!AZ26-YEAR(TODAY()),0)</f>
        <v>0.25920924303651627</v>
      </c>
      <c r="BA27" s="21">
        <f ca="1">OFFSET('Fleet Projection'!$AB$25,'Fleet Projection'!BA26-YEAR(TODAY()),0)</f>
        <v>0.25889068303055884</v>
      </c>
      <c r="BB27" s="21">
        <f ca="1">OFFSET('Fleet Projection'!$AB$25,'Fleet Projection'!BB26-YEAR(TODAY()),0)</f>
        <v>0.25832362430362688</v>
      </c>
      <c r="BC27" s="21">
        <f ca="1">OFFSET('Fleet Projection'!$AB$25,'Fleet Projection'!BC26-YEAR(TODAY()),0)</f>
        <v>0.25736937153593759</v>
      </c>
      <c r="BD27" s="21">
        <f ca="1">OFFSET('Fleet Projection'!$AB$25,'Fleet Projection'!BD26-YEAR(TODAY()),0)</f>
        <v>0.25597260750310419</v>
      </c>
      <c r="BE27" s="21">
        <f ca="1">OFFSET('Fleet Projection'!$AB$25,'Fleet Projection'!BE26-YEAR(TODAY()),0)</f>
        <v>0.25388610103041398</v>
      </c>
      <c r="BF27" s="21">
        <f ca="1">OFFSET('Fleet Projection'!$AB$25,'Fleet Projection'!BF26-YEAR(TODAY()),0)</f>
        <v>0.25119377947631188</v>
      </c>
      <c r="BG27" s="21">
        <f ca="1">OFFSET('Fleet Projection'!$AB$25,'Fleet Projection'!BG26-YEAR(TODAY()),0)</f>
        <v>0.24791769416037585</v>
      </c>
      <c r="BH27" s="21">
        <f ca="1">OFFSET('Fleet Projection'!$AB$25,'Fleet Projection'!BH26-YEAR(TODAY()),0)</f>
        <v>0.24791769416037585</v>
      </c>
      <c r="BI27" s="21">
        <f ca="1">OFFSET('Fleet Projection'!$AB$25,'Fleet Projection'!BI26-YEAR(TODAY()),0)</f>
        <v>0.24791769416037585</v>
      </c>
      <c r="BJ27" s="21">
        <f ca="1">OFFSET('Fleet Projection'!$AB$25,'Fleet Projection'!BJ26-YEAR(TODAY()),0)</f>
        <v>0.24791769416037585</v>
      </c>
      <c r="BK27" s="21">
        <f ca="1">OFFSET('Fleet Projection'!$AB$25,'Fleet Projection'!BK26-YEAR(TODAY()),0)</f>
        <v>0.2298457779292124</v>
      </c>
      <c r="BL27" s="21">
        <f ca="1">OFFSET('Fleet Projection'!$AB$25,'Fleet Projection'!BL26-YEAR(TODAY()),0)</f>
        <v>0.22389060046723</v>
      </c>
      <c r="BM27" s="21">
        <f ca="1">OFFSET('Fleet Projection'!$AB$25,'Fleet Projection'!BM26-YEAR(TODAY()),0)</f>
        <v>0.21730807940869515</v>
      </c>
      <c r="BN27" s="21">
        <f ca="1">OFFSET('Fleet Projection'!$AB$25,'Fleet Projection'!BN26-YEAR(TODAY()),0)</f>
        <v>0.21004536690368633</v>
      </c>
      <c r="BO27" s="21">
        <f ca="1">OFFSET('Fleet Projection'!$AB$25,'Fleet Projection'!BO26-YEAR(TODAY()),0)</f>
        <v>0.20223452656135049</v>
      </c>
      <c r="BP27" s="21">
        <f ca="1">OFFSET('Fleet Projection'!$AB$25,'Fleet Projection'!BP26-YEAR(TODAY()),0)</f>
        <v>0.19398932427103799</v>
      </c>
      <c r="BQ27" s="21">
        <f ca="1">OFFSET('Fleet Projection'!$AB$25,'Fleet Projection'!BQ26-YEAR(TODAY()),0)</f>
        <v>0.18553691531689079</v>
      </c>
      <c r="BR27" s="21">
        <f ca="1">OFFSET('Fleet Projection'!$AB$25,'Fleet Projection'!BR26-YEAR(TODAY()),0)</f>
        <v>0.17715483044521574</v>
      </c>
      <c r="BS27" s="21">
        <f ca="1">OFFSET('Fleet Projection'!$AB$25,'Fleet Projection'!BS26-YEAR(TODAY()),0)</f>
        <v>0.16891747017801176</v>
      </c>
      <c r="BT27" s="21">
        <f ca="1">OFFSET('Fleet Projection'!$AB$25,'Fleet Projection'!BT26-YEAR(TODAY()),0)</f>
        <v>0.16090242475418387</v>
      </c>
      <c r="BU27" s="21">
        <f ca="1">OFFSET('Fleet Projection'!$AB$25,'Fleet Projection'!BU26-YEAR(TODAY()),0)</f>
        <v>0.15311605110203166</v>
      </c>
      <c r="BV27" s="21">
        <f ca="1">OFFSET('Fleet Projection'!$AB$25,'Fleet Projection'!BV26-YEAR(TODAY()),0)</f>
        <v>0.14555190082799341</v>
      </c>
      <c r="BW27" s="21">
        <f ca="1">OFFSET('Fleet Projection'!$AB$25,'Fleet Projection'!BW26-YEAR(TODAY()),0)</f>
        <v>0.13823472308596488</v>
      </c>
      <c r="BX27" s="21">
        <f ca="1">OFFSET('Fleet Projection'!$AB$25,'Fleet Projection'!BX26-YEAR(TODAY()),0)</f>
        <v>0.13124012699276597</v>
      </c>
      <c r="BY27" s="21">
        <f ca="1">OFFSET('Fleet Projection'!$AB$25,'Fleet Projection'!BY26-YEAR(TODAY()),0)</f>
        <v>0.12461215634136587</v>
      </c>
      <c r="BZ27" s="21">
        <f ca="1">OFFSET('Fleet Projection'!$AB$25,'Fleet Projection'!BZ26-YEAR(TODAY()),0)</f>
        <v>0.11843835632368169</v>
      </c>
      <c r="CA27" s="21">
        <f ca="1">OFFSET('Fleet Projection'!$AB$25,'Fleet Projection'!CA26-YEAR(TODAY()),0)</f>
        <v>0.11262590780012056</v>
      </c>
      <c r="CB27" s="21">
        <f ca="1">OFFSET('Fleet Projection'!$AB$25,'Fleet Projection'!CB26-YEAR(TODAY()),0)</f>
        <v>0.10713266025451008</v>
      </c>
      <c r="CC27" s="300">
        <v>8.6890847081405126E-2</v>
      </c>
      <c r="CD27" s="21">
        <v>8.6890847081405126E-2</v>
      </c>
      <c r="CE27" s="21">
        <v>8.6890847081405126E-2</v>
      </c>
      <c r="CF27" s="21">
        <v>8.6890847081405126E-2</v>
      </c>
      <c r="CG27" s="21">
        <v>8.6890847081405126E-2</v>
      </c>
      <c r="CH27" s="21">
        <v>8.6890847081405126E-2</v>
      </c>
      <c r="CI27" s="21">
        <v>8.6890847081405126E-2</v>
      </c>
      <c r="CJ27" s="21">
        <v>8.6890847081405126E-2</v>
      </c>
      <c r="CK27" s="21">
        <v>8.6890847081405126E-2</v>
      </c>
      <c r="CL27" s="21">
        <v>8.6890847081405126E-2</v>
      </c>
      <c r="CM27" s="21">
        <v>8.6890847081405126E-2</v>
      </c>
      <c r="CN27" s="21">
        <v>8.6890847081405126E-2</v>
      </c>
      <c r="CO27" s="21">
        <v>8.6890847081405126E-2</v>
      </c>
      <c r="CP27" s="21">
        <v>8.6890847081405126E-2</v>
      </c>
      <c r="CQ27" s="21">
        <v>8.6890847081405126E-2</v>
      </c>
      <c r="CR27" s="21">
        <v>8.6890847081405126E-2</v>
      </c>
      <c r="CS27" s="21">
        <v>8.6890847081405126E-2</v>
      </c>
      <c r="CT27" s="21">
        <v>8.6890847081405126E-2</v>
      </c>
      <c r="CU27" s="21">
        <v>8.6890847081405126E-2</v>
      </c>
      <c r="CV27" s="21">
        <v>8.6890847081405126E-2</v>
      </c>
      <c r="CW27" s="21">
        <v>8.6890847081405126E-2</v>
      </c>
      <c r="CX27" s="21">
        <v>8.6890847081405126E-2</v>
      </c>
      <c r="CY27" s="21">
        <v>8.6890847081405126E-2</v>
      </c>
      <c r="CZ27" s="21">
        <v>8.6890847081405126E-2</v>
      </c>
      <c r="DA27" s="21">
        <v>8.6890847081405126E-2</v>
      </c>
      <c r="DB27" s="21">
        <v>8.6890847081405126E-2</v>
      </c>
      <c r="DC27" s="21">
        <v>8.6890847081405126E-2</v>
      </c>
      <c r="DD27" s="21">
        <v>8.6890847081405126E-2</v>
      </c>
      <c r="DE27" s="21">
        <v>8.6890847081405126E-2</v>
      </c>
      <c r="DF27" s="21">
        <v>8.6890847081405126E-2</v>
      </c>
      <c r="DG27" s="21">
        <v>8.6890847081405126E-2</v>
      </c>
      <c r="DH27" s="21">
        <v>8.6890847081405126E-2</v>
      </c>
      <c r="DI27" s="21">
        <v>8.6890847081405126E-2</v>
      </c>
      <c r="DJ27" s="21">
        <v>8.6890847081405126E-2</v>
      </c>
      <c r="DK27" s="21">
        <v>8.6890847081405126E-2</v>
      </c>
      <c r="DL27" s="21">
        <v>8.6890847081405126E-2</v>
      </c>
      <c r="DM27" s="21">
        <v>8.6890847081405126E-2</v>
      </c>
      <c r="DN27" s="21">
        <v>8.6890847081405126E-2</v>
      </c>
      <c r="DO27" s="21">
        <v>8.6890847081405126E-2</v>
      </c>
      <c r="DP27" s="21">
        <v>8.6890847081405126E-2</v>
      </c>
      <c r="DQ27" s="21">
        <v>8.6890847081405126E-2</v>
      </c>
      <c r="DR27" s="21">
        <v>8.6890847081405126E-2</v>
      </c>
      <c r="DS27" s="21">
        <v>8.6890847081405126E-2</v>
      </c>
      <c r="DT27" s="21">
        <v>8.6890847081405126E-2</v>
      </c>
      <c r="DU27" s="21">
        <v>8.6890847081405126E-2</v>
      </c>
      <c r="DV27" s="21">
        <v>8.6890847081405126E-2</v>
      </c>
      <c r="DW27" s="21">
        <v>8.6890847081405126E-2</v>
      </c>
      <c r="DX27" s="21">
        <v>8.6890847081405126E-2</v>
      </c>
      <c r="DY27" s="21">
        <v>8.6890847081405126E-2</v>
      </c>
      <c r="DZ27" s="21">
        <v>8.6890847081405126E-2</v>
      </c>
      <c r="EA27" s="21">
        <v>8.6890847081405126E-2</v>
      </c>
      <c r="EB27" s="21">
        <v>8.6890847081405126E-2</v>
      </c>
      <c r="EC27" s="21">
        <v>8.6890847081405126E-2</v>
      </c>
      <c r="ED27" s="21">
        <v>8.6890847081405126E-2</v>
      </c>
      <c r="EE27" s="21">
        <v>8.6890847081405126E-2</v>
      </c>
      <c r="EF27" s="21">
        <v>8.6890847081405126E-2</v>
      </c>
      <c r="EG27" s="21">
        <v>8.6890847081405126E-2</v>
      </c>
      <c r="EH27" s="21">
        <v>8.6890847081405126E-2</v>
      </c>
      <c r="EI27" s="21">
        <v>8.6890847081405126E-2</v>
      </c>
      <c r="EJ27" s="21">
        <v>8.6890847081405126E-2</v>
      </c>
      <c r="EK27" s="21">
        <v>8.6890847081405126E-2</v>
      </c>
      <c r="EL27" s="21">
        <v>8.6890847081405126E-2</v>
      </c>
      <c r="EM27" s="21">
        <v>8.6890847081405126E-2</v>
      </c>
      <c r="EN27" s="21">
        <v>8.6890847081405126E-2</v>
      </c>
      <c r="EO27" s="21">
        <v>8.6890847081405126E-2</v>
      </c>
      <c r="EP27" s="21">
        <v>8.6890847081405126E-2</v>
      </c>
    </row>
    <row r="28" spans="1:146" x14ac:dyDescent="0.35">
      <c r="A28" s="8">
        <v>2024</v>
      </c>
      <c r="B28" s="7">
        <v>53370829999.996193</v>
      </c>
      <c r="C28" s="8">
        <v>36005446169.068802</v>
      </c>
      <c r="D28">
        <v>12913398134.986708</v>
      </c>
      <c r="E28">
        <v>445818182.87109953</v>
      </c>
      <c r="F28">
        <v>175096.49037806998</v>
      </c>
      <c r="G28" s="7">
        <v>452609999.99839514</v>
      </c>
      <c r="H28" s="8">
        <v>8056385.1847692104</v>
      </c>
      <c r="I28">
        <v>3514716157.305656</v>
      </c>
      <c r="J28">
        <v>18642485.666403648</v>
      </c>
      <c r="K28" s="7">
        <v>10912416.578882312</v>
      </c>
      <c r="M28" s="277">
        <f t="shared" si="11"/>
        <v>0.67462781015531093</v>
      </c>
      <c r="N28" s="91">
        <f t="shared" si="12"/>
        <v>0.24195610476711021</v>
      </c>
      <c r="O28" s="91">
        <f t="shared" si="13"/>
        <v>8.3532180944371915E-3</v>
      </c>
      <c r="P28" s="91">
        <f t="shared" si="14"/>
        <v>3.2807526204498313E-6</v>
      </c>
      <c r="Q28" s="282">
        <f t="shared" si="15"/>
        <v>8.4804751958781118E-3</v>
      </c>
      <c r="R28" s="277">
        <f t="shared" si="16"/>
        <v>1.5095109416079505E-4</v>
      </c>
      <c r="S28" s="91">
        <f t="shared" si="17"/>
        <v>6.5854628030066364E-2</v>
      </c>
      <c r="T28" s="91">
        <f t="shared" si="17"/>
        <v>3.4930102579264698E-4</v>
      </c>
      <c r="U28" s="282">
        <f t="shared" si="1"/>
        <v>2.0446405984098599E-4</v>
      </c>
      <c r="V28" s="284">
        <f t="shared" si="24"/>
        <v>0.99998023317521767</v>
      </c>
      <c r="X28" s="296">
        <f t="shared" si="18"/>
        <v>0.93342088896535691</v>
      </c>
      <c r="Y28" s="278">
        <f t="shared" si="19"/>
        <v>6.6559344209860788E-2</v>
      </c>
      <c r="AA28" s="277">
        <f t="shared" si="3"/>
        <v>0.72273342377559768</v>
      </c>
      <c r="AB28" s="91">
        <f t="shared" si="4"/>
        <v>0.25920924303651627</v>
      </c>
      <c r="AC28" s="91">
        <f t="shared" si="5"/>
        <v>8.9488601300723274E-3</v>
      </c>
      <c r="AD28" s="91">
        <f t="shared" si="6"/>
        <v>3.5146928991744352E-6</v>
      </c>
      <c r="AE28" s="282">
        <f t="shared" si="7"/>
        <v>9.0851915401323133E-3</v>
      </c>
      <c r="AF28" s="91">
        <f t="shared" si="8"/>
        <v>0</v>
      </c>
      <c r="AG28" s="91">
        <f t="shared" si="9"/>
        <v>0</v>
      </c>
      <c r="AH28" s="91">
        <f t="shared" si="23"/>
        <v>0</v>
      </c>
      <c r="AI28" s="282">
        <f t="shared" si="10"/>
        <v>0</v>
      </c>
      <c r="AJ28" s="284">
        <f t="shared" si="22"/>
        <v>0.99998023317521778</v>
      </c>
      <c r="AL28" s="296">
        <f t="shared" si="20"/>
        <v>0.99998023317521778</v>
      </c>
      <c r="AM28" s="278">
        <f t="shared" si="21"/>
        <v>0</v>
      </c>
      <c r="AP28" s="310"/>
      <c r="AQ28" t="s">
        <v>821</v>
      </c>
      <c r="AR28" s="31">
        <f>((0.16+0.29)/2)*3.78541*0.75</f>
        <v>0.63878793749999996</v>
      </c>
      <c r="AS28" s="7" t="s">
        <v>967</v>
      </c>
      <c r="AT28" s="21">
        <f ca="1">OFFSET('Fleet Projection'!$AA$25,'Fleet Projection'!AT26-YEAR(TODAY()),0)+OFFSET('Fleet Projection'!$AE$25,'Fleet Projection'!AT26-YEAR(TODAY()),0)</f>
        <v>0.74884640882496578</v>
      </c>
      <c r="AU28" s="21">
        <f ca="1">OFFSET('Fleet Projection'!$AA$25,'Fleet Projection'!AU26-YEAR(TODAY()),0)+OFFSET('Fleet Projection'!$AE$25,'Fleet Projection'!AU26-YEAR(TODAY()),0)</f>
        <v>0.73800243009741406</v>
      </c>
      <c r="AV28" s="21">
        <f ca="1">OFFSET('Fleet Projection'!$AA$25,'Fleet Projection'!AV26-YEAR(TODAY()),0)+OFFSET('Fleet Projection'!$AE$25,'Fleet Projection'!AV26-YEAR(TODAY()),0)</f>
        <v>0.73806941341284482</v>
      </c>
      <c r="AW28" s="21">
        <f ca="1">OFFSET('Fleet Projection'!$AA$25,'Fleet Projection'!AW26-YEAR(TODAY()),0)+OFFSET('Fleet Projection'!$AE$25,'Fleet Projection'!AW26-YEAR(TODAY()),0)</f>
        <v>0.7365746050721752</v>
      </c>
      <c r="AX28" s="21">
        <f ca="1">OFFSET('Fleet Projection'!$AA$25,'Fleet Projection'!AX26-YEAR(TODAY()),0)+OFFSET('Fleet Projection'!$AE$25,'Fleet Projection'!AX26-YEAR(TODAY()),0)</f>
        <v>0.73505659675888058</v>
      </c>
      <c r="AY28" s="21">
        <f ca="1">OFFSET('Fleet Projection'!$AA$25,'Fleet Projection'!AY26-YEAR(TODAY()),0)+OFFSET('Fleet Projection'!$AE$25,'Fleet Projection'!AY26-YEAR(TODAY()),0)</f>
        <v>0.73350359458088199</v>
      </c>
      <c r="AZ28" s="21">
        <f ca="1">OFFSET('Fleet Projection'!$AA$25,'Fleet Projection'!AZ26-YEAR(TODAY()),0)+OFFSET('Fleet Projection'!$AE$25,'Fleet Projection'!AZ26-YEAR(TODAY()),0)</f>
        <v>0.73181861531573</v>
      </c>
      <c r="BA28" s="21">
        <f ca="1">OFFSET('Fleet Projection'!$AA$25,'Fleet Projection'!BA26-YEAR(TODAY()),0)+OFFSET('Fleet Projection'!$AE$25,'Fleet Projection'!BA26-YEAR(TODAY()),0)</f>
        <v>0.73015545207461019</v>
      </c>
      <c r="BB28" s="21">
        <f ca="1">OFFSET('Fleet Projection'!$AA$25,'Fleet Projection'!BB26-YEAR(TODAY()),0)+OFFSET('Fleet Projection'!$AE$25,'Fleet Projection'!BB26-YEAR(TODAY()),0)</f>
        <v>0.72827883042334896</v>
      </c>
      <c r="BC28" s="21">
        <f ca="1">OFFSET('Fleet Projection'!$AA$25,'Fleet Projection'!BC26-YEAR(TODAY()),0)+OFFSET('Fleet Projection'!$AE$25,'Fleet Projection'!BC26-YEAR(TODAY()),0)</f>
        <v>0.72614629855755886</v>
      </c>
      <c r="BD28" s="21">
        <f ca="1">OFFSET('Fleet Projection'!$AA$25,'Fleet Projection'!BD26-YEAR(TODAY()),0)+OFFSET('Fleet Projection'!$AE$25,'Fleet Projection'!BD26-YEAR(TODAY()),0)</f>
        <v>0.72358653467169776</v>
      </c>
      <c r="BE28" s="21">
        <f ca="1">OFFSET('Fleet Projection'!$AA$25,'Fleet Projection'!BE26-YEAR(TODAY()),0)+OFFSET('Fleet Projection'!$AE$25,'Fleet Projection'!BE26-YEAR(TODAY()),0)</f>
        <v>0.72028395852608984</v>
      </c>
      <c r="BF28" s="21">
        <f ca="1">OFFSET('Fleet Projection'!$AA$25,'Fleet Projection'!BF26-YEAR(TODAY()),0)+OFFSET('Fleet Projection'!$AE$25,'Fleet Projection'!BF26-YEAR(TODAY()),0)</f>
        <v>0.71560155244698032</v>
      </c>
      <c r="BG28" s="21">
        <f ca="1">OFFSET('Fleet Projection'!$AA$25,'Fleet Projection'!BG26-YEAR(TODAY()),0)+OFFSET('Fleet Projection'!$AE$25,'Fleet Projection'!BG26-YEAR(TODAY()),0)</f>
        <v>0.70943949970219133</v>
      </c>
      <c r="BH28" s="21">
        <f ca="1">OFFSET('Fleet Projection'!$AA$25,'Fleet Projection'!BH26-YEAR(TODAY()),0)+OFFSET('Fleet Projection'!$AE$25,'Fleet Projection'!BH26-YEAR(TODAY()),0)</f>
        <v>0.70943949970219133</v>
      </c>
      <c r="BI28" s="21">
        <f ca="1">OFFSET('Fleet Projection'!$AA$25,'Fleet Projection'!BI26-YEAR(TODAY()),0)+OFFSET('Fleet Projection'!$AE$25,'Fleet Projection'!BI26-YEAR(TODAY()),0)</f>
        <v>0.70943949970219133</v>
      </c>
      <c r="BJ28" s="21">
        <f ca="1">OFFSET('Fleet Projection'!$AA$25,'Fleet Projection'!BJ26-YEAR(TODAY()),0)+OFFSET('Fleet Projection'!$AE$25,'Fleet Projection'!BJ26-YEAR(TODAY()),0)</f>
        <v>0.70943949970219133</v>
      </c>
      <c r="BK28" s="21">
        <f ca="1">OFFSET('Fleet Projection'!$AA$25,'Fleet Projection'!BK26-YEAR(TODAY()),0)+OFFSET('Fleet Projection'!$AE$25,'Fleet Projection'!BK26-YEAR(TODAY()),0)</f>
        <v>0.6670821048859511</v>
      </c>
      <c r="BL28" s="21">
        <f ca="1">OFFSET('Fleet Projection'!$AA$25,'Fleet Projection'!BL26-YEAR(TODAY()),0)+OFFSET('Fleet Projection'!$AE$25,'Fleet Projection'!BL26-YEAR(TODAY()),0)</f>
        <v>0.65053926815638607</v>
      </c>
      <c r="BM28" s="21">
        <f ca="1">OFFSET('Fleet Projection'!$AA$25,'Fleet Projection'!BM26-YEAR(TODAY()),0)+OFFSET('Fleet Projection'!$AE$25,'Fleet Projection'!BM26-YEAR(TODAY()),0)</f>
        <v>0.63070646515764983</v>
      </c>
      <c r="BN28" s="21">
        <f ca="1">OFFSET('Fleet Projection'!$AA$25,'Fleet Projection'!BN26-YEAR(TODAY()),0)+OFFSET('Fleet Projection'!$AE$25,'Fleet Projection'!BN26-YEAR(TODAY()),0)</f>
        <v>0.60721556282550071</v>
      </c>
      <c r="BO28" s="21">
        <f ca="1">OFFSET('Fleet Projection'!$AA$25,'Fleet Projection'!BO26-YEAR(TODAY()),0)+OFFSET('Fleet Projection'!$AE$25,'Fleet Projection'!BO26-YEAR(TODAY()),0)</f>
        <v>0.57970946680526658</v>
      </c>
      <c r="BP28" s="21">
        <f ca="1">OFFSET('Fleet Projection'!$AA$25,'Fleet Projection'!BP26-YEAR(TODAY()),0)+OFFSET('Fleet Projection'!$AE$25,'Fleet Projection'!BP26-YEAR(TODAY()),0)</f>
        <v>0.54797462926846585</v>
      </c>
      <c r="BQ28" s="21">
        <f ca="1">OFFSET('Fleet Projection'!$AA$25,'Fleet Projection'!BQ26-YEAR(TODAY()),0)+OFFSET('Fleet Projection'!$AE$25,'Fleet Projection'!BQ26-YEAR(TODAY()),0)</f>
        <v>0.51207213041325617</v>
      </c>
      <c r="BR28" s="21">
        <f ca="1">OFFSET('Fleet Projection'!$AA$25,'Fleet Projection'!BR26-YEAR(TODAY()),0)+OFFSET('Fleet Projection'!$AE$25,'Fleet Projection'!BR26-YEAR(TODAY()),0)</f>
        <v>0.4756811729859069</v>
      </c>
      <c r="BS28" s="21">
        <f ca="1">OFFSET('Fleet Projection'!$AA$25,'Fleet Projection'!BS26-YEAR(TODAY()),0)+OFFSET('Fleet Projection'!$AE$25,'Fleet Projection'!BS26-YEAR(TODAY()),0)</f>
        <v>0.4405333509691407</v>
      </c>
      <c r="BT28" s="21">
        <f ca="1">OFFSET('Fleet Projection'!$AA$25,'Fleet Projection'!BT26-YEAR(TODAY()),0)+OFFSET('Fleet Projection'!$AE$25,'Fleet Projection'!BT26-YEAR(TODAY()),0)</f>
        <v>0.40730787263809715</v>
      </c>
      <c r="BU28" s="21">
        <f ca="1">OFFSET('Fleet Projection'!$AA$25,'Fleet Projection'!BU26-YEAR(TODAY()),0)+OFFSET('Fleet Projection'!$AE$25,'Fleet Projection'!BU26-YEAR(TODAY()),0)</f>
        <v>0.37585616729820409</v>
      </c>
      <c r="BV28" s="21">
        <f ca="1">OFFSET('Fleet Projection'!$AA$25,'Fleet Projection'!BV26-YEAR(TODAY()),0)+OFFSET('Fleet Projection'!$AE$25,'Fleet Projection'!BV26-YEAR(TODAY()),0)</f>
        <v>0.34612252690538886</v>
      </c>
      <c r="BW28" s="21">
        <f ca="1">OFFSET('Fleet Projection'!$AA$25,'Fleet Projection'!BW26-YEAR(TODAY()),0)+OFFSET('Fleet Projection'!$AE$25,'Fleet Projection'!BW26-YEAR(TODAY()),0)</f>
        <v>0.31842752298142402</v>
      </c>
      <c r="BX28" s="21">
        <f ca="1">OFFSET('Fleet Projection'!$AA$25,'Fleet Projection'!BX26-YEAR(TODAY()),0)+OFFSET('Fleet Projection'!$AE$25,'Fleet Projection'!BX26-YEAR(TODAY()),0)</f>
        <v>0.29291003432257018</v>
      </c>
      <c r="BY28" s="21">
        <f ca="1">OFFSET('Fleet Projection'!$AA$25,'Fleet Projection'!BY26-YEAR(TODAY()),0)+OFFSET('Fleet Projection'!$AE$25,'Fleet Projection'!BY26-YEAR(TODAY()),0)</f>
        <v>0.26964615621447152</v>
      </c>
      <c r="BZ28" s="21">
        <f ca="1">OFFSET('Fleet Projection'!$AA$25,'Fleet Projection'!BZ26-YEAR(TODAY()),0)+OFFSET('Fleet Projection'!$AE$25,'Fleet Projection'!BZ26-YEAR(TODAY()),0)</f>
        <v>0.24840302113693552</v>
      </c>
      <c r="CA28" s="21">
        <f ca="1">OFFSET('Fleet Projection'!$AA$25,'Fleet Projection'!CA26-YEAR(TODAY()),0)+OFFSET('Fleet Projection'!$AE$25,'Fleet Projection'!CA26-YEAR(TODAY()),0)</f>
        <v>0.2291443816242146</v>
      </c>
      <c r="CB28" s="21">
        <f ca="1">OFFSET('Fleet Projection'!$AA$25,'Fleet Projection'!CB26-YEAR(TODAY()),0)+OFFSET('Fleet Projection'!$AE$25,'Fleet Projection'!CB26-YEAR(TODAY()),0)</f>
        <v>0.21183353429416155</v>
      </c>
      <c r="CC28" s="300">
        <v>0.16035070233550069</v>
      </c>
      <c r="CD28" s="21">
        <v>0.16035070233550069</v>
      </c>
      <c r="CE28" s="21">
        <v>0.16035070233550069</v>
      </c>
      <c r="CF28" s="21">
        <v>0.16035070233550069</v>
      </c>
      <c r="CG28" s="21">
        <v>0.16035070233550069</v>
      </c>
      <c r="CH28" s="21">
        <v>0.16035070233550069</v>
      </c>
      <c r="CI28" s="21">
        <v>0.16035070233550069</v>
      </c>
      <c r="CJ28" s="21">
        <v>0.16035070233550069</v>
      </c>
      <c r="CK28" s="21">
        <v>0.16035070233550069</v>
      </c>
      <c r="CL28" s="21">
        <v>0.16035070233550069</v>
      </c>
      <c r="CM28" s="21">
        <v>0.16035070233550069</v>
      </c>
      <c r="CN28" s="21">
        <v>0.16035070233550069</v>
      </c>
      <c r="CO28" s="21">
        <v>0.16035070233550069</v>
      </c>
      <c r="CP28" s="21">
        <v>0.16035070233550069</v>
      </c>
      <c r="CQ28" s="21">
        <v>0.16035070233550069</v>
      </c>
      <c r="CR28" s="21">
        <v>0.16035070233550069</v>
      </c>
      <c r="CS28" s="21">
        <v>0.16035070233550069</v>
      </c>
      <c r="CT28" s="21">
        <v>0.16035070233550069</v>
      </c>
      <c r="CU28" s="21">
        <v>0.16035070233550069</v>
      </c>
      <c r="CV28" s="21">
        <v>0.16035070233550069</v>
      </c>
      <c r="CW28" s="21">
        <v>0.16035070233550069</v>
      </c>
      <c r="CX28" s="21">
        <v>0.16035070233550069</v>
      </c>
      <c r="CY28" s="21">
        <v>0.16035070233550069</v>
      </c>
      <c r="CZ28" s="21">
        <v>0.16035070233550069</v>
      </c>
      <c r="DA28" s="21">
        <v>0.16035070233550069</v>
      </c>
      <c r="DB28" s="21">
        <v>0.16035070233550069</v>
      </c>
      <c r="DC28" s="21">
        <v>0.16035070233550069</v>
      </c>
      <c r="DD28" s="21">
        <v>0.16035070233550069</v>
      </c>
      <c r="DE28" s="21">
        <v>0.16035070233550069</v>
      </c>
      <c r="DF28" s="21">
        <v>0.16035070233550069</v>
      </c>
      <c r="DG28" s="21">
        <v>0.16035070233550069</v>
      </c>
      <c r="DH28" s="21">
        <v>0.16035070233550069</v>
      </c>
      <c r="DI28" s="21">
        <v>0.16035070233550069</v>
      </c>
      <c r="DJ28" s="21">
        <v>0.16035070233550069</v>
      </c>
      <c r="DK28" s="21">
        <v>0.16035070233550069</v>
      </c>
      <c r="DL28" s="21">
        <v>0.16035070233550069</v>
      </c>
      <c r="DM28" s="21">
        <v>0.16035070233550069</v>
      </c>
      <c r="DN28" s="21">
        <v>0.16035070233550069</v>
      </c>
      <c r="DO28" s="21">
        <v>0.16035070233550069</v>
      </c>
      <c r="DP28" s="21">
        <v>0.16035070233550069</v>
      </c>
      <c r="DQ28" s="21">
        <v>0.16035070233550069</v>
      </c>
      <c r="DR28" s="21">
        <v>0.16035070233550069</v>
      </c>
      <c r="DS28" s="21">
        <v>0.16035070233550069</v>
      </c>
      <c r="DT28" s="21">
        <v>0.16035070233550069</v>
      </c>
      <c r="DU28" s="21">
        <v>0.16035070233550069</v>
      </c>
      <c r="DV28" s="21">
        <v>0.16035070233550069</v>
      </c>
      <c r="DW28" s="21">
        <v>0.16035070233550069</v>
      </c>
      <c r="DX28" s="21">
        <v>0.16035070233550069</v>
      </c>
      <c r="DY28" s="21">
        <v>0.16035070233550069</v>
      </c>
      <c r="DZ28" s="21">
        <v>0.16035070233550069</v>
      </c>
      <c r="EA28" s="21">
        <v>0.16035070233550069</v>
      </c>
      <c r="EB28" s="21">
        <v>0.16035070233550069</v>
      </c>
      <c r="EC28" s="21">
        <v>0.16035070233550069</v>
      </c>
      <c r="ED28" s="21">
        <v>0.16035070233550069</v>
      </c>
      <c r="EE28" s="21">
        <v>0.16035070233550069</v>
      </c>
      <c r="EF28" s="21">
        <v>0.16035070233550069</v>
      </c>
      <c r="EG28" s="21">
        <v>0.16035070233550069</v>
      </c>
      <c r="EH28" s="21">
        <v>0.16035070233550069</v>
      </c>
      <c r="EI28" s="21">
        <v>0.16035070233550069</v>
      </c>
      <c r="EJ28" s="21">
        <v>0.16035070233550069</v>
      </c>
      <c r="EK28" s="21">
        <v>0.16035070233550069</v>
      </c>
      <c r="EL28" s="21">
        <v>0.16035070233550069</v>
      </c>
      <c r="EM28" s="21">
        <v>0.16035070233550069</v>
      </c>
      <c r="EN28" s="21">
        <v>0.16035070233550069</v>
      </c>
      <c r="EO28" s="21">
        <v>0.16035070233550069</v>
      </c>
      <c r="EP28" s="21">
        <v>0.16035070233550069</v>
      </c>
    </row>
    <row r="29" spans="1:146" x14ac:dyDescent="0.35">
      <c r="A29" s="8">
        <v>2025</v>
      </c>
      <c r="B29" s="7">
        <v>54041850000.000954</v>
      </c>
      <c r="C29" s="8">
        <v>36388523113.318626</v>
      </c>
      <c r="D29">
        <v>13063492321.103685</v>
      </c>
      <c r="E29">
        <v>551629522.28731525</v>
      </c>
      <c r="F29">
        <v>185019.08687686</v>
      </c>
      <c r="G29" s="7">
        <v>454750000.00067866</v>
      </c>
      <c r="H29" s="8">
        <v>7811230.1032976415</v>
      </c>
      <c r="I29">
        <v>3542846891.4449997</v>
      </c>
      <c r="J29">
        <v>22615221.7942628</v>
      </c>
      <c r="K29" s="7">
        <v>9020024.202606393</v>
      </c>
      <c r="M29" s="277">
        <f t="shared" si="11"/>
        <v>0.67333970086734607</v>
      </c>
      <c r="N29" s="91">
        <f t="shared" si="12"/>
        <v>0.24172918434700985</v>
      </c>
      <c r="O29" s="91">
        <f t="shared" si="13"/>
        <v>1.0207450749508122E-2</v>
      </c>
      <c r="P29" s="91">
        <f t="shared" si="14"/>
        <v>3.4236260763992488E-6</v>
      </c>
      <c r="Q29" s="282">
        <f t="shared" si="15"/>
        <v>8.4147748458032173E-3</v>
      </c>
      <c r="R29" s="277">
        <f t="shared" si="16"/>
        <v>1.4454039051767294E-4</v>
      </c>
      <c r="S29" s="91">
        <f t="shared" si="17"/>
        <v>6.5557468729233681E-2</v>
      </c>
      <c r="T29" s="91">
        <f t="shared" si="17"/>
        <v>4.1847608463186216E-4</v>
      </c>
      <c r="U29" s="282">
        <f t="shared" si="1"/>
        <v>1.6690813143158928E-4</v>
      </c>
      <c r="V29" s="284">
        <f t="shared" si="24"/>
        <v>0.99998192777155848</v>
      </c>
      <c r="X29" s="296">
        <f t="shared" si="18"/>
        <v>0.93369453443574368</v>
      </c>
      <c r="Y29" s="278">
        <f t="shared" si="19"/>
        <v>6.6287393335814807E-2</v>
      </c>
      <c r="AA29" s="277">
        <f t="shared" si="3"/>
        <v>0.72114327254294452</v>
      </c>
      <c r="AB29" s="91">
        <f t="shared" si="4"/>
        <v>0.25889068303055884</v>
      </c>
      <c r="AC29" s="91">
        <f t="shared" si="5"/>
        <v>1.0932125980896839E-2</v>
      </c>
      <c r="AD29" s="91">
        <f t="shared" si="6"/>
        <v>3.666685492504942E-6</v>
      </c>
      <c r="AE29" s="282">
        <f t="shared" si="7"/>
        <v>9.0121795316656737E-3</v>
      </c>
      <c r="AF29" s="91">
        <f t="shared" si="8"/>
        <v>0</v>
      </c>
      <c r="AG29" s="91">
        <f t="shared" si="9"/>
        <v>0</v>
      </c>
      <c r="AH29" s="91">
        <f t="shared" si="23"/>
        <v>0</v>
      </c>
      <c r="AI29" s="282">
        <f t="shared" si="10"/>
        <v>0</v>
      </c>
      <c r="AJ29" s="284">
        <f t="shared" si="22"/>
        <v>0.99998192777155837</v>
      </c>
      <c r="AL29" s="296">
        <f t="shared" si="20"/>
        <v>0.99998192777155837</v>
      </c>
      <c r="AM29" s="278">
        <f t="shared" si="21"/>
        <v>0</v>
      </c>
      <c r="AP29" s="17"/>
      <c r="AQ29" s="9" t="s">
        <v>822</v>
      </c>
      <c r="AR29" s="43">
        <f>(1.13+0.46)*3.6/Charging_eff</f>
        <v>6.4026845637583882</v>
      </c>
      <c r="AS29" s="451" t="s">
        <v>968</v>
      </c>
      <c r="AT29" s="41">
        <f ca="1">OFFSET('Fleet Projection'!$AC$25,'Fleet Projection'!AT26-YEAR(TODAY()),0)</f>
        <v>1.7050765530849644E-3</v>
      </c>
      <c r="AU29" s="41">
        <f ca="1">OFFSET('Fleet Projection'!$AC$25,'Fleet Projection'!AU26-YEAR(TODAY()),0)</f>
        <v>2.9486693287532804E-3</v>
      </c>
      <c r="AV29" s="41">
        <f ca="1">OFFSET('Fleet Projection'!$AC$25,'Fleet Projection'!AV26-YEAR(TODAY()),0)</f>
        <v>3.3483586502423362E-3</v>
      </c>
      <c r="AW29" s="41">
        <f ca="1">OFFSET('Fleet Projection'!$AC$25,'Fleet Projection'!AW26-YEAR(TODAY()),0)</f>
        <v>4.4783489773012209E-3</v>
      </c>
      <c r="AX29" s="41">
        <f ca="1">OFFSET('Fleet Projection'!$AC$25,'Fleet Projection'!AX26-YEAR(TODAY()),0)</f>
        <v>5.8221046613402289E-3</v>
      </c>
      <c r="AY29" s="41">
        <f ca="1">OFFSET('Fleet Projection'!$AC$25,'Fleet Projection'!AY26-YEAR(TODAY()),0)</f>
        <v>7.2876357505062333E-3</v>
      </c>
      <c r="AZ29" s="41">
        <f ca="1">OFFSET('Fleet Projection'!$AC$25,'Fleet Projection'!AZ26-YEAR(TODAY()),0)</f>
        <v>8.9488601300723274E-3</v>
      </c>
      <c r="BA29" s="41">
        <f ca="1">OFFSET('Fleet Projection'!$AC$25,'Fleet Projection'!BA26-YEAR(TODAY()),0)</f>
        <v>1.0932125980896839E-2</v>
      </c>
      <c r="BB29" s="41">
        <f ca="1">OFFSET('Fleet Projection'!$AC$25,'Fleet Projection'!BB26-YEAR(TODAY()),0)</f>
        <v>1.3377588713284986E-2</v>
      </c>
      <c r="BC29" s="41">
        <f ca="1">OFFSET('Fleet Projection'!$AC$25,'Fleet Projection'!BC26-YEAR(TODAY()),0)</f>
        <v>1.6466155900707571E-2</v>
      </c>
      <c r="BD29" s="41">
        <f ca="1">OFFSET('Fleet Projection'!$AC$25,'Fleet Projection'!BD26-YEAR(TODAY()),0)</f>
        <v>2.0424507590677952E-2</v>
      </c>
      <c r="BE29" s="41">
        <f ca="1">OFFSET('Fleet Projection'!$AC$25,'Fleet Projection'!BE26-YEAR(TODAY()),0)</f>
        <v>2.5815140491998397E-2</v>
      </c>
      <c r="BF29" s="41">
        <f ca="1">OFFSET('Fleet Projection'!$AC$25,'Fleet Projection'!BF26-YEAR(TODAY()),0)</f>
        <v>3.3191380748182397E-2</v>
      </c>
      <c r="BG29" s="41">
        <f ca="1">OFFSET('Fleet Projection'!$AC$25,'Fleet Projection'!BG26-YEAR(TODAY()),0)</f>
        <v>4.2630853713177833E-2</v>
      </c>
      <c r="BH29" s="41">
        <f ca="1">OFFSET('Fleet Projection'!$AC$25,'Fleet Projection'!BH26-YEAR(TODAY()),0)</f>
        <v>4.2630853713177833E-2</v>
      </c>
      <c r="BI29" s="41">
        <f ca="1">OFFSET('Fleet Projection'!$AC$25,'Fleet Projection'!BI26-YEAR(TODAY()),0)</f>
        <v>4.2630853713177833E-2</v>
      </c>
      <c r="BJ29" s="41">
        <f ca="1">OFFSET('Fleet Projection'!$AC$25,'Fleet Projection'!BJ26-YEAR(TODAY()),0)</f>
        <v>4.2630853713177833E-2</v>
      </c>
      <c r="BK29" s="41">
        <f ca="1">OFFSET('Fleet Projection'!$AC$25,'Fleet Projection'!BK26-YEAR(TODAY()),0)</f>
        <v>0.10306464946392165</v>
      </c>
      <c r="BL29" s="41">
        <f ca="1">OFFSET('Fleet Projection'!$AC$25,'Fleet Projection'!BL26-YEAR(TODAY()),0)</f>
        <v>0.12556342655246094</v>
      </c>
      <c r="BM29" s="41">
        <f ca="1">OFFSET('Fleet Projection'!$AC$25,'Fleet Projection'!BM26-YEAR(TODAY()),0)</f>
        <v>0.15197972112744307</v>
      </c>
      <c r="BN29" s="41">
        <f ca="1">OFFSET('Fleet Projection'!$AC$25,'Fleet Projection'!BN26-YEAR(TODAY()),0)</f>
        <v>0.18273401857876306</v>
      </c>
      <c r="BO29" s="41">
        <f ca="1">OFFSET('Fleet Projection'!$AC$25,'Fleet Projection'!BO26-YEAR(TODAY()),0)</f>
        <v>0.21805154334900942</v>
      </c>
      <c r="BP29" s="41">
        <f ca="1">OFFSET('Fleet Projection'!$AC$25,'Fleet Projection'!BP26-YEAR(TODAY()),0)</f>
        <v>0.25803217584799865</v>
      </c>
      <c r="BQ29" s="41">
        <f ca="1">OFFSET('Fleet Projection'!$AC$25,'Fleet Projection'!BQ26-YEAR(TODAY()),0)</f>
        <v>0.30238759880255045</v>
      </c>
      <c r="BR29" s="41">
        <f ca="1">OFFSET('Fleet Projection'!$AC$25,'Fleet Projection'!BR26-YEAR(TODAY()),0)</f>
        <v>0.34716101158649676</v>
      </c>
      <c r="BS29" s="41">
        <f ca="1">OFFSET('Fleet Projection'!$AC$25,'Fleet Projection'!BS26-YEAR(TODAY()),0)</f>
        <v>0.39054651695273984</v>
      </c>
      <c r="BT29" s="41">
        <f ca="1">OFFSET('Fleet Projection'!$AC$25,'Fleet Projection'!BT26-YEAR(TODAY()),0)</f>
        <v>0.43178730805216903</v>
      </c>
      <c r="BU29" s="41">
        <f ca="1">OFFSET('Fleet Projection'!$AC$25,'Fleet Projection'!BU26-YEAR(TODAY()),0)</f>
        <v>0.47102562960733629</v>
      </c>
      <c r="BV29" s="41">
        <f ca="1">OFFSET('Fleet Projection'!$AC$25,'Fleet Projection'!BV26-YEAR(TODAY()),0)</f>
        <v>0.50832368202872025</v>
      </c>
      <c r="BW29" s="41">
        <f ca="1">OFFSET('Fleet Projection'!$AC$25,'Fleet Projection'!BW26-YEAR(TODAY()),0)</f>
        <v>0.54333607933883543</v>
      </c>
      <c r="BX29" s="41">
        <f ca="1">OFFSET('Fleet Projection'!$AC$25,'Fleet Projection'!BX26-YEAR(TODAY()),0)</f>
        <v>0.57584834391580553</v>
      </c>
      <c r="BY29" s="41">
        <f ca="1">OFFSET('Fleet Projection'!$AC$25,'Fleet Projection'!BY26-YEAR(TODAY()),0)</f>
        <v>0.605740354248132</v>
      </c>
      <c r="BZ29" s="41">
        <f ca="1">OFFSET('Fleet Projection'!$AC$25,'Fleet Projection'!BZ26-YEAR(TODAY()),0)</f>
        <v>0.63315743462514318</v>
      </c>
      <c r="CA29" s="41">
        <f ca="1">OFFSET('Fleet Projection'!$AC$25,'Fleet Projection'!CA26-YEAR(TODAY()),0)</f>
        <v>0.65822865161797417</v>
      </c>
      <c r="CB29" s="41">
        <f ca="1">OFFSET('Fleet Projection'!$AC$25,'Fleet Projection'!CB26-YEAR(TODAY()),0)</f>
        <v>0.68103286100695137</v>
      </c>
      <c r="CC29" s="301">
        <v>0.69275778378136144</v>
      </c>
      <c r="CD29" s="42">
        <v>0.69275778378136144</v>
      </c>
      <c r="CE29" s="42">
        <v>0.69275778378136144</v>
      </c>
      <c r="CF29" s="42">
        <v>0.69275778378136144</v>
      </c>
      <c r="CG29" s="42">
        <v>0.69275778378136144</v>
      </c>
      <c r="CH29" s="42">
        <v>0.69275778378136144</v>
      </c>
      <c r="CI29" s="42">
        <v>0.69275778378136144</v>
      </c>
      <c r="CJ29" s="42">
        <v>0.69275778378136144</v>
      </c>
      <c r="CK29" s="42">
        <v>0.69275778378136144</v>
      </c>
      <c r="CL29" s="42">
        <v>0.69275778378136144</v>
      </c>
      <c r="CM29" s="42">
        <v>0.69275778378136144</v>
      </c>
      <c r="CN29" s="42">
        <v>0.69275778378136144</v>
      </c>
      <c r="CO29" s="42">
        <v>0.69275778378136144</v>
      </c>
      <c r="CP29" s="42">
        <v>0.69275778378136144</v>
      </c>
      <c r="CQ29" s="42">
        <v>0.69275778378136144</v>
      </c>
      <c r="CR29" s="42">
        <v>0.69275778378136144</v>
      </c>
      <c r="CS29" s="42">
        <v>0.69275778378136144</v>
      </c>
      <c r="CT29" s="42">
        <v>0.69275778378136144</v>
      </c>
      <c r="CU29" s="42">
        <v>0.69275778378136144</v>
      </c>
      <c r="CV29" s="42">
        <v>0.69275778378136144</v>
      </c>
      <c r="CW29" s="42">
        <v>0.69275778378136144</v>
      </c>
      <c r="CX29" s="42">
        <v>0.69275778378136144</v>
      </c>
      <c r="CY29" s="42">
        <v>0.69275778378136144</v>
      </c>
      <c r="CZ29" s="42">
        <v>0.69275778378136144</v>
      </c>
      <c r="DA29" s="42">
        <v>0.69275778378136144</v>
      </c>
      <c r="DB29" s="42">
        <v>0.69275778378136144</v>
      </c>
      <c r="DC29" s="42">
        <v>0.69275778378136144</v>
      </c>
      <c r="DD29" s="42">
        <v>0.69275778378136144</v>
      </c>
      <c r="DE29" s="42">
        <v>0.69275778378136144</v>
      </c>
      <c r="DF29" s="42">
        <v>0.69275778378136144</v>
      </c>
      <c r="DG29" s="42">
        <v>0.69275778378136144</v>
      </c>
      <c r="DH29" s="42">
        <v>0.69275778378136144</v>
      </c>
      <c r="DI29" s="42">
        <v>0.69275778378136144</v>
      </c>
      <c r="DJ29" s="42">
        <v>0.69275778378136144</v>
      </c>
      <c r="DK29" s="42">
        <v>0.69275778378136144</v>
      </c>
      <c r="DL29" s="42">
        <v>0.69275778378136144</v>
      </c>
      <c r="DM29" s="42">
        <v>0.69275778378136144</v>
      </c>
      <c r="DN29" s="42">
        <v>0.69275778378136144</v>
      </c>
      <c r="DO29" s="42">
        <v>0.69275778378136144</v>
      </c>
      <c r="DP29" s="42">
        <v>0.69275778378136144</v>
      </c>
      <c r="DQ29" s="42">
        <v>0.69275778378136144</v>
      </c>
      <c r="DR29" s="42">
        <v>0.69275778378136144</v>
      </c>
      <c r="DS29" s="42">
        <v>0.69275778378136144</v>
      </c>
      <c r="DT29" s="42">
        <v>0.69275778378136144</v>
      </c>
      <c r="DU29" s="42">
        <v>0.69275778378136144</v>
      </c>
      <c r="DV29" s="42">
        <v>0.69275778378136144</v>
      </c>
      <c r="DW29" s="42">
        <v>0.69275778378136144</v>
      </c>
      <c r="DX29" s="42">
        <v>0.69275778378136144</v>
      </c>
      <c r="DY29" s="42">
        <v>0.69275778378136144</v>
      </c>
      <c r="DZ29" s="42">
        <v>0.69275778378136144</v>
      </c>
      <c r="EA29" s="42">
        <v>0.69275778378136144</v>
      </c>
      <c r="EB29" s="42">
        <v>0.69275778378136144</v>
      </c>
      <c r="EC29" s="42">
        <v>0.69275778378136144</v>
      </c>
      <c r="ED29" s="42">
        <v>0.69275778378136144</v>
      </c>
      <c r="EE29" s="42">
        <v>0.69275778378136144</v>
      </c>
      <c r="EF29" s="42">
        <v>0.69275778378136144</v>
      </c>
      <c r="EG29" s="42">
        <v>0.69275778378136144</v>
      </c>
      <c r="EH29" s="42">
        <v>0.69275778378136144</v>
      </c>
      <c r="EI29" s="42">
        <v>0.69275778378136144</v>
      </c>
      <c r="EJ29" s="42">
        <v>0.69275778378136144</v>
      </c>
      <c r="EK29" s="42">
        <v>0.69275778378136144</v>
      </c>
      <c r="EL29" s="42">
        <v>0.69275778378136144</v>
      </c>
      <c r="EM29" s="42">
        <v>0.69275778378136144</v>
      </c>
      <c r="EN29" s="42">
        <v>0.69275778378136144</v>
      </c>
      <c r="EO29" s="42">
        <v>0.69275778378136144</v>
      </c>
      <c r="EP29" s="42">
        <v>0.69275778378136144</v>
      </c>
    </row>
    <row r="30" spans="1:146" x14ac:dyDescent="0.35">
      <c r="A30" s="8">
        <v>2026</v>
      </c>
      <c r="B30" s="7">
        <v>54712870000.006256</v>
      </c>
      <c r="C30" s="8">
        <v>36758140243.402435</v>
      </c>
      <c r="D30">
        <v>13200330820.348261</v>
      </c>
      <c r="E30">
        <v>683594452.77200508</v>
      </c>
      <c r="F30">
        <v>186126.3646845</v>
      </c>
      <c r="G30" s="7">
        <v>456889999.99889833</v>
      </c>
      <c r="H30" s="8">
        <v>7353846.142733627</v>
      </c>
      <c r="I30">
        <v>3569955174.9370236</v>
      </c>
      <c r="J30">
        <v>27828384.220413823</v>
      </c>
      <c r="K30" s="7">
        <v>7698357.120401768</v>
      </c>
      <c r="M30" s="277">
        <f t="shared" si="11"/>
        <v>0.67183717913898933</v>
      </c>
      <c r="N30" s="91">
        <f t="shared" si="12"/>
        <v>0.24126555269988123</v>
      </c>
      <c r="O30" s="91">
        <f t="shared" si="13"/>
        <v>1.249421667647716E-2</v>
      </c>
      <c r="P30" s="91">
        <f t="shared" si="14"/>
        <v>3.4018753665175801E-6</v>
      </c>
      <c r="Q30" s="282">
        <f t="shared" si="15"/>
        <v>8.3506860451452482E-3</v>
      </c>
      <c r="R30" s="277">
        <f t="shared" si="16"/>
        <v>1.3440797645476808E-4</v>
      </c>
      <c r="S30" s="91">
        <f t="shared" si="17"/>
        <v>6.5248910812695723E-2</v>
      </c>
      <c r="T30" s="91">
        <f t="shared" si="17"/>
        <v>5.0862592696034113E-4</v>
      </c>
      <c r="U30" s="282">
        <f t="shared" si="1"/>
        <v>1.4070468466378911E-4</v>
      </c>
      <c r="V30" s="284">
        <f t="shared" si="24"/>
        <v>0.99998368583663411</v>
      </c>
      <c r="X30" s="296">
        <f t="shared" si="18"/>
        <v>0.93395103643585953</v>
      </c>
      <c r="Y30" s="278">
        <f t="shared" si="19"/>
        <v>6.6032649400774621E-2</v>
      </c>
      <c r="AA30" s="277">
        <f t="shared" si="3"/>
        <v>0.71933773021047676</v>
      </c>
      <c r="AB30" s="91">
        <f t="shared" si="4"/>
        <v>0.25832362430362688</v>
      </c>
      <c r="AC30" s="91">
        <f t="shared" si="5"/>
        <v>1.3377588713284986E-2</v>
      </c>
      <c r="AD30" s="91">
        <f t="shared" si="6"/>
        <v>3.6423963731001493E-6</v>
      </c>
      <c r="AE30" s="282">
        <f t="shared" si="7"/>
        <v>8.9411002128722151E-3</v>
      </c>
      <c r="AF30" s="91">
        <f t="shared" si="8"/>
        <v>0</v>
      </c>
      <c r="AG30" s="91">
        <f t="shared" si="9"/>
        <v>0</v>
      </c>
      <c r="AH30" s="91">
        <f t="shared" si="23"/>
        <v>0</v>
      </c>
      <c r="AI30" s="282">
        <f t="shared" si="10"/>
        <v>0</v>
      </c>
      <c r="AJ30" s="284">
        <f t="shared" si="22"/>
        <v>0.99998368583663388</v>
      </c>
      <c r="AL30" s="296">
        <f t="shared" si="20"/>
        <v>0.99998368583663388</v>
      </c>
      <c r="AM30" s="278">
        <f t="shared" si="21"/>
        <v>0</v>
      </c>
      <c r="AP30" s="309" t="s">
        <v>969</v>
      </c>
      <c r="AQ30" t="s">
        <v>132</v>
      </c>
      <c r="AR30" s="31">
        <f>0.71*3.78541*0.835</f>
        <v>2.2441803184999998</v>
      </c>
      <c r="AS30" s="45" t="s">
        <v>970</v>
      </c>
      <c r="AT30" s="21">
        <f ca="1">OFFSET('Fleet Projection'!$AG$25,'Fleet Projection'!AT26-YEAR(TODAY()),0)</f>
        <v>0</v>
      </c>
      <c r="AU30" s="39">
        <f ca="1">OFFSET('Fleet Projection'!$AG$25,'Fleet Projection'!AU26-YEAR(TODAY()),0)</f>
        <v>0</v>
      </c>
      <c r="AV30" s="39">
        <f ca="1">OFFSET('Fleet Projection'!$AG$25,'Fleet Projection'!AV26-YEAR(TODAY()),0)</f>
        <v>0</v>
      </c>
      <c r="AW30" s="39">
        <f ca="1">OFFSET('Fleet Projection'!$AG$25,'Fleet Projection'!AW26-YEAR(TODAY()),0)</f>
        <v>0</v>
      </c>
      <c r="AX30" s="39">
        <f ca="1">OFFSET('Fleet Projection'!$AG$25,'Fleet Projection'!AX26-YEAR(TODAY()),0)</f>
        <v>0</v>
      </c>
      <c r="AY30" s="39">
        <f ca="1">OFFSET('Fleet Projection'!$AG$25,'Fleet Projection'!AY26-YEAR(TODAY()),0)</f>
        <v>0</v>
      </c>
      <c r="AZ30" s="39">
        <f ca="1">OFFSET('Fleet Projection'!$AG$25,'Fleet Projection'!AZ26-YEAR(TODAY()),0)</f>
        <v>0</v>
      </c>
      <c r="BA30" s="39">
        <f ca="1">OFFSET('Fleet Projection'!$AG$25,'Fleet Projection'!BA26-YEAR(TODAY()),0)</f>
        <v>0</v>
      </c>
      <c r="BB30" s="39">
        <f ca="1">OFFSET('Fleet Projection'!$AG$25,'Fleet Projection'!BB26-YEAR(TODAY()),0)</f>
        <v>0</v>
      </c>
      <c r="BC30" s="39">
        <f ca="1">OFFSET('Fleet Projection'!$AG$25,'Fleet Projection'!BC26-YEAR(TODAY()),0)</f>
        <v>0</v>
      </c>
      <c r="BD30" s="39">
        <f ca="1">OFFSET('Fleet Projection'!$AG$25,'Fleet Projection'!BD26-YEAR(TODAY()),0)</f>
        <v>0</v>
      </c>
      <c r="BE30" s="39">
        <f ca="1">OFFSET('Fleet Projection'!$AG$25,'Fleet Projection'!BE26-YEAR(TODAY()),0)</f>
        <v>0</v>
      </c>
      <c r="BF30" s="39">
        <f ca="1">OFFSET('Fleet Projection'!$AG$25,'Fleet Projection'!BF26-YEAR(TODAY()),0)</f>
        <v>0</v>
      </c>
      <c r="BG30" s="39">
        <f ca="1">OFFSET('Fleet Projection'!$AG$25,'Fleet Projection'!BG26-YEAR(TODAY()),0)</f>
        <v>0</v>
      </c>
      <c r="BH30" s="39">
        <f ca="1">OFFSET('Fleet Projection'!$AG$25,'Fleet Projection'!BH26-YEAR(TODAY()),0)</f>
        <v>0</v>
      </c>
      <c r="BI30" s="39">
        <f ca="1">OFFSET('Fleet Projection'!$AG$25,'Fleet Projection'!BI26-YEAR(TODAY()),0)</f>
        <v>0</v>
      </c>
      <c r="BJ30" s="39">
        <f ca="1">OFFSET('Fleet Projection'!$AG$25,'Fleet Projection'!BJ26-YEAR(TODAY()),0)</f>
        <v>0</v>
      </c>
      <c r="BK30" s="39">
        <f ca="1">OFFSET('Fleet Projection'!$AG$25,'Fleet Projection'!BK26-YEAR(TODAY()),0)</f>
        <v>0</v>
      </c>
      <c r="BL30" s="39">
        <f ca="1">OFFSET('Fleet Projection'!$AG$25,'Fleet Projection'!BL26-YEAR(TODAY()),0)</f>
        <v>0</v>
      </c>
      <c r="BM30" s="39">
        <f ca="1">OFFSET('Fleet Projection'!$AG$25,'Fleet Projection'!BM26-YEAR(TODAY()),0)</f>
        <v>0</v>
      </c>
      <c r="BN30" s="39">
        <f ca="1">OFFSET('Fleet Projection'!$AG$25,'Fleet Projection'!BN26-YEAR(TODAY()),0)</f>
        <v>0</v>
      </c>
      <c r="BO30" s="39">
        <f ca="1">OFFSET('Fleet Projection'!$AG$25,'Fleet Projection'!BO26-YEAR(TODAY()),0)</f>
        <v>0</v>
      </c>
      <c r="BP30" s="39">
        <f ca="1">OFFSET('Fleet Projection'!$AG$25,'Fleet Projection'!BP26-YEAR(TODAY()),0)</f>
        <v>0</v>
      </c>
      <c r="BQ30" s="39">
        <f ca="1">OFFSET('Fleet Projection'!$AG$25,'Fleet Projection'!BQ26-YEAR(TODAY()),0)</f>
        <v>0</v>
      </c>
      <c r="BR30" s="39">
        <f ca="1">OFFSET('Fleet Projection'!$AG$25,'Fleet Projection'!BR26-YEAR(TODAY()),0)</f>
        <v>0</v>
      </c>
      <c r="BS30" s="39">
        <f ca="1">OFFSET('Fleet Projection'!$AG$25,'Fleet Projection'!BS26-YEAR(TODAY()),0)</f>
        <v>0</v>
      </c>
      <c r="BT30" s="39">
        <f ca="1">OFFSET('Fleet Projection'!$AG$25,'Fleet Projection'!BT26-YEAR(TODAY()),0)</f>
        <v>0</v>
      </c>
      <c r="BU30" s="39">
        <f ca="1">OFFSET('Fleet Projection'!$AG$25,'Fleet Projection'!BU26-YEAR(TODAY()),0)</f>
        <v>0</v>
      </c>
      <c r="BV30" s="39">
        <f ca="1">OFFSET('Fleet Projection'!$AG$25,'Fleet Projection'!BV26-YEAR(TODAY()),0)</f>
        <v>0</v>
      </c>
      <c r="BW30" s="39">
        <f ca="1">OFFSET('Fleet Projection'!$AG$25,'Fleet Projection'!BW26-YEAR(TODAY()),0)</f>
        <v>0</v>
      </c>
      <c r="BX30" s="39">
        <f ca="1">OFFSET('Fleet Projection'!$AG$25,'Fleet Projection'!BX26-YEAR(TODAY()),0)</f>
        <v>0</v>
      </c>
      <c r="BY30" s="39">
        <f ca="1">OFFSET('Fleet Projection'!$AG$25,'Fleet Projection'!BY26-YEAR(TODAY()),0)</f>
        <v>0</v>
      </c>
      <c r="BZ30" s="39">
        <f ca="1">OFFSET('Fleet Projection'!$AG$25,'Fleet Projection'!BZ26-YEAR(TODAY()),0)</f>
        <v>0</v>
      </c>
      <c r="CA30" s="39">
        <f ca="1">OFFSET('Fleet Projection'!$AG$25,'Fleet Projection'!CA26-YEAR(TODAY()),0)</f>
        <v>0</v>
      </c>
      <c r="CB30" s="39">
        <f ca="1">OFFSET('Fleet Projection'!$AG$25,'Fleet Projection'!CB26-YEAR(TODAY()),0)</f>
        <v>0</v>
      </c>
      <c r="CC30" s="302">
        <v>4.6863849531309905E-2</v>
      </c>
      <c r="CD30" s="39">
        <v>4.6863849531309905E-2</v>
      </c>
      <c r="CE30" s="39">
        <v>4.6863849531309905E-2</v>
      </c>
      <c r="CF30" s="39">
        <v>4.6863849531309905E-2</v>
      </c>
      <c r="CG30" s="39">
        <v>4.6863849531309905E-2</v>
      </c>
      <c r="CH30" s="39">
        <v>4.6863849531309905E-2</v>
      </c>
      <c r="CI30" s="39">
        <v>4.6863849531309905E-2</v>
      </c>
      <c r="CJ30" s="39">
        <v>4.6863849531309905E-2</v>
      </c>
      <c r="CK30" s="39">
        <v>4.6863849531309905E-2</v>
      </c>
      <c r="CL30" s="39">
        <v>4.6863849531309905E-2</v>
      </c>
      <c r="CM30" s="39">
        <v>4.6863849531309905E-2</v>
      </c>
      <c r="CN30" s="39">
        <v>4.6863849531309905E-2</v>
      </c>
      <c r="CO30" s="39">
        <v>4.6863849531309905E-2</v>
      </c>
      <c r="CP30" s="39">
        <v>4.6863849531309905E-2</v>
      </c>
      <c r="CQ30" s="39">
        <v>4.6863849531309905E-2</v>
      </c>
      <c r="CR30" s="39">
        <v>4.6863849531309905E-2</v>
      </c>
      <c r="CS30" s="39">
        <v>4.6863849531309905E-2</v>
      </c>
      <c r="CT30" s="39">
        <v>4.6863849531309905E-2</v>
      </c>
      <c r="CU30" s="39">
        <v>4.6863849531309905E-2</v>
      </c>
      <c r="CV30" s="39">
        <v>4.6863849531309905E-2</v>
      </c>
      <c r="CW30" s="39">
        <v>4.6863849531309905E-2</v>
      </c>
      <c r="CX30" s="39">
        <v>4.6863849531309905E-2</v>
      </c>
      <c r="CY30" s="39">
        <v>4.6863849531309905E-2</v>
      </c>
      <c r="CZ30" s="39">
        <v>4.6863849531309905E-2</v>
      </c>
      <c r="DA30" s="39">
        <v>4.6863849531309905E-2</v>
      </c>
      <c r="DB30" s="39">
        <v>4.6863849531309905E-2</v>
      </c>
      <c r="DC30" s="39">
        <v>4.6863849531309905E-2</v>
      </c>
      <c r="DD30" s="39">
        <v>4.6863849531309905E-2</v>
      </c>
      <c r="DE30" s="39">
        <v>4.6863849531309905E-2</v>
      </c>
      <c r="DF30" s="39">
        <v>4.6863849531309905E-2</v>
      </c>
      <c r="DG30" s="39">
        <v>4.6863849531309905E-2</v>
      </c>
      <c r="DH30" s="39">
        <v>4.6863849531309905E-2</v>
      </c>
      <c r="DI30" s="39">
        <v>4.6863849531309905E-2</v>
      </c>
      <c r="DJ30" s="39">
        <v>4.6863849531309905E-2</v>
      </c>
      <c r="DK30" s="39">
        <v>4.6863849531309905E-2</v>
      </c>
      <c r="DL30" s="39">
        <v>4.6863849531309905E-2</v>
      </c>
      <c r="DM30" s="39">
        <v>4.6863849531309905E-2</v>
      </c>
      <c r="DN30" s="39">
        <v>4.6863849531309905E-2</v>
      </c>
      <c r="DO30" s="39">
        <v>4.6863849531309905E-2</v>
      </c>
      <c r="DP30" s="39">
        <v>4.6863849531309905E-2</v>
      </c>
      <c r="DQ30" s="39">
        <v>4.6863849531309905E-2</v>
      </c>
      <c r="DR30" s="39">
        <v>4.6863849531309905E-2</v>
      </c>
      <c r="DS30" s="39">
        <v>4.6863849531309905E-2</v>
      </c>
      <c r="DT30" s="39">
        <v>4.6863849531309905E-2</v>
      </c>
      <c r="DU30" s="39">
        <v>4.6863849531309905E-2</v>
      </c>
      <c r="DV30" s="39">
        <v>4.6863849531309905E-2</v>
      </c>
      <c r="DW30" s="39">
        <v>4.6863849531309905E-2</v>
      </c>
      <c r="DX30" s="39">
        <v>4.6863849531309905E-2</v>
      </c>
      <c r="DY30" s="39">
        <v>4.6863849531309905E-2</v>
      </c>
      <c r="DZ30" s="39">
        <v>4.6863849531309905E-2</v>
      </c>
      <c r="EA30" s="39">
        <v>4.6863849531309905E-2</v>
      </c>
      <c r="EB30" s="39">
        <v>4.6863849531309905E-2</v>
      </c>
      <c r="EC30" s="39">
        <v>4.6863849531309905E-2</v>
      </c>
      <c r="ED30" s="39">
        <v>4.6863849531309905E-2</v>
      </c>
      <c r="EE30" s="39">
        <v>4.6863849531309905E-2</v>
      </c>
      <c r="EF30" s="39">
        <v>4.6863849531309905E-2</v>
      </c>
      <c r="EG30" s="39">
        <v>4.6863849531309905E-2</v>
      </c>
      <c r="EH30" s="39">
        <v>4.6863849531309905E-2</v>
      </c>
      <c r="EI30" s="39">
        <v>4.6863849531309905E-2</v>
      </c>
      <c r="EJ30" s="39">
        <v>4.6863849531309905E-2</v>
      </c>
      <c r="EK30" s="39">
        <v>4.6863849531309905E-2</v>
      </c>
      <c r="EL30" s="39">
        <v>4.6863849531309905E-2</v>
      </c>
      <c r="EM30" s="39">
        <v>4.6863849531309905E-2</v>
      </c>
      <c r="EN30" s="39">
        <v>4.6863849531309905E-2</v>
      </c>
      <c r="EO30" s="39">
        <v>4.6863849531309905E-2</v>
      </c>
      <c r="EP30" s="39">
        <v>4.6863849531309905E-2</v>
      </c>
    </row>
    <row r="31" spans="1:146" x14ac:dyDescent="0.35">
      <c r="A31" s="8">
        <v>2027</v>
      </c>
      <c r="B31" s="7">
        <v>55383890000.031029</v>
      </c>
      <c r="C31" s="8">
        <v>37111835643.492889</v>
      </c>
      <c r="D31">
        <v>13316311186.788324</v>
      </c>
      <c r="E31">
        <v>851960179.7037276</v>
      </c>
      <c r="F31">
        <v>180372.87590306997</v>
      </c>
      <c r="G31" s="7">
        <v>459030000.00016284</v>
      </c>
      <c r="H31" s="8">
        <v>6835490.2842264818</v>
      </c>
      <c r="I31">
        <v>3595806699.0905199</v>
      </c>
      <c r="J31">
        <v>34354339.185116358</v>
      </c>
      <c r="K31" s="7">
        <v>6762617.1697555827</v>
      </c>
      <c r="M31" s="277">
        <f t="shared" si="11"/>
        <v>0.67008358646299671</v>
      </c>
      <c r="N31" s="91">
        <f t="shared" si="12"/>
        <v>0.24043654547885429</v>
      </c>
      <c r="O31" s="91">
        <f t="shared" si="13"/>
        <v>1.5382815827910432E-2</v>
      </c>
      <c r="P31" s="91">
        <f t="shared" si="14"/>
        <v>3.2567751362890711E-6</v>
      </c>
      <c r="Q31" s="282">
        <f t="shared" si="15"/>
        <v>8.2881502184101851E-3</v>
      </c>
      <c r="R31" s="277">
        <f t="shared" si="16"/>
        <v>1.2342019103791106E-4</v>
      </c>
      <c r="S31" s="91">
        <f t="shared" si="17"/>
        <v>6.492513796139103E-2</v>
      </c>
      <c r="T31" s="91">
        <f t="shared" si="17"/>
        <v>6.2029480386980966E-4</v>
      </c>
      <c r="U31" s="282">
        <f t="shared" si="1"/>
        <v>1.2210440923798949E-4</v>
      </c>
      <c r="V31" s="284">
        <f t="shared" si="24"/>
        <v>0.99998531212884467</v>
      </c>
      <c r="X31" s="296">
        <f t="shared" si="18"/>
        <v>0.93419435476330792</v>
      </c>
      <c r="Y31" s="278">
        <f t="shared" si="19"/>
        <v>6.5790957365536737E-2</v>
      </c>
      <c r="AA31" s="277">
        <f t="shared" si="3"/>
        <v>0.71727445252159394</v>
      </c>
      <c r="AB31" s="91">
        <f t="shared" si="4"/>
        <v>0.25736937153593759</v>
      </c>
      <c r="AC31" s="91">
        <f t="shared" si="5"/>
        <v>1.6466155900707571E-2</v>
      </c>
      <c r="AD31" s="91">
        <f t="shared" si="6"/>
        <v>3.4861346406023059E-6</v>
      </c>
      <c r="AE31" s="282">
        <f t="shared" si="7"/>
        <v>8.8718460359649212E-3</v>
      </c>
      <c r="AF31" s="91">
        <f t="shared" si="8"/>
        <v>0</v>
      </c>
      <c r="AG31" s="91">
        <f t="shared" si="9"/>
        <v>0</v>
      </c>
      <c r="AH31" s="91">
        <f t="shared" si="23"/>
        <v>0</v>
      </c>
      <c r="AI31" s="282">
        <f t="shared" si="10"/>
        <v>0</v>
      </c>
      <c r="AJ31" s="284">
        <f t="shared" si="22"/>
        <v>0.99998531212884456</v>
      </c>
      <c r="AL31" s="296">
        <f t="shared" si="20"/>
        <v>0.99998531212884456</v>
      </c>
      <c r="AM31" s="278">
        <f t="shared" si="21"/>
        <v>0</v>
      </c>
      <c r="AP31" s="8"/>
      <c r="AQ31" t="s">
        <v>821</v>
      </c>
      <c r="AR31">
        <v>0</v>
      </c>
      <c r="AS31" s="7" t="s">
        <v>971</v>
      </c>
      <c r="AT31" s="21">
        <f ca="1">OFFSET('Fleet Projection'!$AF$25,'Fleet Projection'!AT26-YEAR(TODAY()),0)</f>
        <v>0</v>
      </c>
      <c r="AU31" s="21">
        <f ca="1">OFFSET('Fleet Projection'!$AF$25,'Fleet Projection'!AU26-YEAR(TODAY()),0)</f>
        <v>0</v>
      </c>
      <c r="AV31" s="21">
        <f ca="1">OFFSET('Fleet Projection'!$AF$25,'Fleet Projection'!AV26-YEAR(TODAY()),0)</f>
        <v>0</v>
      </c>
      <c r="AW31" s="21">
        <f ca="1">OFFSET('Fleet Projection'!$AF$25,'Fleet Projection'!AW26-YEAR(TODAY()),0)</f>
        <v>0</v>
      </c>
      <c r="AX31" s="21">
        <f ca="1">OFFSET('Fleet Projection'!$AF$25,'Fleet Projection'!AX26-YEAR(TODAY()),0)</f>
        <v>0</v>
      </c>
      <c r="AY31" s="21">
        <f ca="1">OFFSET('Fleet Projection'!$AF$25,'Fleet Projection'!AY26-YEAR(TODAY()),0)</f>
        <v>0</v>
      </c>
      <c r="AZ31" s="21">
        <f ca="1">OFFSET('Fleet Projection'!$AF$25,'Fleet Projection'!AZ26-YEAR(TODAY()),0)</f>
        <v>0</v>
      </c>
      <c r="BA31" s="21">
        <f ca="1">OFFSET('Fleet Projection'!$AF$25,'Fleet Projection'!BA26-YEAR(TODAY()),0)</f>
        <v>0</v>
      </c>
      <c r="BB31" s="21">
        <f ca="1">OFFSET('Fleet Projection'!$AF$25,'Fleet Projection'!BB26-YEAR(TODAY()),0)</f>
        <v>0</v>
      </c>
      <c r="BC31" s="21">
        <f ca="1">OFFSET('Fleet Projection'!$AF$25,'Fleet Projection'!BC26-YEAR(TODAY()),0)</f>
        <v>0</v>
      </c>
      <c r="BD31" s="21">
        <f ca="1">OFFSET('Fleet Projection'!$AF$25,'Fleet Projection'!BD26-YEAR(TODAY()),0)</f>
        <v>0</v>
      </c>
      <c r="BE31" s="21">
        <f ca="1">OFFSET('Fleet Projection'!$AF$25,'Fleet Projection'!BE26-YEAR(TODAY()),0)</f>
        <v>0</v>
      </c>
      <c r="BF31" s="21">
        <f ca="1">OFFSET('Fleet Projection'!$AF$25,'Fleet Projection'!BF26-YEAR(TODAY()),0)</f>
        <v>0</v>
      </c>
      <c r="BG31" s="21">
        <f ca="1">OFFSET('Fleet Projection'!$AF$25,'Fleet Projection'!BG26-YEAR(TODAY()),0)</f>
        <v>0</v>
      </c>
      <c r="BH31" s="21">
        <f ca="1">OFFSET('Fleet Projection'!$AF$25,'Fleet Projection'!BH26-YEAR(TODAY()),0)</f>
        <v>0</v>
      </c>
      <c r="BI31" s="21">
        <f ca="1">OFFSET('Fleet Projection'!$AF$25,'Fleet Projection'!BI26-YEAR(TODAY()),0)</f>
        <v>0</v>
      </c>
      <c r="BJ31" s="21">
        <f ca="1">OFFSET('Fleet Projection'!$AF$25,'Fleet Projection'!BJ26-YEAR(TODAY()),0)</f>
        <v>0</v>
      </c>
      <c r="BK31" s="21">
        <f ca="1">OFFSET('Fleet Projection'!$AF$25,'Fleet Projection'!BK26-YEAR(TODAY()),0)</f>
        <v>0</v>
      </c>
      <c r="BL31" s="21">
        <f ca="1">OFFSET('Fleet Projection'!$AF$25,'Fleet Projection'!BL26-YEAR(TODAY()),0)</f>
        <v>0</v>
      </c>
      <c r="BM31" s="21">
        <f ca="1">OFFSET('Fleet Projection'!$AF$25,'Fleet Projection'!BM26-YEAR(TODAY()),0)</f>
        <v>0</v>
      </c>
      <c r="BN31" s="21">
        <f ca="1">OFFSET('Fleet Projection'!$AF$25,'Fleet Projection'!BN26-YEAR(TODAY()),0)</f>
        <v>0</v>
      </c>
      <c r="BO31" s="21">
        <f ca="1">OFFSET('Fleet Projection'!$AF$25,'Fleet Projection'!BO26-YEAR(TODAY()),0)</f>
        <v>0</v>
      </c>
      <c r="BP31" s="21">
        <f ca="1">OFFSET('Fleet Projection'!$AF$25,'Fleet Projection'!BP26-YEAR(TODAY()),0)</f>
        <v>0</v>
      </c>
      <c r="BQ31" s="21">
        <f ca="1">OFFSET('Fleet Projection'!$AF$25,'Fleet Projection'!BQ26-YEAR(TODAY()),0)</f>
        <v>0</v>
      </c>
      <c r="BR31" s="21">
        <f ca="1">OFFSET('Fleet Projection'!$AF$25,'Fleet Projection'!BR26-YEAR(TODAY()),0)</f>
        <v>0</v>
      </c>
      <c r="BS31" s="21">
        <f ca="1">OFFSET('Fleet Projection'!$AF$25,'Fleet Projection'!BS26-YEAR(TODAY()),0)</f>
        <v>0</v>
      </c>
      <c r="BT31" s="21">
        <f ca="1">OFFSET('Fleet Projection'!$AF$25,'Fleet Projection'!BT26-YEAR(TODAY()),0)</f>
        <v>0</v>
      </c>
      <c r="BU31" s="21">
        <f ca="1">OFFSET('Fleet Projection'!$AF$25,'Fleet Projection'!BU26-YEAR(TODAY()),0)</f>
        <v>0</v>
      </c>
      <c r="BV31" s="21">
        <f ca="1">OFFSET('Fleet Projection'!$AF$25,'Fleet Projection'!BV26-YEAR(TODAY()),0)</f>
        <v>0</v>
      </c>
      <c r="BW31" s="21">
        <f ca="1">OFFSET('Fleet Projection'!$AF$25,'Fleet Projection'!BW26-YEAR(TODAY()),0)</f>
        <v>0</v>
      </c>
      <c r="BX31" s="21">
        <f ca="1">OFFSET('Fleet Projection'!$AF$25,'Fleet Projection'!BX26-YEAR(TODAY()),0)</f>
        <v>0</v>
      </c>
      <c r="BY31" s="21">
        <f ca="1">OFFSET('Fleet Projection'!$AF$25,'Fleet Projection'!BY26-YEAR(TODAY()),0)</f>
        <v>0</v>
      </c>
      <c r="BZ31" s="21">
        <f ca="1">OFFSET('Fleet Projection'!$AF$25,'Fleet Projection'!BZ26-YEAR(TODAY()),0)</f>
        <v>0</v>
      </c>
      <c r="CA31" s="21">
        <f ca="1">OFFSET('Fleet Projection'!$AF$25,'Fleet Projection'!CA26-YEAR(TODAY()),0)</f>
        <v>0</v>
      </c>
      <c r="CB31" s="21">
        <f ca="1">OFFSET('Fleet Projection'!$AF$25,'Fleet Projection'!CB26-YEAR(TODAY()),0)</f>
        <v>0</v>
      </c>
      <c r="CC31" s="300">
        <v>6.2355261644144756E-6</v>
      </c>
      <c r="CD31" s="21">
        <v>6.2355261644144756E-6</v>
      </c>
      <c r="CE31" s="21">
        <v>6.2355261644144756E-6</v>
      </c>
      <c r="CF31" s="21">
        <v>6.2355261644144756E-6</v>
      </c>
      <c r="CG31" s="21">
        <v>6.2355261644144756E-6</v>
      </c>
      <c r="CH31" s="21">
        <v>6.2355261644144756E-6</v>
      </c>
      <c r="CI31" s="21">
        <v>6.2355261644144756E-6</v>
      </c>
      <c r="CJ31" s="21">
        <v>6.2355261644144756E-6</v>
      </c>
      <c r="CK31" s="21">
        <v>6.2355261644144756E-6</v>
      </c>
      <c r="CL31" s="21">
        <v>6.2355261644144756E-6</v>
      </c>
      <c r="CM31" s="21">
        <v>6.2355261644144756E-6</v>
      </c>
      <c r="CN31" s="21">
        <v>6.2355261644144756E-6</v>
      </c>
      <c r="CO31" s="21">
        <v>6.2355261644144756E-6</v>
      </c>
      <c r="CP31" s="21">
        <v>6.2355261644144756E-6</v>
      </c>
      <c r="CQ31" s="21">
        <v>6.2355261644144756E-6</v>
      </c>
      <c r="CR31" s="21">
        <v>6.2355261644144756E-6</v>
      </c>
      <c r="CS31" s="21">
        <v>6.2355261644144756E-6</v>
      </c>
      <c r="CT31" s="21">
        <v>6.2355261644144756E-6</v>
      </c>
      <c r="CU31" s="21">
        <v>6.2355261644144756E-6</v>
      </c>
      <c r="CV31" s="21">
        <v>6.2355261644144756E-6</v>
      </c>
      <c r="CW31" s="21">
        <v>6.2355261644144756E-6</v>
      </c>
      <c r="CX31" s="21">
        <v>6.2355261644144756E-6</v>
      </c>
      <c r="CY31" s="21">
        <v>6.2355261644144756E-6</v>
      </c>
      <c r="CZ31" s="21">
        <v>6.2355261644144756E-6</v>
      </c>
      <c r="DA31" s="21">
        <v>6.2355261644144756E-6</v>
      </c>
      <c r="DB31" s="21">
        <v>6.2355261644144756E-6</v>
      </c>
      <c r="DC31" s="21">
        <v>6.2355261644144756E-6</v>
      </c>
      <c r="DD31" s="21">
        <v>6.2355261644144756E-6</v>
      </c>
      <c r="DE31" s="21">
        <v>6.2355261644144756E-6</v>
      </c>
      <c r="DF31" s="21">
        <v>6.2355261644144756E-6</v>
      </c>
      <c r="DG31" s="21">
        <v>6.2355261644144756E-6</v>
      </c>
      <c r="DH31" s="21">
        <v>6.2355261644144756E-6</v>
      </c>
      <c r="DI31" s="21">
        <v>6.2355261644144756E-6</v>
      </c>
      <c r="DJ31" s="21">
        <v>6.2355261644144756E-6</v>
      </c>
      <c r="DK31" s="21">
        <v>6.2355261644144756E-6</v>
      </c>
      <c r="DL31" s="21">
        <v>6.2355261644144756E-6</v>
      </c>
      <c r="DM31" s="21">
        <v>6.2355261644144756E-6</v>
      </c>
      <c r="DN31" s="21">
        <v>6.2355261644144756E-6</v>
      </c>
      <c r="DO31" s="21">
        <v>6.2355261644144756E-6</v>
      </c>
      <c r="DP31" s="21">
        <v>6.2355261644144756E-6</v>
      </c>
      <c r="DQ31" s="21">
        <v>6.2355261644144756E-6</v>
      </c>
      <c r="DR31" s="21">
        <v>6.2355261644144756E-6</v>
      </c>
      <c r="DS31" s="21">
        <v>6.2355261644144756E-6</v>
      </c>
      <c r="DT31" s="21">
        <v>6.2355261644144756E-6</v>
      </c>
      <c r="DU31" s="21">
        <v>6.2355261644144756E-6</v>
      </c>
      <c r="DV31" s="21">
        <v>6.2355261644144756E-6</v>
      </c>
      <c r="DW31" s="21">
        <v>6.2355261644144756E-6</v>
      </c>
      <c r="DX31" s="21">
        <v>6.2355261644144756E-6</v>
      </c>
      <c r="DY31" s="21">
        <v>6.2355261644144756E-6</v>
      </c>
      <c r="DZ31" s="21">
        <v>6.2355261644144756E-6</v>
      </c>
      <c r="EA31" s="21">
        <v>6.2355261644144756E-6</v>
      </c>
      <c r="EB31" s="21">
        <v>6.2355261644144756E-6</v>
      </c>
      <c r="EC31" s="21">
        <v>6.2355261644144756E-6</v>
      </c>
      <c r="ED31" s="21">
        <v>6.2355261644144756E-6</v>
      </c>
      <c r="EE31" s="21">
        <v>6.2355261644144756E-6</v>
      </c>
      <c r="EF31" s="21">
        <v>6.2355261644144756E-6</v>
      </c>
      <c r="EG31" s="21">
        <v>6.2355261644144756E-6</v>
      </c>
      <c r="EH31" s="21">
        <v>6.2355261644144756E-6</v>
      </c>
      <c r="EI31" s="21">
        <v>6.2355261644144756E-6</v>
      </c>
      <c r="EJ31" s="21">
        <v>6.2355261644144756E-6</v>
      </c>
      <c r="EK31" s="21">
        <v>6.2355261644144756E-6</v>
      </c>
      <c r="EL31" s="21">
        <v>6.2355261644144756E-6</v>
      </c>
      <c r="EM31" s="21">
        <v>6.2355261644144756E-6</v>
      </c>
      <c r="EN31" s="21">
        <v>6.2355261644144756E-6</v>
      </c>
      <c r="EO31" s="21">
        <v>6.2355261644144756E-6</v>
      </c>
      <c r="EP31" s="21">
        <v>6.2355261644144756E-6</v>
      </c>
    </row>
    <row r="32" spans="1:146" x14ac:dyDescent="0.35">
      <c r="A32" s="8">
        <v>2028</v>
      </c>
      <c r="B32" s="7">
        <v>56011589999.961555</v>
      </c>
      <c r="C32" s="8">
        <v>37410818746.590172</v>
      </c>
      <c r="D32">
        <v>13397262964.883734</v>
      </c>
      <c r="E32">
        <v>1068991333.8373836</v>
      </c>
      <c r="F32">
        <v>170872.37159086997</v>
      </c>
      <c r="G32" s="7">
        <v>460730000.00036377</v>
      </c>
      <c r="H32" s="8">
        <v>6385040.4417272881</v>
      </c>
      <c r="I32">
        <v>3618381188.8741016</v>
      </c>
      <c r="J32">
        <v>42250831.606564216</v>
      </c>
      <c r="K32" s="7">
        <v>5866082.2787425602</v>
      </c>
      <c r="M32" s="277">
        <f t="shared" si="11"/>
        <v>0.66791210081013319</v>
      </c>
      <c r="N32" s="91">
        <f t="shared" si="12"/>
        <v>0.23918733542277462</v>
      </c>
      <c r="O32" s="91">
        <f t="shared" si="13"/>
        <v>1.9085181010539378E-2</v>
      </c>
      <c r="P32" s="91">
        <f t="shared" si="14"/>
        <v>3.0506609719700376E-6</v>
      </c>
      <c r="Q32" s="282">
        <f t="shared" si="15"/>
        <v>8.2256190192187013E-3</v>
      </c>
      <c r="R32" s="277">
        <f t="shared" si="16"/>
        <v>1.1399498642569637E-4</v>
      </c>
      <c r="S32" s="91">
        <f t="shared" si="17"/>
        <v>6.4600579788514939E-2</v>
      </c>
      <c r="T32" s="91">
        <f t="shared" si="17"/>
        <v>7.5432301790742261E-4</v>
      </c>
      <c r="U32" s="282">
        <f t="shared" si="1"/>
        <v>1.0472979393633686E-4</v>
      </c>
      <c r="V32" s="284">
        <f t="shared" si="24"/>
        <v>0.99998691451042232</v>
      </c>
      <c r="X32" s="296">
        <f t="shared" si="18"/>
        <v>0.93441328692363779</v>
      </c>
      <c r="Y32" s="278">
        <f t="shared" si="19"/>
        <v>6.5573627586784394E-2</v>
      </c>
      <c r="AA32" s="277">
        <f t="shared" si="3"/>
        <v>0.71478367249274954</v>
      </c>
      <c r="AB32" s="91">
        <f t="shared" si="4"/>
        <v>0.25597260750310419</v>
      </c>
      <c r="AC32" s="91">
        <f t="shared" si="5"/>
        <v>2.0424507590677952E-2</v>
      </c>
      <c r="AD32" s="91">
        <f t="shared" si="6"/>
        <v>3.2647449423811399E-6</v>
      </c>
      <c r="AE32" s="282">
        <f t="shared" si="7"/>
        <v>8.8028621789481894E-3</v>
      </c>
      <c r="AF32" s="91">
        <f t="shared" si="8"/>
        <v>0</v>
      </c>
      <c r="AG32" s="91">
        <f t="shared" si="9"/>
        <v>0</v>
      </c>
      <c r="AH32" s="91">
        <f t="shared" si="23"/>
        <v>0</v>
      </c>
      <c r="AI32" s="282">
        <f t="shared" si="10"/>
        <v>0</v>
      </c>
      <c r="AJ32" s="284">
        <f t="shared" si="22"/>
        <v>0.99998691451042232</v>
      </c>
      <c r="AL32" s="296">
        <f t="shared" si="20"/>
        <v>0.99998691451042232</v>
      </c>
      <c r="AM32" s="278">
        <f t="shared" si="21"/>
        <v>0</v>
      </c>
      <c r="AP32" s="8"/>
      <c r="AQ32" t="s">
        <v>822</v>
      </c>
      <c r="AR32" s="31">
        <f>(1.13+0.46)*3.6/Charging_eff</f>
        <v>6.4026845637583882</v>
      </c>
      <c r="AS32" s="45"/>
      <c r="AT32" s="21">
        <f ca="1">OFFSET('Fleet Projection'!$AH$25,'Fleet Projection'!AT26-YEAR(TODAY()),0)</f>
        <v>0</v>
      </c>
      <c r="AU32" s="38">
        <f ca="1">OFFSET('Fleet Projection'!$AH$25,'Fleet Projection'!AU26-YEAR(TODAY()),0)</f>
        <v>0</v>
      </c>
      <c r="AV32" s="38">
        <f ca="1">OFFSET('Fleet Projection'!$AH$25,'Fleet Projection'!AV26-YEAR(TODAY()),0)</f>
        <v>0</v>
      </c>
      <c r="AW32" s="38">
        <f ca="1">OFFSET('Fleet Projection'!$AH$25,'Fleet Projection'!AW26-YEAR(TODAY()),0)</f>
        <v>0</v>
      </c>
      <c r="AX32" s="38">
        <f ca="1">OFFSET('Fleet Projection'!$AH$25,'Fleet Projection'!AX26-YEAR(TODAY()),0)</f>
        <v>0</v>
      </c>
      <c r="AY32" s="38">
        <f ca="1">OFFSET('Fleet Projection'!$AH$25,'Fleet Projection'!AY26-YEAR(TODAY()),0)</f>
        <v>0</v>
      </c>
      <c r="AZ32" s="38">
        <f ca="1">OFFSET('Fleet Projection'!$AH$25,'Fleet Projection'!AZ26-YEAR(TODAY()),0)</f>
        <v>0</v>
      </c>
      <c r="BA32" s="38">
        <f ca="1">OFFSET('Fleet Projection'!$AH$25,'Fleet Projection'!BA26-YEAR(TODAY()),0)</f>
        <v>0</v>
      </c>
      <c r="BB32" s="38">
        <f ca="1">OFFSET('Fleet Projection'!$AH$25,'Fleet Projection'!BB26-YEAR(TODAY()),0)</f>
        <v>0</v>
      </c>
      <c r="BC32" s="38">
        <f ca="1">OFFSET('Fleet Projection'!$AH$25,'Fleet Projection'!BC26-YEAR(TODAY()),0)</f>
        <v>0</v>
      </c>
      <c r="BD32" s="38">
        <f ca="1">OFFSET('Fleet Projection'!$AH$25,'Fleet Projection'!BD26-YEAR(TODAY()),0)</f>
        <v>0</v>
      </c>
      <c r="BE32" s="38">
        <f ca="1">OFFSET('Fleet Projection'!$AH$25,'Fleet Projection'!BE26-YEAR(TODAY()),0)</f>
        <v>0</v>
      </c>
      <c r="BF32" s="38">
        <f ca="1">OFFSET('Fleet Projection'!$AH$25,'Fleet Projection'!BF26-YEAR(TODAY()),0)</f>
        <v>0</v>
      </c>
      <c r="BG32" s="38">
        <f ca="1">OFFSET('Fleet Projection'!$AH$25,'Fleet Projection'!BG26-YEAR(TODAY()),0)</f>
        <v>0</v>
      </c>
      <c r="BH32" s="38">
        <f ca="1">OFFSET('Fleet Projection'!$AH$25,'Fleet Projection'!BH26-YEAR(TODAY()),0)</f>
        <v>0</v>
      </c>
      <c r="BI32" s="38">
        <f ca="1">OFFSET('Fleet Projection'!$AH$25,'Fleet Projection'!BI26-YEAR(TODAY()),0)</f>
        <v>0</v>
      </c>
      <c r="BJ32" s="38">
        <f ca="1">OFFSET('Fleet Projection'!$AH$25,'Fleet Projection'!BJ26-YEAR(TODAY()),0)</f>
        <v>0</v>
      </c>
      <c r="BK32" s="38">
        <f ca="1">OFFSET('Fleet Projection'!$AH$25,'Fleet Projection'!BK26-YEAR(TODAY()),0)</f>
        <v>0</v>
      </c>
      <c r="BL32" s="38">
        <f ca="1">OFFSET('Fleet Projection'!$AH$25,'Fleet Projection'!BL26-YEAR(TODAY()),0)</f>
        <v>0</v>
      </c>
      <c r="BM32" s="38">
        <f ca="1">OFFSET('Fleet Projection'!$AH$25,'Fleet Projection'!BM26-YEAR(TODAY()),0)</f>
        <v>0</v>
      </c>
      <c r="BN32" s="38">
        <f ca="1">OFFSET('Fleet Projection'!$AH$25,'Fleet Projection'!BN26-YEAR(TODAY()),0)</f>
        <v>0</v>
      </c>
      <c r="BO32" s="38">
        <f ca="1">OFFSET('Fleet Projection'!$AH$25,'Fleet Projection'!BO26-YEAR(TODAY()),0)</f>
        <v>0</v>
      </c>
      <c r="BP32" s="38">
        <f ca="1">OFFSET('Fleet Projection'!$AH$25,'Fleet Projection'!BP26-YEAR(TODAY()),0)</f>
        <v>0</v>
      </c>
      <c r="BQ32" s="38">
        <f ca="1">OFFSET('Fleet Projection'!$AH$25,'Fleet Projection'!BQ26-YEAR(TODAY()),0)</f>
        <v>0</v>
      </c>
      <c r="BR32" s="38">
        <f ca="1">OFFSET('Fleet Projection'!$AH$25,'Fleet Projection'!BR26-YEAR(TODAY()),0)</f>
        <v>0</v>
      </c>
      <c r="BS32" s="38">
        <f ca="1">OFFSET('Fleet Projection'!$AH$25,'Fleet Projection'!BS26-YEAR(TODAY()),0)</f>
        <v>0</v>
      </c>
      <c r="BT32" s="38">
        <f ca="1">OFFSET('Fleet Projection'!$AH$25,'Fleet Projection'!BT26-YEAR(TODAY()),0)</f>
        <v>0</v>
      </c>
      <c r="BU32" s="38">
        <f ca="1">OFFSET('Fleet Projection'!$AH$25,'Fleet Projection'!BU26-YEAR(TODAY()),0)</f>
        <v>0</v>
      </c>
      <c r="BV32" s="38">
        <f ca="1">OFFSET('Fleet Projection'!$AH$25,'Fleet Projection'!BV26-YEAR(TODAY()),0)</f>
        <v>0</v>
      </c>
      <c r="BW32" s="38">
        <f ca="1">OFFSET('Fleet Projection'!$AH$25,'Fleet Projection'!BW26-YEAR(TODAY()),0)</f>
        <v>0</v>
      </c>
      <c r="BX32" s="38">
        <f ca="1">OFFSET('Fleet Projection'!$AH$25,'Fleet Projection'!BX26-YEAR(TODAY()),0)</f>
        <v>0</v>
      </c>
      <c r="BY32" s="38">
        <f ca="1">OFFSET('Fleet Projection'!$AH$25,'Fleet Projection'!BY26-YEAR(TODAY()),0)</f>
        <v>0</v>
      </c>
      <c r="BZ32" s="38">
        <f ca="1">OFFSET('Fleet Projection'!$AH$25,'Fleet Projection'!BZ26-YEAR(TODAY()),0)</f>
        <v>0</v>
      </c>
      <c r="CA32" s="38">
        <f ca="1">OFFSET('Fleet Projection'!$AH$25,'Fleet Projection'!CA26-YEAR(TODAY()),0)</f>
        <v>0</v>
      </c>
      <c r="CB32" s="38">
        <f ca="1">OFFSET('Fleet Projection'!$AH$25,'Fleet Projection'!CB26-YEAR(TODAY()),0)</f>
        <v>0</v>
      </c>
      <c r="CC32" s="312">
        <v>1.3125081607844018E-2</v>
      </c>
      <c r="CD32" s="40">
        <v>1.3125081607844018E-2</v>
      </c>
      <c r="CE32" s="40">
        <v>1.3125081607844018E-2</v>
      </c>
      <c r="CF32" s="40">
        <v>1.3125081607844018E-2</v>
      </c>
      <c r="CG32" s="40">
        <v>1.3125081607844018E-2</v>
      </c>
      <c r="CH32" s="40">
        <v>1.3125081607844018E-2</v>
      </c>
      <c r="CI32" s="40">
        <v>1.3125081607844018E-2</v>
      </c>
      <c r="CJ32" s="40">
        <v>1.3125081607844018E-2</v>
      </c>
      <c r="CK32" s="40">
        <v>1.3125081607844018E-2</v>
      </c>
      <c r="CL32" s="40">
        <v>1.3125081607844018E-2</v>
      </c>
      <c r="CM32" s="40">
        <v>1.3125081607844018E-2</v>
      </c>
      <c r="CN32" s="40">
        <v>1.3125081607844018E-2</v>
      </c>
      <c r="CO32" s="40">
        <v>1.3125081607844018E-2</v>
      </c>
      <c r="CP32" s="40">
        <v>1.3125081607844018E-2</v>
      </c>
      <c r="CQ32" s="40">
        <v>1.3125081607844018E-2</v>
      </c>
      <c r="CR32" s="40">
        <v>1.3125081607844018E-2</v>
      </c>
      <c r="CS32" s="40">
        <v>1.3125081607844018E-2</v>
      </c>
      <c r="CT32" s="40">
        <v>1.3125081607844018E-2</v>
      </c>
      <c r="CU32" s="40">
        <v>1.3125081607844018E-2</v>
      </c>
      <c r="CV32" s="40">
        <v>1.3125081607844018E-2</v>
      </c>
      <c r="CW32" s="40">
        <v>1.3125081607844018E-2</v>
      </c>
      <c r="CX32" s="40">
        <v>1.3125081607844018E-2</v>
      </c>
      <c r="CY32" s="40">
        <v>1.3125081607844018E-2</v>
      </c>
      <c r="CZ32" s="40">
        <v>1.3125081607844018E-2</v>
      </c>
      <c r="DA32" s="40">
        <v>1.3125081607844018E-2</v>
      </c>
      <c r="DB32" s="40">
        <v>1.3125081607844018E-2</v>
      </c>
      <c r="DC32" s="40">
        <v>1.3125081607844018E-2</v>
      </c>
      <c r="DD32" s="40">
        <v>1.3125081607844018E-2</v>
      </c>
      <c r="DE32" s="40">
        <v>1.3125081607844018E-2</v>
      </c>
      <c r="DF32" s="40">
        <v>1.3125081607844018E-2</v>
      </c>
      <c r="DG32" s="40">
        <v>1.3125081607844018E-2</v>
      </c>
      <c r="DH32" s="40">
        <v>1.3125081607844018E-2</v>
      </c>
      <c r="DI32" s="40">
        <v>1.3125081607844018E-2</v>
      </c>
      <c r="DJ32" s="40">
        <v>1.3125081607844018E-2</v>
      </c>
      <c r="DK32" s="40">
        <v>1.3125081607844018E-2</v>
      </c>
      <c r="DL32" s="40">
        <v>1.3125081607844018E-2</v>
      </c>
      <c r="DM32" s="40">
        <v>1.3125081607844018E-2</v>
      </c>
      <c r="DN32" s="40">
        <v>1.3125081607844018E-2</v>
      </c>
      <c r="DO32" s="40">
        <v>1.3125081607844018E-2</v>
      </c>
      <c r="DP32" s="40">
        <v>1.3125081607844018E-2</v>
      </c>
      <c r="DQ32" s="40">
        <v>1.3125081607844018E-2</v>
      </c>
      <c r="DR32" s="40">
        <v>1.3125081607844018E-2</v>
      </c>
      <c r="DS32" s="40">
        <v>1.3125081607844018E-2</v>
      </c>
      <c r="DT32" s="40">
        <v>1.3125081607844018E-2</v>
      </c>
      <c r="DU32" s="40">
        <v>1.3125081607844018E-2</v>
      </c>
      <c r="DV32" s="40">
        <v>1.3125081607844018E-2</v>
      </c>
      <c r="DW32" s="40">
        <v>1.3125081607844018E-2</v>
      </c>
      <c r="DX32" s="40">
        <v>1.3125081607844018E-2</v>
      </c>
      <c r="DY32" s="40">
        <v>1.3125081607844018E-2</v>
      </c>
      <c r="DZ32" s="40">
        <v>1.3125081607844018E-2</v>
      </c>
      <c r="EA32" s="40">
        <v>1.3125081607844018E-2</v>
      </c>
      <c r="EB32" s="40">
        <v>1.3125081607844018E-2</v>
      </c>
      <c r="EC32" s="40">
        <v>1.3125081607844018E-2</v>
      </c>
      <c r="ED32" s="40">
        <v>1.3125081607844018E-2</v>
      </c>
      <c r="EE32" s="40">
        <v>1.3125081607844018E-2</v>
      </c>
      <c r="EF32" s="40">
        <v>1.3125081607844018E-2</v>
      </c>
      <c r="EG32" s="40">
        <v>1.3125081607844018E-2</v>
      </c>
      <c r="EH32" s="40">
        <v>1.3125081607844018E-2</v>
      </c>
      <c r="EI32" s="40">
        <v>1.3125081607844018E-2</v>
      </c>
      <c r="EJ32" s="40">
        <v>1.3125081607844018E-2</v>
      </c>
      <c r="EK32" s="40">
        <v>1.3125081607844018E-2</v>
      </c>
      <c r="EL32" s="40">
        <v>1.3125081607844018E-2</v>
      </c>
      <c r="EM32" s="40">
        <v>1.3125081607844018E-2</v>
      </c>
      <c r="EN32" s="40">
        <v>1.3125081607844018E-2</v>
      </c>
      <c r="EO32" s="40">
        <v>1.3125081607844018E-2</v>
      </c>
      <c r="EP32" s="40">
        <v>1.3125081607844018E-2</v>
      </c>
    </row>
    <row r="33" spans="1:146" x14ac:dyDescent="0.35">
      <c r="A33" s="8">
        <v>2029</v>
      </c>
      <c r="B33" s="7">
        <v>56595970000.01384</v>
      </c>
      <c r="C33" s="8">
        <v>37637971166.437912</v>
      </c>
      <c r="D33">
        <v>13429496069.509354</v>
      </c>
      <c r="E33">
        <v>1365511252.345372</v>
      </c>
      <c r="F33">
        <v>159860.00285304003</v>
      </c>
      <c r="G33" s="7">
        <v>461989999.99864155</v>
      </c>
      <c r="H33" s="8">
        <v>6215479.7443832848</v>
      </c>
      <c r="I33">
        <v>3637654232.4814138</v>
      </c>
      <c r="J33">
        <v>51313712.862143829</v>
      </c>
      <c r="K33" s="7">
        <v>4991651.7169650355</v>
      </c>
      <c r="M33" s="277">
        <f t="shared" si="11"/>
        <v>0.6650291737455637</v>
      </c>
      <c r="N33" s="91">
        <f t="shared" si="12"/>
        <v>0.2372871437578695</v>
      </c>
      <c r="O33" s="91">
        <f t="shared" si="13"/>
        <v>2.4127358402816278E-2</v>
      </c>
      <c r="P33" s="91">
        <f t="shared" si="14"/>
        <v>2.8245827901350739E-6</v>
      </c>
      <c r="Q33" s="282">
        <f t="shared" si="15"/>
        <v>8.1629487046255868E-3</v>
      </c>
      <c r="R33" s="277">
        <f t="shared" si="16"/>
        <v>1.0982194923740621E-4</v>
      </c>
      <c r="S33" s="91">
        <f t="shared" si="17"/>
        <v>6.42740858135398E-2</v>
      </c>
      <c r="T33" s="91">
        <f t="shared" si="17"/>
        <v>9.066672567345569E-4</v>
      </c>
      <c r="U33" s="282">
        <f t="shared" si="1"/>
        <v>8.8198006270831915E-5</v>
      </c>
      <c r="V33" s="284">
        <f t="shared" si="24"/>
        <v>0.99998822221944783</v>
      </c>
      <c r="X33" s="296">
        <f t="shared" si="18"/>
        <v>0.93460944919366529</v>
      </c>
      <c r="Y33" s="278">
        <f t="shared" si="19"/>
        <v>6.5378773025782586E-2</v>
      </c>
      <c r="AA33" s="277">
        <f t="shared" si="3"/>
        <v>0.71154998673685788</v>
      </c>
      <c r="AB33" s="91">
        <f t="shared" si="4"/>
        <v>0.25388610103041398</v>
      </c>
      <c r="AC33" s="91">
        <f t="shared" si="5"/>
        <v>2.5815140491998397E-2</v>
      </c>
      <c r="AD33" s="91">
        <f t="shared" si="6"/>
        <v>3.0221709455812819E-6</v>
      </c>
      <c r="AE33" s="282">
        <f t="shared" si="7"/>
        <v>8.7339717892319507E-3</v>
      </c>
      <c r="AF33" s="91">
        <f t="shared" si="8"/>
        <v>0</v>
      </c>
      <c r="AG33" s="91">
        <f t="shared" si="9"/>
        <v>0</v>
      </c>
      <c r="AH33" s="91">
        <f t="shared" si="23"/>
        <v>0</v>
      </c>
      <c r="AI33" s="282">
        <f t="shared" si="10"/>
        <v>0</v>
      </c>
      <c r="AJ33" s="284">
        <f t="shared" si="22"/>
        <v>0.99998822221944783</v>
      </c>
      <c r="AL33" s="296">
        <f t="shared" si="20"/>
        <v>0.99998822221944783</v>
      </c>
      <c r="AM33" s="278">
        <f t="shared" si="21"/>
        <v>0</v>
      </c>
      <c r="AP33" s="8"/>
      <c r="AQ33" t="s">
        <v>972</v>
      </c>
      <c r="AR33" s="31">
        <f>0.71*3.78541*0.835</f>
        <v>2.2441803184999998</v>
      </c>
      <c r="AS33" s="45"/>
      <c r="AT33" s="38">
        <v>0</v>
      </c>
      <c r="AU33" s="38">
        <v>0</v>
      </c>
      <c r="AV33" s="38">
        <v>0</v>
      </c>
      <c r="AW33" s="38">
        <v>0</v>
      </c>
      <c r="AX33" s="38">
        <v>0</v>
      </c>
      <c r="AY33" s="38">
        <v>0</v>
      </c>
      <c r="AZ33" s="38">
        <v>0</v>
      </c>
      <c r="BA33" s="38">
        <v>0</v>
      </c>
      <c r="BB33" s="38">
        <v>0</v>
      </c>
      <c r="BC33" s="38">
        <v>0</v>
      </c>
      <c r="BD33" s="38">
        <v>0</v>
      </c>
      <c r="BE33" s="38">
        <v>0</v>
      </c>
      <c r="BF33" s="38">
        <v>0</v>
      </c>
      <c r="BG33" s="38">
        <v>0</v>
      </c>
      <c r="BH33" s="38">
        <v>0</v>
      </c>
      <c r="BI33" s="38">
        <v>0</v>
      </c>
      <c r="BJ33" s="38">
        <v>0</v>
      </c>
      <c r="BK33" s="38">
        <v>0</v>
      </c>
      <c r="BL33" s="38">
        <v>0</v>
      </c>
      <c r="BM33" s="38">
        <v>0</v>
      </c>
      <c r="BN33" s="38">
        <v>0</v>
      </c>
      <c r="BO33" s="38">
        <v>0</v>
      </c>
      <c r="BP33" s="38">
        <v>0</v>
      </c>
      <c r="BQ33" s="38">
        <v>0</v>
      </c>
      <c r="BR33" s="38">
        <v>0</v>
      </c>
      <c r="BS33" s="38">
        <v>0</v>
      </c>
      <c r="BT33" s="38">
        <v>0</v>
      </c>
      <c r="BU33" s="38">
        <v>0</v>
      </c>
      <c r="BV33" s="38">
        <v>0</v>
      </c>
      <c r="BW33" s="38">
        <v>0</v>
      </c>
      <c r="BX33" s="38">
        <v>0</v>
      </c>
      <c r="BY33" s="38">
        <v>0</v>
      </c>
      <c r="BZ33" s="38">
        <v>0</v>
      </c>
      <c r="CA33" s="38">
        <v>0</v>
      </c>
      <c r="CB33" s="38">
        <v>0</v>
      </c>
      <c r="CC33" s="303">
        <v>0</v>
      </c>
      <c r="CD33" s="40">
        <v>0</v>
      </c>
      <c r="CE33" s="40">
        <v>0</v>
      </c>
      <c r="CF33" s="40">
        <v>0</v>
      </c>
      <c r="CG33" s="40">
        <v>0</v>
      </c>
      <c r="CH33" s="40">
        <v>0</v>
      </c>
      <c r="CI33" s="40">
        <v>0</v>
      </c>
      <c r="CJ33" s="40">
        <v>0</v>
      </c>
      <c r="CK33" s="40">
        <v>0</v>
      </c>
      <c r="CL33" s="40">
        <v>0</v>
      </c>
      <c r="CM33" s="40">
        <v>0</v>
      </c>
      <c r="CN33" s="40">
        <v>0</v>
      </c>
      <c r="CO33" s="40">
        <v>0</v>
      </c>
      <c r="CP33" s="40">
        <v>0</v>
      </c>
      <c r="CQ33" s="40">
        <v>0</v>
      </c>
      <c r="CR33" s="40">
        <v>0</v>
      </c>
      <c r="CS33" s="40">
        <v>0</v>
      </c>
      <c r="CT33" s="40">
        <v>0</v>
      </c>
      <c r="CU33" s="40">
        <v>0</v>
      </c>
      <c r="CV33" s="40">
        <v>0</v>
      </c>
      <c r="CW33" s="40">
        <v>0</v>
      </c>
      <c r="CX33" s="40">
        <v>0</v>
      </c>
      <c r="CY33" s="40">
        <v>0</v>
      </c>
      <c r="CZ33" s="40">
        <v>0</v>
      </c>
      <c r="DA33" s="40">
        <v>0</v>
      </c>
      <c r="DB33" s="40">
        <v>0</v>
      </c>
      <c r="DC33" s="40">
        <v>0</v>
      </c>
      <c r="DD33" s="40">
        <v>0</v>
      </c>
      <c r="DE33" s="40">
        <v>0</v>
      </c>
      <c r="DF33" s="40">
        <v>0</v>
      </c>
      <c r="DG33" s="40">
        <v>0</v>
      </c>
      <c r="DH33" s="40">
        <v>0</v>
      </c>
      <c r="DI33" s="40">
        <v>0</v>
      </c>
      <c r="DJ33" s="40">
        <v>0</v>
      </c>
      <c r="DK33" s="40">
        <v>0</v>
      </c>
      <c r="DL33" s="40">
        <v>0</v>
      </c>
      <c r="DM33" s="40">
        <v>0</v>
      </c>
      <c r="DN33" s="40">
        <v>0</v>
      </c>
      <c r="DO33" s="40">
        <v>0</v>
      </c>
      <c r="DP33" s="40">
        <v>0</v>
      </c>
      <c r="DQ33" s="40">
        <v>0</v>
      </c>
      <c r="DR33" s="40">
        <v>0</v>
      </c>
      <c r="DS33" s="40">
        <v>0</v>
      </c>
      <c r="DT33" s="40">
        <v>0</v>
      </c>
      <c r="DU33" s="40">
        <v>0</v>
      </c>
      <c r="DV33" s="40">
        <v>0</v>
      </c>
      <c r="DW33" s="40">
        <v>0</v>
      </c>
      <c r="DX33" s="40">
        <v>0</v>
      </c>
      <c r="DY33" s="40">
        <v>0</v>
      </c>
      <c r="DZ33" s="40">
        <v>0</v>
      </c>
      <c r="EA33" s="40">
        <v>0</v>
      </c>
      <c r="EB33" s="40">
        <v>0</v>
      </c>
      <c r="EC33" s="40">
        <v>0</v>
      </c>
      <c r="ED33" s="40">
        <v>0</v>
      </c>
      <c r="EE33" s="40">
        <v>0</v>
      </c>
      <c r="EF33" s="40">
        <v>0</v>
      </c>
      <c r="EG33" s="40">
        <v>0</v>
      </c>
      <c r="EH33" s="40">
        <v>0</v>
      </c>
      <c r="EI33" s="40">
        <v>0</v>
      </c>
      <c r="EJ33" s="40">
        <v>0</v>
      </c>
      <c r="EK33" s="40">
        <v>0</v>
      </c>
      <c r="EL33" s="40">
        <v>0</v>
      </c>
      <c r="EM33" s="40">
        <v>0</v>
      </c>
      <c r="EN33" s="40">
        <v>0</v>
      </c>
      <c r="EO33" s="40">
        <v>0</v>
      </c>
      <c r="EP33" s="40">
        <v>0</v>
      </c>
    </row>
    <row r="34" spans="1:146" x14ac:dyDescent="0.35">
      <c r="A34" s="8">
        <v>2030</v>
      </c>
      <c r="B34" s="7">
        <v>57180350000.039017</v>
      </c>
      <c r="C34" s="8">
        <v>37787508174.175293</v>
      </c>
      <c r="D34">
        <v>13426958732.481007</v>
      </c>
      <c r="E34">
        <v>1774165349.5919323</v>
      </c>
      <c r="F34">
        <v>147496.85178305002</v>
      </c>
      <c r="G34" s="7">
        <v>463249999.99771845</v>
      </c>
      <c r="H34" s="8">
        <v>6085135.0113977641</v>
      </c>
      <c r="I34">
        <v>3654973127.6259022</v>
      </c>
      <c r="J34">
        <v>62289746.482348852</v>
      </c>
      <c r="K34" s="7">
        <v>4370246.9356490811</v>
      </c>
      <c r="M34" s="277">
        <f t="shared" si="11"/>
        <v>0.66084779428858875</v>
      </c>
      <c r="N34" s="91">
        <f t="shared" si="12"/>
        <v>0.23481770804956326</v>
      </c>
      <c r="O34" s="91">
        <f t="shared" si="13"/>
        <v>3.1027535675992219E-2</v>
      </c>
      <c r="P34" s="91">
        <f t="shared" si="14"/>
        <v>2.5795024301696189E-6</v>
      </c>
      <c r="Q34" s="282">
        <f t="shared" si="15"/>
        <v>8.1015593643166284E-3</v>
      </c>
      <c r="R34" s="277">
        <f t="shared" si="16"/>
        <v>1.0642003785205253E-4</v>
      </c>
      <c r="S34" s="91">
        <f t="shared" si="17"/>
        <v>6.3920090164250626E-2</v>
      </c>
      <c r="T34" s="91">
        <f t="shared" si="17"/>
        <v>1.0893558098596171E-3</v>
      </c>
      <c r="U34" s="282">
        <f t="shared" si="1"/>
        <v>7.6429174281831069E-5</v>
      </c>
      <c r="V34" s="284">
        <f t="shared" si="24"/>
        <v>0.99998947206713529</v>
      </c>
      <c r="X34" s="296">
        <f t="shared" si="18"/>
        <v>0.93479717688089115</v>
      </c>
      <c r="Y34" s="278">
        <f t="shared" si="19"/>
        <v>6.5192295186244115E-2</v>
      </c>
      <c r="AA34" s="277">
        <f t="shared" si="3"/>
        <v>0.70693499431864337</v>
      </c>
      <c r="AB34" s="91">
        <f t="shared" si="4"/>
        <v>0.25119377947631188</v>
      </c>
      <c r="AC34" s="91">
        <f t="shared" si="5"/>
        <v>3.3191380748182397E-2</v>
      </c>
      <c r="AD34" s="91">
        <f t="shared" si="6"/>
        <v>2.7593956605090157E-6</v>
      </c>
      <c r="AE34" s="282">
        <f t="shared" si="7"/>
        <v>8.6665581283369725E-3</v>
      </c>
      <c r="AF34" s="91">
        <f t="shared" si="8"/>
        <v>0</v>
      </c>
      <c r="AG34" s="91">
        <f t="shared" si="9"/>
        <v>0</v>
      </c>
      <c r="AH34" s="91">
        <f t="shared" si="23"/>
        <v>0</v>
      </c>
      <c r="AI34" s="282">
        <f t="shared" si="10"/>
        <v>0</v>
      </c>
      <c r="AJ34" s="284">
        <f t="shared" si="22"/>
        <v>0.99998947206713518</v>
      </c>
      <c r="AL34" s="296">
        <f t="shared" si="20"/>
        <v>0.99998947206713518</v>
      </c>
      <c r="AM34" s="278">
        <f t="shared" si="21"/>
        <v>0</v>
      </c>
      <c r="AP34" s="17"/>
      <c r="AQ34" s="9"/>
      <c r="AR34" s="9"/>
      <c r="AS34" s="46" t="s">
        <v>973</v>
      </c>
      <c r="AT34" s="32">
        <f t="shared" ref="AT34:CB34" ca="1" si="25">SUM(AT27:AT33)</f>
        <v>0.99994810106604759</v>
      </c>
      <c r="AU34" s="32">
        <f t="shared" ca="1" si="25"/>
        <v>0.99993475245417918</v>
      </c>
      <c r="AV34" s="32">
        <f t="shared" ca="1" si="25"/>
        <v>0.9998495724912525</v>
      </c>
      <c r="AW34" s="32">
        <f t="shared" ca="1" si="25"/>
        <v>0.99996935506324192</v>
      </c>
      <c r="AX34" s="32">
        <f t="shared" ca="1" si="25"/>
        <v>0.99997276434179327</v>
      </c>
      <c r="AY34" s="32">
        <f t="shared" ca="1" si="25"/>
        <v>0.99997533081873291</v>
      </c>
      <c r="AZ34" s="32">
        <f t="shared" ca="1" si="25"/>
        <v>0.99997671848231862</v>
      </c>
      <c r="BA34" s="32">
        <f t="shared" ca="1" si="25"/>
        <v>0.99997826108606591</v>
      </c>
      <c r="BB34" s="32">
        <f t="shared" ca="1" si="25"/>
        <v>0.99998004344026081</v>
      </c>
      <c r="BC34" s="32">
        <f t="shared" ca="1" si="25"/>
        <v>0.99998182599420393</v>
      </c>
      <c r="BD34" s="32">
        <f t="shared" ca="1" si="25"/>
        <v>0.99998364976547993</v>
      </c>
      <c r="BE34" s="32">
        <f t="shared" ca="1" si="25"/>
        <v>0.99998520004850222</v>
      </c>
      <c r="BF34" s="32">
        <f t="shared" ca="1" si="25"/>
        <v>0.99998671267147465</v>
      </c>
      <c r="BG34" s="32">
        <f t="shared" ca="1" si="25"/>
        <v>0.999988047575745</v>
      </c>
      <c r="BH34" s="32">
        <f t="shared" ca="1" si="25"/>
        <v>0.999988047575745</v>
      </c>
      <c r="BI34" s="32">
        <f t="shared" ca="1" si="25"/>
        <v>0.999988047575745</v>
      </c>
      <c r="BJ34" s="32">
        <f t="shared" ca="1" si="25"/>
        <v>0.999988047575745</v>
      </c>
      <c r="BK34" s="32">
        <f t="shared" ca="1" si="25"/>
        <v>0.99999253227908513</v>
      </c>
      <c r="BL34" s="32">
        <f t="shared" ca="1" si="25"/>
        <v>0.99999329517607705</v>
      </c>
      <c r="BM34" s="32">
        <f t="shared" ca="1" si="25"/>
        <v>0.99999426569378802</v>
      </c>
      <c r="BN34" s="32">
        <f t="shared" ca="1" si="25"/>
        <v>0.9999949483079501</v>
      </c>
      <c r="BO34" s="32">
        <f t="shared" ca="1" si="25"/>
        <v>0.99999553671562647</v>
      </c>
      <c r="BP34" s="32">
        <f t="shared" ca="1" si="25"/>
        <v>0.99999612938750249</v>
      </c>
      <c r="BQ34" s="32">
        <f t="shared" ca="1" si="25"/>
        <v>0.99999664453269732</v>
      </c>
      <c r="BR34" s="32">
        <f t="shared" ca="1" si="25"/>
        <v>0.9999970150176194</v>
      </c>
      <c r="BS34" s="32">
        <f t="shared" ca="1" si="25"/>
        <v>0.99999733809989233</v>
      </c>
      <c r="BT34" s="32">
        <f t="shared" ca="1" si="25"/>
        <v>0.99999760544445004</v>
      </c>
      <c r="BU34" s="32">
        <f t="shared" ca="1" si="25"/>
        <v>0.99999784800757208</v>
      </c>
      <c r="BV34" s="32">
        <f t="shared" ca="1" si="25"/>
        <v>0.99999810976210246</v>
      </c>
      <c r="BW34" s="32">
        <f t="shared" ca="1" si="25"/>
        <v>0.99999832540622435</v>
      </c>
      <c r="BX34" s="32">
        <f t="shared" ca="1" si="25"/>
        <v>0.99999850523114164</v>
      </c>
      <c r="BY34" s="32">
        <f t="shared" ca="1" si="25"/>
        <v>0.99999866680396932</v>
      </c>
      <c r="BZ34" s="32">
        <f t="shared" ca="1" si="25"/>
        <v>0.99999881208576036</v>
      </c>
      <c r="CA34" s="32">
        <f t="shared" ca="1" si="25"/>
        <v>0.99999894104230935</v>
      </c>
      <c r="CB34" s="32">
        <f t="shared" ca="1" si="25"/>
        <v>0.99999905555562307</v>
      </c>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280"/>
    </row>
    <row r="35" spans="1:146" x14ac:dyDescent="0.35">
      <c r="A35" s="8">
        <v>2031</v>
      </c>
      <c r="B35" s="7">
        <v>57764730000.041512</v>
      </c>
      <c r="C35" s="8">
        <v>37851707276.458984</v>
      </c>
      <c r="D35">
        <v>13389821457.806538</v>
      </c>
      <c r="E35">
        <v>2302455747.4468188</v>
      </c>
      <c r="F35">
        <v>136212.44730610101</v>
      </c>
      <c r="G35" s="7">
        <v>464510000.00108337</v>
      </c>
      <c r="H35" s="8">
        <v>5790465.5944680488</v>
      </c>
      <c r="I35">
        <v>3670799177.6676607</v>
      </c>
      <c r="J35">
        <v>74915612.320633426</v>
      </c>
      <c r="K35" s="7">
        <v>4049305.88039927</v>
      </c>
      <c r="M35" s="277">
        <f t="shared" si="11"/>
        <v>0.65527368130054076</v>
      </c>
      <c r="N35" s="91">
        <f t="shared" si="12"/>
        <v>0.23179925635932022</v>
      </c>
      <c r="O35" s="91">
        <f t="shared" si="13"/>
        <v>3.9859196908652812E-2</v>
      </c>
      <c r="P35" s="91">
        <f t="shared" si="14"/>
        <v>2.358055638899431E-6</v>
      </c>
      <c r="Q35" s="282">
        <f t="shared" si="15"/>
        <v>8.0414121212156551E-3</v>
      </c>
      <c r="R35" s="277">
        <f t="shared" si="16"/>
        <v>1.0024223422257643E-4</v>
      </c>
      <c r="S35" s="91">
        <f t="shared" si="17"/>
        <v>6.3547413407195413E-2</v>
      </c>
      <c r="T35" s="91">
        <f t="shared" si="17"/>
        <v>1.296909244111062E-3</v>
      </c>
      <c r="U35" s="282">
        <f t="shared" si="1"/>
        <v>7.0099970698319895E-5</v>
      </c>
      <c r="V35" s="284">
        <f t="shared" si="24"/>
        <v>0.9999905696015956</v>
      </c>
      <c r="X35" s="296">
        <f t="shared" si="18"/>
        <v>0.93497590474536829</v>
      </c>
      <c r="Y35" s="278">
        <f t="shared" si="19"/>
        <v>6.5014664856227367E-2</v>
      </c>
      <c r="AA35" s="277">
        <f t="shared" si="3"/>
        <v>0.70083891839663826</v>
      </c>
      <c r="AB35" s="91">
        <f t="shared" si="4"/>
        <v>0.24791769416037585</v>
      </c>
      <c r="AC35" s="91">
        <f t="shared" si="5"/>
        <v>4.2630853713177833E-2</v>
      </c>
      <c r="AD35" s="91">
        <f t="shared" si="6"/>
        <v>2.5220258506420913E-6</v>
      </c>
      <c r="AE35" s="282">
        <f t="shared" si="7"/>
        <v>8.6005813055531084E-3</v>
      </c>
      <c r="AF35" s="91">
        <f t="shared" si="8"/>
        <v>0</v>
      </c>
      <c r="AG35" s="91">
        <f t="shared" si="9"/>
        <v>0</v>
      </c>
      <c r="AH35" s="91">
        <f t="shared" si="23"/>
        <v>0</v>
      </c>
      <c r="AI35" s="282">
        <f t="shared" si="10"/>
        <v>0</v>
      </c>
      <c r="AJ35" s="284">
        <f t="shared" si="22"/>
        <v>0.99999056960159571</v>
      </c>
      <c r="AL35" s="296">
        <f t="shared" si="20"/>
        <v>0.99999056960159571</v>
      </c>
      <c r="AM35" s="278">
        <f t="shared" si="21"/>
        <v>0</v>
      </c>
      <c r="AW35" s="24"/>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row>
    <row r="36" spans="1:146" x14ac:dyDescent="0.35">
      <c r="A36" s="8">
        <v>2032</v>
      </c>
      <c r="B36" s="7">
        <v>58349110000.013023</v>
      </c>
      <c r="C36" s="8">
        <v>37826569594.40184</v>
      </c>
      <c r="D36">
        <v>13319817625.757832</v>
      </c>
      <c r="E36">
        <v>2953063222.5253034</v>
      </c>
      <c r="F36">
        <v>126056.48942479701</v>
      </c>
      <c r="G36" s="7">
        <v>465769999.99975109</v>
      </c>
      <c r="H36" s="8">
        <v>5447680.4873059345</v>
      </c>
      <c r="I36">
        <v>3685791773.1845565</v>
      </c>
      <c r="J36">
        <v>88420844.092491478</v>
      </c>
      <c r="K36" s="7">
        <v>3613500.8375194245</v>
      </c>
      <c r="M36" s="277">
        <f t="shared" si="11"/>
        <v>0.64828014676476464</v>
      </c>
      <c r="N36" s="91">
        <f t="shared" si="12"/>
        <v>0.22827799131391821</v>
      </c>
      <c r="O36" s="91">
        <f t="shared" si="13"/>
        <v>5.0610253053125304E-2</v>
      </c>
      <c r="P36" s="91">
        <f t="shared" si="14"/>
        <v>2.160384098828052E-6</v>
      </c>
      <c r="Q36" s="282">
        <f t="shared" si="15"/>
        <v>7.9824696554865564E-3</v>
      </c>
      <c r="R36" s="277">
        <f t="shared" si="16"/>
        <v>9.3363557512783288E-5</v>
      </c>
      <c r="S36" s="91">
        <f t="shared" si="17"/>
        <v>6.3167917611489433E-2</v>
      </c>
      <c r="T36" s="91">
        <f t="shared" si="17"/>
        <v>1.5153760544500464E-3</v>
      </c>
      <c r="U36" s="282">
        <f t="shared" si="1"/>
        <v>6.1928979508318429E-5</v>
      </c>
      <c r="V36" s="284">
        <f t="shared" si="24"/>
        <v>0.99999160737435411</v>
      </c>
      <c r="X36" s="296">
        <f t="shared" si="18"/>
        <v>0.93515302117139354</v>
      </c>
      <c r="Y36" s="278">
        <f t="shared" si="19"/>
        <v>6.4838586202960583E-2</v>
      </c>
      <c r="AA36" s="277">
        <f t="shared" si="3"/>
        <v>0.69322847845814128</v>
      </c>
      <c r="AB36" s="91">
        <f t="shared" si="4"/>
        <v>0.2441055851760498</v>
      </c>
      <c r="AC36" s="91">
        <f t="shared" si="5"/>
        <v>5.4119301498724327E-2</v>
      </c>
      <c r="AD36" s="91">
        <f t="shared" si="6"/>
        <v>2.3101737561911914E-6</v>
      </c>
      <c r="AE36" s="282">
        <f t="shared" si="7"/>
        <v>8.5359320676824339E-3</v>
      </c>
      <c r="AF36" s="91">
        <f t="shared" si="8"/>
        <v>0</v>
      </c>
      <c r="AG36" s="91">
        <f t="shared" si="9"/>
        <v>0</v>
      </c>
      <c r="AH36" s="91">
        <f t="shared" si="23"/>
        <v>0</v>
      </c>
      <c r="AI36" s="282">
        <f t="shared" si="10"/>
        <v>0</v>
      </c>
      <c r="AJ36" s="284">
        <f t="shared" si="22"/>
        <v>0.99999160737435411</v>
      </c>
      <c r="AL36" s="296">
        <f t="shared" si="20"/>
        <v>0.99999160737435411</v>
      </c>
      <c r="AM36" s="278">
        <f t="shared" si="21"/>
        <v>0</v>
      </c>
    </row>
    <row r="37" spans="1:146" x14ac:dyDescent="0.35">
      <c r="A37" s="8">
        <v>2033</v>
      </c>
      <c r="B37" s="7">
        <v>58885809999.921906</v>
      </c>
      <c r="C37" s="8">
        <v>37667896799.002136</v>
      </c>
      <c r="D37">
        <v>13209490355.290073</v>
      </c>
      <c r="E37">
        <v>3737022626.4839702</v>
      </c>
      <c r="F37">
        <v>114229.944523621</v>
      </c>
      <c r="G37" s="7">
        <v>466199999.99971265</v>
      </c>
      <c r="H37" s="8">
        <v>5049331.5393414805</v>
      </c>
      <c r="I37">
        <v>3694013092.8772736</v>
      </c>
      <c r="J37">
        <v>102594822.22825439</v>
      </c>
      <c r="K37" s="7">
        <v>2995989.2049844218</v>
      </c>
      <c r="M37" s="277">
        <f t="shared" si="11"/>
        <v>0.63967697479328367</v>
      </c>
      <c r="N37" s="91">
        <f t="shared" si="12"/>
        <v>0.22432382870011625</v>
      </c>
      <c r="O37" s="91">
        <f t="shared" si="13"/>
        <v>6.3462192784457347E-2</v>
      </c>
      <c r="P37" s="91">
        <f t="shared" si="14"/>
        <v>1.939855196417821E-6</v>
      </c>
      <c r="Q37" s="282">
        <f t="shared" si="15"/>
        <v>7.9170176991762691E-3</v>
      </c>
      <c r="R37" s="277">
        <f t="shared" si="16"/>
        <v>8.574784891891912E-5</v>
      </c>
      <c r="S37" s="91">
        <f t="shared" si="17"/>
        <v>6.2731804026847429E-2</v>
      </c>
      <c r="T37" s="91">
        <f t="shared" si="17"/>
        <v>1.7422673175148725E-3</v>
      </c>
      <c r="U37" s="282">
        <f t="shared" ref="U37:U59" si="26">K37/$B37</f>
        <v>5.0877948439333602E-5</v>
      </c>
      <c r="V37" s="284">
        <f t="shared" si="24"/>
        <v>0.99999265097395051</v>
      </c>
      <c r="X37" s="296">
        <f t="shared" si="18"/>
        <v>0.93538195383222988</v>
      </c>
      <c r="Y37" s="278">
        <f t="shared" si="19"/>
        <v>6.4610697141720547E-2</v>
      </c>
      <c r="AA37" s="277">
        <f t="shared" ref="AA37:AA59" si="27">M37*(($Y37-Per_Heavy+$X37)/$X37)</f>
        <v>0.68386210699256678</v>
      </c>
      <c r="AB37" s="91">
        <f t="shared" ref="AB37:AB59" si="28">N37*(($Y37-Per_Heavy+$X37)/$X37)</f>
        <v>0.23981880259653801</v>
      </c>
      <c r="AC37" s="91">
        <f t="shared" ref="AC37:AC59" si="29">O37*(($Y37-Per_Heavy+$X37)/$X37)</f>
        <v>6.7845788706045421E-2</v>
      </c>
      <c r="AD37" s="91">
        <f t="shared" ref="AD37:AD59" si="30">P37*(($Y37-Per_Heavy+$X37)/$X37)</f>
        <v>2.0738490115444113E-6</v>
      </c>
      <c r="AE37" s="282">
        <f t="shared" ref="AE37:AE59" si="31">Q37*(($Y37-Per_Heavy+$X37)/$X37)</f>
        <v>8.4638788297886573E-3</v>
      </c>
      <c r="AF37" s="91">
        <f t="shared" ref="AF37:AF59" si="32">R37*(Per_Heavy/$Y37)</f>
        <v>0</v>
      </c>
      <c r="AG37" s="91">
        <f t="shared" ref="AG37:AG59" si="33">S37*(Per_Heavy/$Y37)</f>
        <v>0</v>
      </c>
      <c r="AH37" s="91">
        <f t="shared" si="23"/>
        <v>0</v>
      </c>
      <c r="AI37" s="282">
        <f t="shared" ref="AI37:AI59" si="34">U37*(Per_Heavy/$Y37)</f>
        <v>0</v>
      </c>
      <c r="AJ37" s="284">
        <f t="shared" si="22"/>
        <v>0.99999265097395029</v>
      </c>
      <c r="AL37" s="296">
        <f t="shared" si="20"/>
        <v>0.99999265097395029</v>
      </c>
      <c r="AM37" s="278">
        <f t="shared" si="21"/>
        <v>0</v>
      </c>
    </row>
    <row r="38" spans="1:146" x14ac:dyDescent="0.35">
      <c r="A38" s="8">
        <v>2034</v>
      </c>
      <c r="B38" s="7">
        <v>59374830000.039146</v>
      </c>
      <c r="C38" s="8">
        <v>37360338235.996513</v>
      </c>
      <c r="D38">
        <v>13061445273.964886</v>
      </c>
      <c r="E38">
        <v>4666798690.5688095</v>
      </c>
      <c r="F38">
        <v>102021.41699829399</v>
      </c>
      <c r="G38" s="7">
        <v>465799999.99985248</v>
      </c>
      <c r="H38" s="8">
        <v>4644923.9310515858</v>
      </c>
      <c r="I38">
        <v>3695837209.2298837</v>
      </c>
      <c r="J38">
        <v>116999873.53590512</v>
      </c>
      <c r="K38" s="7">
        <v>2475778.0921282098</v>
      </c>
      <c r="M38" s="277">
        <f t="shared" si="11"/>
        <v>0.62922855081811402</v>
      </c>
      <c r="N38" s="91">
        <f t="shared" ref="N38:N59" si="35">D38/$B38</f>
        <v>0.21998286603862738</v>
      </c>
      <c r="O38" s="91">
        <f t="shared" ref="O38:O59" si="36">E38/$B38</f>
        <v>7.8598939829650591E-2</v>
      </c>
      <c r="P38" s="91">
        <f t="shared" ref="P38:P59" si="37">F38/$B38</f>
        <v>1.7182603638313866E-6</v>
      </c>
      <c r="Q38" s="282">
        <f t="shared" ref="Q38:Q59" si="38">G38/$B38</f>
        <v>7.8450750932599778E-3</v>
      </c>
      <c r="R38" s="277">
        <f t="shared" si="16"/>
        <v>7.8230521772416412E-5</v>
      </c>
      <c r="S38" s="91">
        <f t="shared" si="17"/>
        <v>6.224585753302278E-2</v>
      </c>
      <c r="T38" s="91">
        <f t="shared" si="17"/>
        <v>1.97052982780461E-3</v>
      </c>
      <c r="U38" s="282">
        <f t="shared" si="26"/>
        <v>4.1697434622155171E-5</v>
      </c>
      <c r="V38" s="284">
        <f t="shared" si="24"/>
        <v>0.99999346535723788</v>
      </c>
      <c r="X38" s="296">
        <f t="shared" si="18"/>
        <v>0.93565715004001582</v>
      </c>
      <c r="Y38" s="278">
        <f t="shared" si="19"/>
        <v>6.4336315317221962E-2</v>
      </c>
      <c r="AA38" s="277">
        <f t="shared" si="27"/>
        <v>0.67249466218198428</v>
      </c>
      <c r="AB38" s="91">
        <f t="shared" si="28"/>
        <v>0.23510901244090951</v>
      </c>
      <c r="AC38" s="91">
        <f t="shared" si="29"/>
        <v>8.4003447427613689E-2</v>
      </c>
      <c r="AD38" s="91">
        <f t="shared" si="30"/>
        <v>1.8364089191647294E-6</v>
      </c>
      <c r="AE38" s="282">
        <f t="shared" si="31"/>
        <v>8.3845068978111136E-3</v>
      </c>
      <c r="AF38" s="91">
        <f t="shared" si="32"/>
        <v>0</v>
      </c>
      <c r="AG38" s="91">
        <f t="shared" si="33"/>
        <v>0</v>
      </c>
      <c r="AH38" s="91">
        <f t="shared" si="23"/>
        <v>0</v>
      </c>
      <c r="AI38" s="282">
        <f t="shared" si="34"/>
        <v>0</v>
      </c>
      <c r="AJ38" s="284">
        <f t="shared" si="22"/>
        <v>0.99999346535723777</v>
      </c>
      <c r="AL38" s="296">
        <f t="shared" si="20"/>
        <v>0.99999346535723777</v>
      </c>
      <c r="AM38" s="278">
        <f t="shared" si="21"/>
        <v>0</v>
      </c>
    </row>
    <row r="39" spans="1:146" x14ac:dyDescent="0.35">
      <c r="A39" s="8">
        <v>2035</v>
      </c>
      <c r="B39" s="7">
        <v>59863850000.006134</v>
      </c>
      <c r="C39" s="8">
        <v>36910125527.870644</v>
      </c>
      <c r="D39">
        <v>12877885162.18046</v>
      </c>
      <c r="E39">
        <v>5774544705.7353954</v>
      </c>
      <c r="F39">
        <v>90416.371663727012</v>
      </c>
      <c r="G39" s="7">
        <v>465400000.00145322</v>
      </c>
      <c r="H39" s="8">
        <v>4188184.0196577623</v>
      </c>
      <c r="I39">
        <v>3697038301.0296941</v>
      </c>
      <c r="J39">
        <v>132073074.33719081</v>
      </c>
      <c r="K39" s="7">
        <v>2154187.8466158779</v>
      </c>
      <c r="M39" s="277">
        <f t="shared" si="11"/>
        <v>0.61656785401986114</v>
      </c>
      <c r="N39" s="91">
        <f t="shared" si="35"/>
        <v>0.21511956150797418</v>
      </c>
      <c r="O39" s="91">
        <f t="shared" si="36"/>
        <v>9.6461298525484143E-2</v>
      </c>
      <c r="P39" s="91">
        <f t="shared" si="37"/>
        <v>1.5103668017295539E-6</v>
      </c>
      <c r="Q39" s="282">
        <f t="shared" si="38"/>
        <v>7.7743078669581982E-3</v>
      </c>
      <c r="R39" s="277">
        <f t="shared" si="16"/>
        <v>6.9961822028775849E-5</v>
      </c>
      <c r="S39" s="91">
        <f t="shared" si="17"/>
        <v>6.1757442948111675E-2</v>
      </c>
      <c r="T39" s="91">
        <f t="shared" si="17"/>
        <v>2.2062241960244333E-3</v>
      </c>
      <c r="U39" s="282">
        <f t="shared" si="26"/>
        <v>3.5984786254403239E-5</v>
      </c>
      <c r="V39" s="284">
        <f t="shared" si="24"/>
        <v>0.99999414603949877</v>
      </c>
      <c r="X39" s="296">
        <f t="shared" si="18"/>
        <v>0.93592453228707939</v>
      </c>
      <c r="Y39" s="278">
        <f t="shared" si="19"/>
        <v>6.4069613752419291E-2</v>
      </c>
      <c r="AA39" s="277">
        <f t="shared" si="27"/>
        <v>0.65877559929893614</v>
      </c>
      <c r="AB39" s="91">
        <f t="shared" si="28"/>
        <v>0.2298457779292124</v>
      </c>
      <c r="AC39" s="91">
        <f t="shared" si="29"/>
        <v>0.10306464946392165</v>
      </c>
      <c r="AD39" s="91">
        <f t="shared" si="30"/>
        <v>1.6137604133649064E-6</v>
      </c>
      <c r="AE39" s="282">
        <f t="shared" si="31"/>
        <v>8.3065055870149927E-3</v>
      </c>
      <c r="AF39" s="91">
        <f t="shared" si="32"/>
        <v>0</v>
      </c>
      <c r="AG39" s="91">
        <f t="shared" si="33"/>
        <v>0</v>
      </c>
      <c r="AH39" s="91">
        <f t="shared" si="23"/>
        <v>0</v>
      </c>
      <c r="AI39" s="282">
        <f t="shared" si="34"/>
        <v>0</v>
      </c>
      <c r="AJ39" s="284">
        <f t="shared" si="22"/>
        <v>0.99999414603949865</v>
      </c>
      <c r="AL39" s="296">
        <f t="shared" si="20"/>
        <v>0.99999414603949865</v>
      </c>
      <c r="AM39" s="278">
        <f t="shared" si="21"/>
        <v>0</v>
      </c>
    </row>
    <row r="40" spans="1:146" x14ac:dyDescent="0.35">
      <c r="A40" s="8">
        <v>2036</v>
      </c>
      <c r="B40" s="7">
        <v>60352870000.039688</v>
      </c>
      <c r="C40" s="8">
        <v>36291628581.789307</v>
      </c>
      <c r="D40">
        <v>12650218130.029478</v>
      </c>
      <c r="E40">
        <v>7094557483.5557022</v>
      </c>
      <c r="F40">
        <v>79474.106915798999</v>
      </c>
      <c r="G40" s="7">
        <v>465000000.00119299</v>
      </c>
      <c r="H40" s="8">
        <v>3733117.4572523562</v>
      </c>
      <c r="I40">
        <v>3697666825.2087102</v>
      </c>
      <c r="J40">
        <v>147710292.92151648</v>
      </c>
      <c r="K40" s="7">
        <v>1956330.5601836632</v>
      </c>
      <c r="M40" s="277">
        <f t="shared" si="11"/>
        <v>0.60132398975832368</v>
      </c>
      <c r="N40" s="91">
        <f t="shared" si="35"/>
        <v>0.20960425129776197</v>
      </c>
      <c r="O40" s="91">
        <f t="shared" si="36"/>
        <v>0.11755128602088082</v>
      </c>
      <c r="P40" s="91">
        <f t="shared" si="37"/>
        <v>1.3168239872560616E-6</v>
      </c>
      <c r="Q40" s="282">
        <f t="shared" si="38"/>
        <v>7.7046874490125693E-3</v>
      </c>
      <c r="R40" s="277">
        <f t="shared" si="16"/>
        <v>6.1854845631200325E-5</v>
      </c>
      <c r="S40" s="91">
        <f t="shared" si="17"/>
        <v>6.1267456298371208E-2</v>
      </c>
      <c r="T40" s="91">
        <f t="shared" si="17"/>
        <v>2.447444387009588E-3</v>
      </c>
      <c r="U40" s="282">
        <f t="shared" si="26"/>
        <v>3.2414872071243281E-5</v>
      </c>
      <c r="V40" s="284">
        <f t="shared" si="24"/>
        <v>0.9999947017530495</v>
      </c>
      <c r="X40" s="296">
        <f t="shared" si="18"/>
        <v>0.93618553134996629</v>
      </c>
      <c r="Y40" s="278">
        <f t="shared" si="19"/>
        <v>6.3809170403083232E-2</v>
      </c>
      <c r="AA40" s="277">
        <f t="shared" si="27"/>
        <v>0.64230943937814611</v>
      </c>
      <c r="AB40" s="91">
        <f t="shared" si="28"/>
        <v>0.22389060046723</v>
      </c>
      <c r="AC40" s="91">
        <f t="shared" si="29"/>
        <v>0.12556342655246094</v>
      </c>
      <c r="AD40" s="91">
        <f t="shared" si="30"/>
        <v>1.4065769725137231E-6</v>
      </c>
      <c r="AE40" s="282">
        <f t="shared" si="31"/>
        <v>8.2298287782399254E-3</v>
      </c>
      <c r="AF40" s="91">
        <f t="shared" si="32"/>
        <v>0</v>
      </c>
      <c r="AG40" s="91">
        <f t="shared" si="33"/>
        <v>0</v>
      </c>
      <c r="AH40" s="91">
        <f t="shared" si="23"/>
        <v>0</v>
      </c>
      <c r="AI40" s="282">
        <f t="shared" si="34"/>
        <v>0</v>
      </c>
      <c r="AJ40" s="284">
        <f t="shared" si="22"/>
        <v>0.9999947017530495</v>
      </c>
      <c r="AL40" s="296">
        <f t="shared" si="20"/>
        <v>0.9999947017530495</v>
      </c>
      <c r="AM40" s="278">
        <f t="shared" si="21"/>
        <v>0</v>
      </c>
    </row>
    <row r="41" spans="1:146" x14ac:dyDescent="0.35">
      <c r="A41" s="8">
        <v>2037</v>
      </c>
      <c r="B41" s="7">
        <v>60841890000.010353</v>
      </c>
      <c r="C41" s="8">
        <v>35470002069.561295</v>
      </c>
      <c r="D41">
        <v>12381162698.404646</v>
      </c>
      <c r="E41">
        <v>8659069001.2869663</v>
      </c>
      <c r="F41">
        <v>65303.718749489999</v>
      </c>
      <c r="G41" s="7">
        <v>464600000.00210643</v>
      </c>
      <c r="H41" s="8">
        <v>3361915.7292524702</v>
      </c>
      <c r="I41">
        <v>3697320211.2812781</v>
      </c>
      <c r="J41">
        <v>164248722.6423355</v>
      </c>
      <c r="K41" s="7">
        <v>1780927.0379472885</v>
      </c>
      <c r="M41" s="277">
        <f t="shared" si="11"/>
        <v>0.58298652572356413</v>
      </c>
      <c r="N41" s="91">
        <f t="shared" si="35"/>
        <v>0.20349733873162945</v>
      </c>
      <c r="O41" s="91">
        <f t="shared" si="36"/>
        <v>0.14232084179642501</v>
      </c>
      <c r="P41" s="91">
        <f t="shared" si="37"/>
        <v>1.0733348150341629E-6</v>
      </c>
      <c r="Q41" s="282">
        <f t="shared" si="38"/>
        <v>7.6361861868858346E-3</v>
      </c>
      <c r="R41" s="277">
        <f t="shared" si="16"/>
        <v>5.5256595895556465E-5</v>
      </c>
      <c r="S41" s="91">
        <f t="shared" si="17"/>
        <v>6.0769318824261523E-2</v>
      </c>
      <c r="T41" s="91">
        <f t="shared" si="17"/>
        <v>2.6995992833606509E-3</v>
      </c>
      <c r="U41" s="282">
        <f t="shared" si="26"/>
        <v>2.9271395710208631E-5</v>
      </c>
      <c r="V41" s="284">
        <f t="shared" si="24"/>
        <v>0.99999541187254737</v>
      </c>
      <c r="X41" s="296">
        <f t="shared" si="18"/>
        <v>0.93644196577331951</v>
      </c>
      <c r="Y41" s="278">
        <f t="shared" si="19"/>
        <v>6.3553446099227945E-2</v>
      </c>
      <c r="AA41" s="277">
        <f t="shared" si="27"/>
        <v>0.62255203441854434</v>
      </c>
      <c r="AB41" s="91">
        <f t="shared" si="28"/>
        <v>0.21730807940869515</v>
      </c>
      <c r="AC41" s="91">
        <f t="shared" si="29"/>
        <v>0.15197972112744307</v>
      </c>
      <c r="AD41" s="91">
        <f t="shared" si="30"/>
        <v>1.1461787592473707E-6</v>
      </c>
      <c r="AE41" s="282">
        <f t="shared" si="31"/>
        <v>8.1544307391055223E-3</v>
      </c>
      <c r="AF41" s="91">
        <f t="shared" si="32"/>
        <v>0</v>
      </c>
      <c r="AG41" s="91">
        <f t="shared" si="33"/>
        <v>0</v>
      </c>
      <c r="AH41" s="91">
        <f t="shared" si="23"/>
        <v>0</v>
      </c>
      <c r="AI41" s="282">
        <f t="shared" si="34"/>
        <v>0</v>
      </c>
      <c r="AJ41" s="284">
        <f t="shared" si="22"/>
        <v>0.99999541187254726</v>
      </c>
      <c r="AL41" s="296">
        <f t="shared" si="20"/>
        <v>0.99999541187254726</v>
      </c>
      <c r="AM41" s="278">
        <f t="shared" si="21"/>
        <v>0</v>
      </c>
    </row>
    <row r="42" spans="1:146" x14ac:dyDescent="0.35">
      <c r="A42" s="8">
        <v>2038</v>
      </c>
      <c r="B42" s="7">
        <v>61328910000.035172</v>
      </c>
      <c r="C42" s="8">
        <v>34418265679.430321</v>
      </c>
      <c r="D42">
        <v>12066311274.390354</v>
      </c>
      <c r="E42">
        <v>10497377690.804415</v>
      </c>
      <c r="F42">
        <v>56464.340866925995</v>
      </c>
      <c r="G42" s="7">
        <v>463969999.9991588</v>
      </c>
      <c r="H42" s="8">
        <v>3092205.8904346828</v>
      </c>
      <c r="I42">
        <v>3696413423.9701381</v>
      </c>
      <c r="J42">
        <v>181584836.04590589</v>
      </c>
      <c r="K42" s="7">
        <v>1588891.0692730062</v>
      </c>
      <c r="M42" s="277">
        <f t="shared" si="11"/>
        <v>0.56120784927386747</v>
      </c>
      <c r="N42" s="91">
        <f t="shared" si="35"/>
        <v>0.1967475253413673</v>
      </c>
      <c r="O42" s="91">
        <f t="shared" si="36"/>
        <v>0.17116524149537951</v>
      </c>
      <c r="P42" s="91">
        <f t="shared" si="37"/>
        <v>9.2068065235292151E-7</v>
      </c>
      <c r="Q42" s="282">
        <f t="shared" si="38"/>
        <v>7.565273865113414E-3</v>
      </c>
      <c r="R42" s="277">
        <f t="shared" si="16"/>
        <v>5.0420036658615151E-5</v>
      </c>
      <c r="S42" s="91">
        <f t="shared" si="17"/>
        <v>6.0271956960722413E-2</v>
      </c>
      <c r="T42" s="91">
        <f t="shared" si="17"/>
        <v>2.9608358610287017E-3</v>
      </c>
      <c r="U42" s="282">
        <f t="shared" si="26"/>
        <v>2.5907701103314813E-5</v>
      </c>
      <c r="V42" s="284">
        <f t="shared" si="24"/>
        <v>0.99999593121589303</v>
      </c>
      <c r="X42" s="296">
        <f t="shared" si="18"/>
        <v>0.93668681065638004</v>
      </c>
      <c r="Y42" s="278">
        <f t="shared" si="19"/>
        <v>6.3309120559513057E-2</v>
      </c>
      <c r="AA42" s="277">
        <f t="shared" si="27"/>
        <v>0.5991389645457128</v>
      </c>
      <c r="AB42" s="91">
        <f t="shared" si="28"/>
        <v>0.21004536690368633</v>
      </c>
      <c r="AC42" s="91">
        <f t="shared" si="29"/>
        <v>0.18273401857876306</v>
      </c>
      <c r="AD42" s="91">
        <f t="shared" si="30"/>
        <v>9.8290794300493509E-7</v>
      </c>
      <c r="AE42" s="282">
        <f t="shared" si="31"/>
        <v>8.0765982797879141E-3</v>
      </c>
      <c r="AF42" s="91">
        <f t="shared" si="32"/>
        <v>0</v>
      </c>
      <c r="AG42" s="91">
        <f t="shared" si="33"/>
        <v>0</v>
      </c>
      <c r="AH42" s="91">
        <f t="shared" si="23"/>
        <v>0</v>
      </c>
      <c r="AI42" s="282">
        <f t="shared" si="34"/>
        <v>0</v>
      </c>
      <c r="AJ42" s="284">
        <f t="shared" si="22"/>
        <v>0.99999593121589314</v>
      </c>
      <c r="AL42" s="296">
        <f t="shared" si="20"/>
        <v>0.99999593121589314</v>
      </c>
      <c r="AM42" s="278">
        <f t="shared" si="21"/>
        <v>0</v>
      </c>
    </row>
    <row r="43" spans="1:146" x14ac:dyDescent="0.35">
      <c r="A43" s="8">
        <v>2039</v>
      </c>
      <c r="B43" s="7">
        <v>61813930000.051315</v>
      </c>
      <c r="C43" s="8">
        <v>33110714023.82872</v>
      </c>
      <c r="D43">
        <v>11712395251.592379</v>
      </c>
      <c r="E43">
        <v>12628436421.555183</v>
      </c>
      <c r="F43">
        <v>48224.64182453401</v>
      </c>
      <c r="G43" s="7">
        <v>463110000.00028378</v>
      </c>
      <c r="H43" s="8">
        <v>2810861.8321355055</v>
      </c>
      <c r="I43">
        <v>3693993656.7712064</v>
      </c>
      <c r="J43">
        <v>200791059.52721414</v>
      </c>
      <c r="K43" s="7">
        <v>1406078.432284622</v>
      </c>
      <c r="M43" s="277">
        <f t="shared" si="11"/>
        <v>0.53565133334510895</v>
      </c>
      <c r="N43" s="91">
        <f t="shared" si="35"/>
        <v>0.18947824950755687</v>
      </c>
      <c r="O43" s="91">
        <f t="shared" si="36"/>
        <v>0.20429758181601945</v>
      </c>
      <c r="P43" s="91">
        <f t="shared" si="37"/>
        <v>7.8015815892136253E-7</v>
      </c>
      <c r="Q43" s="282">
        <f t="shared" si="38"/>
        <v>7.4920005895095058E-3</v>
      </c>
      <c r="R43" s="277">
        <f t="shared" si="16"/>
        <v>4.5472951357941035E-5</v>
      </c>
      <c r="S43" s="91">
        <f t="shared" si="17"/>
        <v>5.9759889991918322E-2</v>
      </c>
      <c r="T43" s="91">
        <f t="shared" si="17"/>
        <v>3.2483140859519439E-3</v>
      </c>
      <c r="U43" s="282">
        <f t="shared" si="26"/>
        <v>2.2746950926489463E-5</v>
      </c>
      <c r="V43" s="284">
        <f t="shared" si="24"/>
        <v>0.99999636939650838</v>
      </c>
      <c r="X43" s="296">
        <f t="shared" si="18"/>
        <v>0.93691994541635371</v>
      </c>
      <c r="Y43" s="278">
        <f t="shared" si="19"/>
        <v>6.30764239801547E-2</v>
      </c>
      <c r="AA43" s="277">
        <f t="shared" si="27"/>
        <v>0.57171308096069295</v>
      </c>
      <c r="AB43" s="91">
        <f t="shared" si="28"/>
        <v>0.20223452656135049</v>
      </c>
      <c r="AC43" s="91">
        <f t="shared" si="29"/>
        <v>0.21805154334900942</v>
      </c>
      <c r="AD43" s="91">
        <f t="shared" si="30"/>
        <v>8.3268088196130466E-7</v>
      </c>
      <c r="AE43" s="282">
        <f t="shared" si="31"/>
        <v>7.9963858445736072E-3</v>
      </c>
      <c r="AF43" s="91">
        <f t="shared" si="32"/>
        <v>0</v>
      </c>
      <c r="AG43" s="91">
        <f t="shared" si="33"/>
        <v>0</v>
      </c>
      <c r="AH43" s="91">
        <f t="shared" si="23"/>
        <v>0</v>
      </c>
      <c r="AI43" s="282">
        <f t="shared" si="34"/>
        <v>0</v>
      </c>
      <c r="AJ43" s="284">
        <f t="shared" si="22"/>
        <v>0.99999636939650849</v>
      </c>
      <c r="AL43" s="296">
        <f t="shared" si="20"/>
        <v>0.99999636939650849</v>
      </c>
      <c r="AM43" s="278">
        <f t="shared" si="21"/>
        <v>0</v>
      </c>
    </row>
    <row r="44" spans="1:146" x14ac:dyDescent="0.35">
      <c r="A44" s="8">
        <v>2040</v>
      </c>
      <c r="B44" s="7">
        <v>62298949999.993668</v>
      </c>
      <c r="C44" s="8">
        <v>31530485028.418255</v>
      </c>
      <c r="D44">
        <v>11325796338.473568</v>
      </c>
      <c r="E44">
        <v>15064848972.536678</v>
      </c>
      <c r="F44">
        <v>36751.142544483999</v>
      </c>
      <c r="G44" s="7">
        <v>462249999.9998852</v>
      </c>
      <c r="H44" s="8">
        <v>2529270.203563693</v>
      </c>
      <c r="I44">
        <v>3690431710.1186457</v>
      </c>
      <c r="J44">
        <v>221137100.34613562</v>
      </c>
      <c r="K44" s="7">
        <v>1232909.4216275192</v>
      </c>
      <c r="M44" s="277">
        <f t="shared" si="11"/>
        <v>0.50611583386913361</v>
      </c>
      <c r="N44" s="91">
        <f t="shared" si="35"/>
        <v>0.18179754776725321</v>
      </c>
      <c r="O44" s="91">
        <f t="shared" si="36"/>
        <v>0.24181545551792141</v>
      </c>
      <c r="P44" s="91">
        <f t="shared" si="37"/>
        <v>5.899159222504992E-7</v>
      </c>
      <c r="Q44" s="282">
        <f t="shared" si="38"/>
        <v>7.4198682321280247E-3</v>
      </c>
      <c r="R44" s="277">
        <f t="shared" si="16"/>
        <v>4.0598921868891052E-5</v>
      </c>
      <c r="S44" s="91">
        <f t="shared" si="17"/>
        <v>5.9237462431052545E-2</v>
      </c>
      <c r="T44" s="91">
        <f t="shared" si="17"/>
        <v>3.5496119974118036E-3</v>
      </c>
      <c r="U44" s="282">
        <f t="shared" si="26"/>
        <v>1.9790211899681208E-5</v>
      </c>
      <c r="V44" s="284">
        <f t="shared" si="24"/>
        <v>0.99999675886459138</v>
      </c>
      <c r="X44" s="296">
        <f t="shared" si="18"/>
        <v>0.93714929530235846</v>
      </c>
      <c r="Y44" s="278">
        <f t="shared" si="19"/>
        <v>6.2847463562232919E-2</v>
      </c>
      <c r="AA44" s="277">
        <f t="shared" si="27"/>
        <v>0.54005716700228934</v>
      </c>
      <c r="AB44" s="91">
        <f t="shared" si="28"/>
        <v>0.19398932427103799</v>
      </c>
      <c r="AC44" s="91">
        <f t="shared" si="29"/>
        <v>0.25803217584799865</v>
      </c>
      <c r="AD44" s="91">
        <f t="shared" si="30"/>
        <v>6.2947708888025979E-7</v>
      </c>
      <c r="AE44" s="282">
        <f t="shared" si="31"/>
        <v>7.9174622661765531E-3</v>
      </c>
      <c r="AF44" s="91">
        <f t="shared" si="32"/>
        <v>0</v>
      </c>
      <c r="AG44" s="91">
        <f t="shared" si="33"/>
        <v>0</v>
      </c>
      <c r="AH44" s="91">
        <f t="shared" si="23"/>
        <v>0</v>
      </c>
      <c r="AI44" s="282">
        <f t="shared" si="34"/>
        <v>0</v>
      </c>
      <c r="AJ44" s="284">
        <f t="shared" si="22"/>
        <v>0.99999675886459138</v>
      </c>
      <c r="AL44" s="296">
        <f t="shared" si="20"/>
        <v>0.99999675886459138</v>
      </c>
      <c r="AM44" s="278">
        <f t="shared" si="21"/>
        <v>0</v>
      </c>
    </row>
    <row r="45" spans="1:146" x14ac:dyDescent="0.35">
      <c r="A45" s="8">
        <v>2041</v>
      </c>
      <c r="B45" s="7">
        <v>62783970000.032188</v>
      </c>
      <c r="C45" s="8">
        <v>29675238160.154812</v>
      </c>
      <c r="D45">
        <v>10919276201.137632</v>
      </c>
      <c r="E45">
        <v>17796208940.330761</v>
      </c>
      <c r="F45">
        <v>26754.732234420004</v>
      </c>
      <c r="G45" s="7">
        <v>461390000.00023139</v>
      </c>
      <c r="H45" s="8">
        <v>2276625.6492933901</v>
      </c>
      <c r="I45">
        <v>3684255740.1625676</v>
      </c>
      <c r="J45">
        <v>244065506.72485137</v>
      </c>
      <c r="K45" s="7">
        <v>1049943.6773614951</v>
      </c>
      <c r="M45" s="277">
        <f t="shared" si="11"/>
        <v>0.47265628726790609</v>
      </c>
      <c r="N45" s="91">
        <f t="shared" si="35"/>
        <v>0.17391821831483473</v>
      </c>
      <c r="O45" s="91">
        <f t="shared" si="36"/>
        <v>0.28345147559674289</v>
      </c>
      <c r="P45" s="91">
        <f t="shared" si="37"/>
        <v>4.2613954221764391E-7</v>
      </c>
      <c r="Q45" s="282">
        <f t="shared" si="38"/>
        <v>7.3488503514510927E-3</v>
      </c>
      <c r="R45" s="277">
        <f t="shared" si="16"/>
        <v>3.6261256643888925E-5</v>
      </c>
      <c r="S45" s="91">
        <f t="shared" si="17"/>
        <v>5.8681471403619088E-2</v>
      </c>
      <c r="T45" s="91">
        <f t="shared" si="17"/>
        <v>3.8873856929519785E-3</v>
      </c>
      <c r="U45" s="282">
        <f t="shared" si="26"/>
        <v>1.6723117021127477E-5</v>
      </c>
      <c r="V45" s="284">
        <f t="shared" si="24"/>
        <v>0.99999709914071311</v>
      </c>
      <c r="X45" s="296">
        <f t="shared" si="18"/>
        <v>0.93737525767047691</v>
      </c>
      <c r="Y45" s="278">
        <f t="shared" si="19"/>
        <v>6.2621841470236084E-2</v>
      </c>
      <c r="AA45" s="277">
        <f t="shared" si="27"/>
        <v>0.50423233629309416</v>
      </c>
      <c r="AB45" s="91">
        <f t="shared" si="28"/>
        <v>0.18553691531689079</v>
      </c>
      <c r="AC45" s="91">
        <f t="shared" si="29"/>
        <v>0.30238759880255045</v>
      </c>
      <c r="AD45" s="91">
        <f t="shared" si="30"/>
        <v>4.5460801590370032E-7</v>
      </c>
      <c r="AE45" s="282">
        <f t="shared" si="31"/>
        <v>7.8397941201619557E-3</v>
      </c>
      <c r="AF45" s="91">
        <f t="shared" si="32"/>
        <v>0</v>
      </c>
      <c r="AG45" s="91">
        <f t="shared" si="33"/>
        <v>0</v>
      </c>
      <c r="AH45" s="91">
        <f t="shared" si="23"/>
        <v>0</v>
      </c>
      <c r="AI45" s="282">
        <f t="shared" si="34"/>
        <v>0</v>
      </c>
      <c r="AJ45" s="284">
        <f t="shared" si="22"/>
        <v>0.99999709914071322</v>
      </c>
      <c r="AL45" s="296">
        <f t="shared" si="20"/>
        <v>0.99999709914071322</v>
      </c>
      <c r="AM45" s="278">
        <f t="shared" si="21"/>
        <v>0</v>
      </c>
    </row>
    <row r="46" spans="1:146" x14ac:dyDescent="0.35">
      <c r="A46" s="8">
        <v>2042</v>
      </c>
      <c r="B46" s="7">
        <v>63268990000.066254</v>
      </c>
      <c r="C46" s="8">
        <v>27757342802.853214</v>
      </c>
      <c r="D46">
        <v>10508997950.31863</v>
      </c>
      <c r="E46">
        <v>20593931026.46027</v>
      </c>
      <c r="F46">
        <v>23501.659903972002</v>
      </c>
      <c r="G46" s="7">
        <v>460529999.99961436</v>
      </c>
      <c r="H46" s="8">
        <v>2060944.52276929</v>
      </c>
      <c r="I46">
        <v>3674982385.0436854</v>
      </c>
      <c r="J46">
        <v>270052879.38882208</v>
      </c>
      <c r="K46" s="7">
        <v>904718.77355750708</v>
      </c>
      <c r="M46" s="277">
        <f t="shared" si="11"/>
        <v>0.43871954970079574</v>
      </c>
      <c r="N46" s="91">
        <f t="shared" si="35"/>
        <v>0.16610029574215782</v>
      </c>
      <c r="O46" s="91">
        <f t="shared" si="36"/>
        <v>0.32549802085411361</v>
      </c>
      <c r="P46" s="91">
        <f t="shared" si="37"/>
        <v>3.7145622055840299E-7</v>
      </c>
      <c r="Q46" s="282">
        <f t="shared" si="38"/>
        <v>7.2789213167324483E-3</v>
      </c>
      <c r="R46" s="277">
        <f t="shared" si="16"/>
        <v>3.2574323104685751E-5</v>
      </c>
      <c r="S46" s="91">
        <f t="shared" si="17"/>
        <v>5.8085049011211289E-2</v>
      </c>
      <c r="T46" s="91">
        <f t="shared" si="17"/>
        <v>4.2683292302996981E-3</v>
      </c>
      <c r="U46" s="282">
        <f t="shared" si="26"/>
        <v>1.4299560867915857E-5</v>
      </c>
      <c r="V46" s="284">
        <f t="shared" si="24"/>
        <v>0.99999741119550378</v>
      </c>
      <c r="X46" s="296">
        <f t="shared" si="18"/>
        <v>0.93759715907002017</v>
      </c>
      <c r="Y46" s="278">
        <f t="shared" si="19"/>
        <v>6.2400252125483585E-2</v>
      </c>
      <c r="AA46" s="277">
        <f t="shared" si="27"/>
        <v>0.46791781491403733</v>
      </c>
      <c r="AB46" s="91">
        <f t="shared" si="28"/>
        <v>0.17715483044521574</v>
      </c>
      <c r="AC46" s="91">
        <f t="shared" si="29"/>
        <v>0.34716101158649676</v>
      </c>
      <c r="AD46" s="91">
        <f t="shared" si="30"/>
        <v>3.9617788443312531E-7</v>
      </c>
      <c r="AE46" s="282">
        <f t="shared" si="31"/>
        <v>7.7633580718695673E-3</v>
      </c>
      <c r="AF46" s="91">
        <f t="shared" si="32"/>
        <v>0</v>
      </c>
      <c r="AG46" s="91">
        <f t="shared" si="33"/>
        <v>0</v>
      </c>
      <c r="AH46" s="91">
        <f t="shared" si="23"/>
        <v>0</v>
      </c>
      <c r="AI46" s="282">
        <f t="shared" si="34"/>
        <v>0</v>
      </c>
      <c r="AJ46" s="284">
        <f t="shared" si="22"/>
        <v>0.99999741119550367</v>
      </c>
      <c r="AL46" s="296">
        <f t="shared" si="20"/>
        <v>0.99999741119550367</v>
      </c>
      <c r="AM46" s="278">
        <f t="shared" si="21"/>
        <v>0</v>
      </c>
    </row>
    <row r="47" spans="1:146" x14ac:dyDescent="0.35">
      <c r="A47" s="8">
        <v>2043</v>
      </c>
      <c r="B47" s="7">
        <v>63749650000.010612</v>
      </c>
      <c r="C47" s="8">
        <v>25874038019.816422</v>
      </c>
      <c r="D47">
        <v>10097995378.392931</v>
      </c>
      <c r="E47">
        <v>23347122823.235283</v>
      </c>
      <c r="F47">
        <v>20261.121808755004</v>
      </c>
      <c r="G47" s="7">
        <v>461330000.00017393</v>
      </c>
      <c r="H47" s="8">
        <v>1857465.7139419748</v>
      </c>
      <c r="I47">
        <v>3665915288.8827701</v>
      </c>
      <c r="J47">
        <v>300309156.51917255</v>
      </c>
      <c r="K47" s="7">
        <v>913517.44239946874</v>
      </c>
      <c r="M47" s="277">
        <f t="shared" si="11"/>
        <v>0.40586949135896611</v>
      </c>
      <c r="N47" s="91">
        <f t="shared" si="35"/>
        <v>0.15840079715561184</v>
      </c>
      <c r="O47" s="91">
        <f t="shared" si="36"/>
        <v>0.36623138830144786</v>
      </c>
      <c r="P47" s="91">
        <f t="shared" si="37"/>
        <v>3.1782326348068781E-7</v>
      </c>
      <c r="Q47" s="282">
        <f t="shared" si="38"/>
        <v>7.2365887499005422E-3</v>
      </c>
      <c r="R47" s="277">
        <f t="shared" si="16"/>
        <v>2.9136877048606002E-5</v>
      </c>
      <c r="S47" s="91">
        <f t="shared" si="17"/>
        <v>5.7504869264100429E-2</v>
      </c>
      <c r="T47" s="91">
        <f t="shared" si="17"/>
        <v>4.7107577299502438E-3</v>
      </c>
      <c r="U47" s="282">
        <f t="shared" si="26"/>
        <v>1.4329764044184033E-5</v>
      </c>
      <c r="V47" s="284">
        <f t="shared" si="24"/>
        <v>0.99999767702433329</v>
      </c>
      <c r="X47" s="296">
        <f t="shared" si="18"/>
        <v>0.93773858338918981</v>
      </c>
      <c r="Y47" s="278">
        <f t="shared" si="19"/>
        <v>6.225909363514346E-2</v>
      </c>
      <c r="AA47" s="277">
        <f t="shared" si="27"/>
        <v>0.43281630480332506</v>
      </c>
      <c r="AB47" s="91">
        <f t="shared" si="28"/>
        <v>0.16891747017801176</v>
      </c>
      <c r="AC47" s="91">
        <f t="shared" si="29"/>
        <v>0.39054651695273984</v>
      </c>
      <c r="AD47" s="91">
        <f t="shared" si="30"/>
        <v>3.3892444100604372E-7</v>
      </c>
      <c r="AE47" s="282">
        <f t="shared" si="31"/>
        <v>7.7170461658156719E-3</v>
      </c>
      <c r="AF47" s="91">
        <f t="shared" si="32"/>
        <v>0</v>
      </c>
      <c r="AG47" s="91">
        <f t="shared" si="33"/>
        <v>0</v>
      </c>
      <c r="AH47" s="91">
        <f t="shared" si="23"/>
        <v>0</v>
      </c>
      <c r="AI47" s="282">
        <f t="shared" si="34"/>
        <v>0</v>
      </c>
      <c r="AJ47" s="284">
        <f t="shared" si="22"/>
        <v>0.9999976770243334</v>
      </c>
      <c r="AL47" s="296">
        <f t="shared" si="20"/>
        <v>0.9999976770243334</v>
      </c>
      <c r="AM47" s="278">
        <f t="shared" si="21"/>
        <v>0</v>
      </c>
    </row>
    <row r="48" spans="1:146" x14ac:dyDescent="0.35">
      <c r="A48" s="8">
        <v>2044</v>
      </c>
      <c r="B48" s="7">
        <v>64225950000.068489</v>
      </c>
      <c r="C48" s="8">
        <v>24068938502.760887</v>
      </c>
      <c r="D48">
        <v>9691380322.1223869</v>
      </c>
      <c r="E48">
        <v>26007159475.638527</v>
      </c>
      <c r="F48">
        <v>18872.208813057001</v>
      </c>
      <c r="G48" s="7">
        <v>463790000.00050139</v>
      </c>
      <c r="H48" s="8">
        <v>1667165.9603149565</v>
      </c>
      <c r="I48">
        <v>3656715735.7587628</v>
      </c>
      <c r="J48">
        <v>335173429.48586953</v>
      </c>
      <c r="K48" s="7">
        <v>972827.33803678921</v>
      </c>
      <c r="M48" s="277">
        <f t="shared" si="11"/>
        <v>0.37475410644350488</v>
      </c>
      <c r="N48" s="91">
        <f t="shared" si="35"/>
        <v>0.15089508714331282</v>
      </c>
      <c r="O48" s="91">
        <f t="shared" si="36"/>
        <v>0.40493226609510319</v>
      </c>
      <c r="P48" s="91">
        <f t="shared" si="37"/>
        <v>2.9384086670632162E-7</v>
      </c>
      <c r="Q48" s="282">
        <f t="shared" si="38"/>
        <v>7.2212244427681772E-3</v>
      </c>
      <c r="R48" s="277">
        <f t="shared" si="16"/>
        <v>2.5957824840476143E-5</v>
      </c>
      <c r="S48" s="91">
        <f t="shared" si="17"/>
        <v>5.6935175513244465E-2</v>
      </c>
      <c r="T48" s="91">
        <f t="shared" si="17"/>
        <v>5.2186605178360474E-3</v>
      </c>
      <c r="U48" s="282">
        <f t="shared" si="26"/>
        <v>1.5146951318520812E-5</v>
      </c>
      <c r="V48" s="284">
        <f t="shared" si="24"/>
        <v>0.99999791877279531</v>
      </c>
      <c r="X48" s="296">
        <f t="shared" si="18"/>
        <v>0.93780297796555578</v>
      </c>
      <c r="Y48" s="278">
        <f t="shared" si="19"/>
        <v>6.2194940807239502E-2</v>
      </c>
      <c r="AA48" s="277">
        <f t="shared" si="27"/>
        <v>0.3996077377660317</v>
      </c>
      <c r="AB48" s="91">
        <f t="shared" si="28"/>
        <v>0.16090242475418387</v>
      </c>
      <c r="AC48" s="91">
        <f t="shared" si="29"/>
        <v>0.43178730805216903</v>
      </c>
      <c r="AD48" s="91">
        <f t="shared" si="30"/>
        <v>3.1332834514363026E-7</v>
      </c>
      <c r="AE48" s="282">
        <f t="shared" si="31"/>
        <v>7.7001348720654632E-3</v>
      </c>
      <c r="AF48" s="91">
        <f t="shared" si="32"/>
        <v>0</v>
      </c>
      <c r="AG48" s="91">
        <f t="shared" si="33"/>
        <v>0</v>
      </c>
      <c r="AH48" s="91">
        <f t="shared" si="23"/>
        <v>0</v>
      </c>
      <c r="AI48" s="282">
        <f t="shared" si="34"/>
        <v>0</v>
      </c>
      <c r="AJ48" s="284">
        <f t="shared" si="22"/>
        <v>0.9999979187727952</v>
      </c>
      <c r="AL48" s="296">
        <f t="shared" si="20"/>
        <v>0.9999979187727952</v>
      </c>
      <c r="AM48" s="278">
        <f t="shared" si="21"/>
        <v>0</v>
      </c>
    </row>
    <row r="49" spans="1:39" x14ac:dyDescent="0.35">
      <c r="A49" s="8">
        <v>2045</v>
      </c>
      <c r="B49" s="7">
        <v>64702250000.00528</v>
      </c>
      <c r="C49" s="8">
        <v>22341544661.111179</v>
      </c>
      <c r="D49">
        <v>9291425169.2576065</v>
      </c>
      <c r="E49">
        <v>28582890943.17522</v>
      </c>
      <c r="F49">
        <v>17577.915404084</v>
      </c>
      <c r="G49" s="7">
        <v>466249999.99925822</v>
      </c>
      <c r="H49" s="8">
        <v>1502080.9001189724</v>
      </c>
      <c r="I49">
        <v>3643719278.2244577</v>
      </c>
      <c r="J49">
        <v>373808144.52500677</v>
      </c>
      <c r="K49" s="7">
        <v>971648.54227042838</v>
      </c>
      <c r="M49" s="277">
        <f t="shared" si="11"/>
        <v>0.34529780125280585</v>
      </c>
      <c r="N49" s="91">
        <f t="shared" si="35"/>
        <v>0.14360281395557106</v>
      </c>
      <c r="O49" s="91">
        <f t="shared" si="36"/>
        <v>0.44176038612525664</v>
      </c>
      <c r="P49" s="91">
        <f t="shared" si="37"/>
        <v>2.7167394339582576E-7</v>
      </c>
      <c r="Q49" s="282">
        <f t="shared" si="38"/>
        <v>7.2060863416530362E-3</v>
      </c>
      <c r="R49" s="277">
        <f t="shared" si="16"/>
        <v>2.3215280768734468E-5</v>
      </c>
      <c r="S49" s="91">
        <f t="shared" si="17"/>
        <v>5.631518653870863E-2</v>
      </c>
      <c r="T49" s="91">
        <f t="shared" si="17"/>
        <v>5.7773592807819863E-3</v>
      </c>
      <c r="U49" s="282">
        <f t="shared" si="26"/>
        <v>1.5017229575020175E-5</v>
      </c>
      <c r="V49" s="284">
        <f t="shared" si="24"/>
        <v>0.9999981376790642</v>
      </c>
      <c r="X49" s="296">
        <f t="shared" si="18"/>
        <v>0.93786735934922993</v>
      </c>
      <c r="Y49" s="278">
        <f t="shared" si="19"/>
        <v>6.2130778329834366E-2</v>
      </c>
      <c r="AA49" s="277">
        <f t="shared" si="27"/>
        <v>0.36817270028149529</v>
      </c>
      <c r="AB49" s="91">
        <f t="shared" si="28"/>
        <v>0.15311605110203166</v>
      </c>
      <c r="AC49" s="91">
        <f t="shared" si="29"/>
        <v>0.47102562960733629</v>
      </c>
      <c r="AD49" s="91">
        <f t="shared" si="30"/>
        <v>2.8967149218228767E-7</v>
      </c>
      <c r="AE49" s="282">
        <f t="shared" si="31"/>
        <v>7.6834670167087882E-3</v>
      </c>
      <c r="AF49" s="91">
        <f t="shared" si="32"/>
        <v>0</v>
      </c>
      <c r="AG49" s="91">
        <f t="shared" si="33"/>
        <v>0</v>
      </c>
      <c r="AH49" s="91">
        <f t="shared" si="23"/>
        <v>0</v>
      </c>
      <c r="AI49" s="282">
        <f t="shared" si="34"/>
        <v>0</v>
      </c>
      <c r="AJ49" s="284">
        <f t="shared" si="22"/>
        <v>0.9999981376790642</v>
      </c>
      <c r="AL49" s="296">
        <f t="shared" si="20"/>
        <v>0.9999981376790642</v>
      </c>
      <c r="AM49" s="278">
        <f t="shared" si="21"/>
        <v>0</v>
      </c>
    </row>
    <row r="50" spans="1:39" x14ac:dyDescent="0.35">
      <c r="A50" s="8">
        <v>2046</v>
      </c>
      <c r="B50" s="7">
        <v>65178550000.052254</v>
      </c>
      <c r="C50" s="8">
        <v>20690854885.352962</v>
      </c>
      <c r="D50">
        <v>8898048090.9242306</v>
      </c>
      <c r="E50">
        <v>31075434554.389015</v>
      </c>
      <c r="F50">
        <v>14221.57341049</v>
      </c>
      <c r="G50" s="7">
        <v>468709999.99986035</v>
      </c>
      <c r="H50" s="8">
        <v>1345650.3868683253</v>
      </c>
      <c r="I50">
        <v>3627234911.5063143</v>
      </c>
      <c r="J50">
        <v>415921397.80699158</v>
      </c>
      <c r="K50" s="7">
        <v>878247.81001725141</v>
      </c>
      <c r="M50" s="277">
        <f t="shared" si="11"/>
        <v>0.31744883685409347</v>
      </c>
      <c r="N50" s="91">
        <f t="shared" si="35"/>
        <v>0.13651804298986547</v>
      </c>
      <c r="O50" s="91">
        <f t="shared" si="36"/>
        <v>0.47677394717071953</v>
      </c>
      <c r="P50" s="91">
        <f t="shared" si="37"/>
        <v>2.1819407474512089E-7</v>
      </c>
      <c r="Q50" s="282">
        <f t="shared" si="38"/>
        <v>7.1911694874998693E-3</v>
      </c>
      <c r="R50" s="277">
        <f t="shared" si="16"/>
        <v>2.064560176418847E-5</v>
      </c>
      <c r="S50" s="91">
        <f t="shared" si="17"/>
        <v>5.5650745705502908E-2</v>
      </c>
      <c r="T50" s="91">
        <f t="shared" si="17"/>
        <v>6.3812618999142838E-3</v>
      </c>
      <c r="U50" s="282">
        <f t="shared" si="26"/>
        <v>1.347449137816885E-5</v>
      </c>
      <c r="V50" s="284">
        <f t="shared" si="24"/>
        <v>0.99999834239481245</v>
      </c>
      <c r="X50" s="296">
        <f t="shared" si="18"/>
        <v>0.93793221469625299</v>
      </c>
      <c r="Y50" s="278">
        <f t="shared" si="19"/>
        <v>6.2066127698559542E-2</v>
      </c>
      <c r="AA50" s="277">
        <f t="shared" si="27"/>
        <v>0.3384554935583054</v>
      </c>
      <c r="AB50" s="91">
        <f t="shared" si="28"/>
        <v>0.14555190082799341</v>
      </c>
      <c r="AC50" s="91">
        <f t="shared" si="29"/>
        <v>0.50832368202872025</v>
      </c>
      <c r="AD50" s="91">
        <f t="shared" si="30"/>
        <v>2.3263271017527872E-7</v>
      </c>
      <c r="AE50" s="282">
        <f t="shared" si="31"/>
        <v>7.6670333470834681E-3</v>
      </c>
      <c r="AF50" s="91">
        <f t="shared" si="32"/>
        <v>0</v>
      </c>
      <c r="AG50" s="91">
        <f t="shared" si="33"/>
        <v>0</v>
      </c>
      <c r="AH50" s="91">
        <f t="shared" si="23"/>
        <v>0</v>
      </c>
      <c r="AI50" s="282">
        <f t="shared" si="34"/>
        <v>0</v>
      </c>
      <c r="AJ50" s="284">
        <f t="shared" si="22"/>
        <v>0.99999834239481278</v>
      </c>
      <c r="AL50" s="296">
        <f t="shared" si="20"/>
        <v>0.99999834239481278</v>
      </c>
      <c r="AM50" s="278">
        <f t="shared" si="21"/>
        <v>0</v>
      </c>
    </row>
    <row r="51" spans="1:39" x14ac:dyDescent="0.35">
      <c r="A51" s="8">
        <v>2047</v>
      </c>
      <c r="B51" s="7">
        <v>65654849999.969299</v>
      </c>
      <c r="C51" s="8">
        <v>19138895763.797802</v>
      </c>
      <c r="D51">
        <v>8513058121.2800827</v>
      </c>
      <c r="E51">
        <v>33460852089.409508</v>
      </c>
      <c r="F51">
        <v>11984.26319471</v>
      </c>
      <c r="G51" s="7">
        <v>471169999.99973059</v>
      </c>
      <c r="H51" s="8">
        <v>1201280.0992500938</v>
      </c>
      <c r="I51">
        <v>3607241888.0361848</v>
      </c>
      <c r="J51">
        <v>461529663.10080576</v>
      </c>
      <c r="K51" s="7">
        <v>792041.21488927503</v>
      </c>
      <c r="M51" s="277">
        <f t="shared" si="11"/>
        <v>0.29150772203130082</v>
      </c>
      <c r="N51" s="91">
        <f t="shared" si="35"/>
        <v>0.12966381190855</v>
      </c>
      <c r="O51" s="91">
        <f t="shared" si="36"/>
        <v>0.50964783392887436</v>
      </c>
      <c r="P51" s="91">
        <f t="shared" si="37"/>
        <v>1.8253431688162571E-7</v>
      </c>
      <c r="Q51" s="282">
        <f t="shared" si="38"/>
        <v>7.176469065117823E-3</v>
      </c>
      <c r="R51" s="277">
        <f t="shared" si="16"/>
        <v>1.8296898085223795E-5</v>
      </c>
      <c r="S51" s="91">
        <f t="shared" si="17"/>
        <v>5.4942504446173761E-2</v>
      </c>
      <c r="T51" s="91">
        <f t="shared" si="17"/>
        <v>7.0296354816288759E-3</v>
      </c>
      <c r="U51" s="282">
        <f t="shared" si="26"/>
        <v>1.2063712199321839E-5</v>
      </c>
      <c r="V51" s="284">
        <f t="shared" si="24"/>
        <v>0.999998520006247</v>
      </c>
      <c r="X51" s="296">
        <f t="shared" si="18"/>
        <v>0.93799601946815991</v>
      </c>
      <c r="Y51" s="278">
        <f t="shared" si="19"/>
        <v>6.2002500538087181E-2</v>
      </c>
      <c r="AA51" s="277">
        <f t="shared" si="27"/>
        <v>0.31077668193834851</v>
      </c>
      <c r="AB51" s="91">
        <f t="shared" si="28"/>
        <v>0.13823472308596488</v>
      </c>
      <c r="AC51" s="91">
        <f t="shared" si="29"/>
        <v>0.54333607933883543</v>
      </c>
      <c r="AD51" s="91">
        <f t="shared" si="30"/>
        <v>1.9460002275433229E-7</v>
      </c>
      <c r="AE51" s="282">
        <f t="shared" si="31"/>
        <v>7.6508410430754948E-3</v>
      </c>
      <c r="AF51" s="91">
        <f t="shared" si="32"/>
        <v>0</v>
      </c>
      <c r="AG51" s="91">
        <f t="shared" si="33"/>
        <v>0</v>
      </c>
      <c r="AH51" s="91">
        <f t="shared" si="23"/>
        <v>0</v>
      </c>
      <c r="AI51" s="282">
        <f t="shared" si="34"/>
        <v>0</v>
      </c>
      <c r="AJ51" s="284">
        <f t="shared" si="22"/>
        <v>0.999998520006247</v>
      </c>
      <c r="AL51" s="296">
        <f t="shared" si="20"/>
        <v>0.999998520006247</v>
      </c>
      <c r="AM51" s="278">
        <f t="shared" si="21"/>
        <v>0</v>
      </c>
    </row>
    <row r="52" spans="1:39" x14ac:dyDescent="0.35">
      <c r="A52" s="8">
        <v>2048</v>
      </c>
      <c r="B52" s="7">
        <v>66118280000.009254</v>
      </c>
      <c r="C52" s="8">
        <v>17693241275.521244</v>
      </c>
      <c r="D52">
        <v>8139723686.6918383</v>
      </c>
      <c r="E52">
        <v>35715040150.579208</v>
      </c>
      <c r="F52">
        <v>10796.180609359999</v>
      </c>
      <c r="G52" s="7">
        <v>473509999.99803901</v>
      </c>
      <c r="H52" s="8">
        <v>1063866.8042726994</v>
      </c>
      <c r="I52">
        <v>3583974291.3145289</v>
      </c>
      <c r="J52">
        <v>510914519.63108319</v>
      </c>
      <c r="K52" s="7">
        <v>714091.03609884938</v>
      </c>
      <c r="M52" s="277">
        <f t="shared" si="11"/>
        <v>0.2675998419123844</v>
      </c>
      <c r="N52" s="91">
        <f t="shared" si="35"/>
        <v>0.123108521375491</v>
      </c>
      <c r="O52" s="91">
        <f t="shared" si="36"/>
        <v>0.54016892379194092</v>
      </c>
      <c r="P52" s="91">
        <f t="shared" si="37"/>
        <v>1.6328586601706045E-7</v>
      </c>
      <c r="Q52" s="282">
        <f t="shared" si="38"/>
        <v>7.1615595565700249E-3</v>
      </c>
      <c r="R52" s="277">
        <f t="shared" si="16"/>
        <v>1.6090358132010548E-5</v>
      </c>
      <c r="S52" s="91">
        <f t="shared" si="17"/>
        <v>5.4205497954786894E-2</v>
      </c>
      <c r="T52" s="91">
        <f t="shared" si="17"/>
        <v>7.7272808613746708E-3</v>
      </c>
      <c r="U52" s="282">
        <f t="shared" si="26"/>
        <v>1.0800205874967549E-5</v>
      </c>
      <c r="V52" s="284">
        <f t="shared" si="24"/>
        <v>0.99999867930242092</v>
      </c>
      <c r="X52" s="296">
        <f t="shared" si="18"/>
        <v>0.93803900992225242</v>
      </c>
      <c r="Y52" s="278">
        <f t="shared" si="19"/>
        <v>6.1959669380168544E-2</v>
      </c>
      <c r="AA52" s="277">
        <f t="shared" si="27"/>
        <v>0.28527543701631397</v>
      </c>
      <c r="AB52" s="91">
        <f t="shared" si="28"/>
        <v>0.13124012699276597</v>
      </c>
      <c r="AC52" s="91">
        <f t="shared" si="29"/>
        <v>0.57584834391580553</v>
      </c>
      <c r="AD52" s="91">
        <f t="shared" si="30"/>
        <v>1.7407127916710642E-7</v>
      </c>
      <c r="AE52" s="282">
        <f t="shared" si="31"/>
        <v>7.6345973062561948E-3</v>
      </c>
      <c r="AF52" s="91">
        <f t="shared" si="32"/>
        <v>0</v>
      </c>
      <c r="AG52" s="91">
        <f t="shared" si="33"/>
        <v>0</v>
      </c>
      <c r="AH52" s="91">
        <f t="shared" si="23"/>
        <v>0</v>
      </c>
      <c r="AI52" s="282">
        <f t="shared" si="34"/>
        <v>0</v>
      </c>
      <c r="AJ52" s="284">
        <f t="shared" si="22"/>
        <v>0.99999867930242081</v>
      </c>
      <c r="AL52" s="296">
        <f t="shared" si="20"/>
        <v>0.99999867930242081</v>
      </c>
      <c r="AM52" s="278">
        <f t="shared" si="21"/>
        <v>0</v>
      </c>
    </row>
    <row r="53" spans="1:39" x14ac:dyDescent="0.35">
      <c r="A53" s="8">
        <v>2049</v>
      </c>
      <c r="B53" s="7">
        <v>66568839999.928268</v>
      </c>
      <c r="C53" s="8">
        <v>16362526545.462233</v>
      </c>
      <c r="D53">
        <v>7781499601.6125298</v>
      </c>
      <c r="E53">
        <v>37825910919.557449</v>
      </c>
      <c r="F53">
        <v>9723.5520661900009</v>
      </c>
      <c r="G53" s="7">
        <v>475730000.00074887</v>
      </c>
      <c r="H53" s="8">
        <v>942575.11533964868</v>
      </c>
      <c r="I53">
        <v>3557087963.6509595</v>
      </c>
      <c r="J53">
        <v>564411077.48703218</v>
      </c>
      <c r="K53" s="7">
        <v>643209.74322721618</v>
      </c>
      <c r="M53" s="277">
        <f t="shared" si="11"/>
        <v>0.24579858302292582</v>
      </c>
      <c r="N53" s="91">
        <f t="shared" si="35"/>
        <v>0.11689402431559442</v>
      </c>
      <c r="O53" s="91">
        <f t="shared" si="36"/>
        <v>0.56822247345151589</v>
      </c>
      <c r="P53" s="91">
        <f t="shared" si="37"/>
        <v>1.4606762061950423E-7</v>
      </c>
      <c r="Q53" s="282">
        <f t="shared" si="38"/>
        <v>7.1464366812049223E-3</v>
      </c>
      <c r="R53" s="277">
        <f t="shared" si="16"/>
        <v>1.4159404239891582E-5</v>
      </c>
      <c r="S53" s="91">
        <f t="shared" si="17"/>
        <v>5.3434729577003182E-2</v>
      </c>
      <c r="T53" s="91">
        <f t="shared" si="17"/>
        <v>8.4786076712113408E-3</v>
      </c>
      <c r="U53" s="282">
        <f t="shared" si="26"/>
        <v>9.6623246436006594E-6</v>
      </c>
      <c r="V53" s="284">
        <f t="shared" si="24"/>
        <v>0.99999882251595984</v>
      </c>
      <c r="X53" s="296">
        <f t="shared" si="18"/>
        <v>0.93806166353886178</v>
      </c>
      <c r="Y53" s="278">
        <f t="shared" si="19"/>
        <v>6.1937158977098013E-2</v>
      </c>
      <c r="AA53" s="277">
        <f t="shared" si="27"/>
        <v>0.2620278635753398</v>
      </c>
      <c r="AB53" s="91">
        <f t="shared" si="28"/>
        <v>0.12461215634136587</v>
      </c>
      <c r="AC53" s="91">
        <f t="shared" si="29"/>
        <v>0.605740354248132</v>
      </c>
      <c r="AD53" s="91">
        <f t="shared" si="30"/>
        <v>1.5571199027169381E-7</v>
      </c>
      <c r="AE53" s="282">
        <f t="shared" si="31"/>
        <v>7.6182926391317402E-3</v>
      </c>
      <c r="AF53" s="91">
        <f t="shared" si="32"/>
        <v>0</v>
      </c>
      <c r="AG53" s="91">
        <f t="shared" si="33"/>
        <v>0</v>
      </c>
      <c r="AH53" s="91">
        <f t="shared" si="23"/>
        <v>0</v>
      </c>
      <c r="AI53" s="282">
        <f t="shared" si="34"/>
        <v>0</v>
      </c>
      <c r="AJ53" s="284">
        <f t="shared" si="22"/>
        <v>0.99999882251595962</v>
      </c>
      <c r="AL53" s="296">
        <f t="shared" si="20"/>
        <v>0.99999882251595962</v>
      </c>
      <c r="AM53" s="278">
        <f t="shared" si="21"/>
        <v>0</v>
      </c>
    </row>
    <row r="54" spans="1:39" x14ac:dyDescent="0.35">
      <c r="A54" s="8">
        <v>2050</v>
      </c>
      <c r="B54" s="7">
        <v>67019400000.03405</v>
      </c>
      <c r="C54" s="8">
        <v>15139119716.842148</v>
      </c>
      <c r="D54">
        <v>7446206005.8260126</v>
      </c>
      <c r="E54">
        <v>39806535979.395775</v>
      </c>
      <c r="F54">
        <v>8750.507031213001</v>
      </c>
      <c r="G54" s="7">
        <v>477950000.0003885</v>
      </c>
      <c r="H54" s="8">
        <v>837248.2696107513</v>
      </c>
      <c r="I54">
        <v>3526625086.7527218</v>
      </c>
      <c r="J54">
        <v>621467379.73449647</v>
      </c>
      <c r="K54" s="7">
        <v>579547.46084424853</v>
      </c>
      <c r="M54" s="277">
        <f t="shared" si="11"/>
        <v>0.22589160327956467</v>
      </c>
      <c r="N54" s="91">
        <f t="shared" si="35"/>
        <v>0.11110523230321712</v>
      </c>
      <c r="O54" s="91">
        <f t="shared" si="36"/>
        <v>0.59395542155518477</v>
      </c>
      <c r="P54" s="91">
        <f t="shared" si="37"/>
        <v>1.3056677665285804E-7</v>
      </c>
      <c r="Q54" s="282">
        <f t="shared" si="38"/>
        <v>7.1315171427996319E-3</v>
      </c>
      <c r="R54" s="277">
        <f t="shared" si="16"/>
        <v>1.2492625562304734E-5</v>
      </c>
      <c r="S54" s="91">
        <f t="shared" si="17"/>
        <v>5.262095880820971E-2</v>
      </c>
      <c r="T54" s="91">
        <f t="shared" si="17"/>
        <v>9.2729475306281579E-3</v>
      </c>
      <c r="U54" s="282">
        <f t="shared" si="26"/>
        <v>8.6474582112635153E-6</v>
      </c>
      <c r="V54" s="284">
        <f t="shared" si="24"/>
        <v>0.99999895127015426</v>
      </c>
      <c r="X54" s="296">
        <f t="shared" si="18"/>
        <v>0.93808390484754278</v>
      </c>
      <c r="Y54" s="278">
        <f t="shared" si="19"/>
        <v>6.1915046422611433E-2</v>
      </c>
      <c r="AA54" s="277">
        <f t="shared" si="27"/>
        <v>0.24080081239322643</v>
      </c>
      <c r="AB54" s="91">
        <f t="shared" si="28"/>
        <v>0.11843835632368169</v>
      </c>
      <c r="AC54" s="91">
        <f t="shared" si="29"/>
        <v>0.63315743462514318</v>
      </c>
      <c r="AD54" s="91">
        <f t="shared" si="30"/>
        <v>1.3918439390003411E-7</v>
      </c>
      <c r="AE54" s="282">
        <f t="shared" si="31"/>
        <v>7.6022087437090935E-3</v>
      </c>
      <c r="AF54" s="91">
        <f t="shared" si="32"/>
        <v>0</v>
      </c>
      <c r="AG54" s="91">
        <f t="shared" si="33"/>
        <v>0</v>
      </c>
      <c r="AH54" s="91">
        <f t="shared" si="23"/>
        <v>0</v>
      </c>
      <c r="AI54" s="282">
        <f t="shared" si="34"/>
        <v>0</v>
      </c>
      <c r="AJ54" s="284">
        <f t="shared" si="22"/>
        <v>0.99999895127015426</v>
      </c>
      <c r="AL54" s="296">
        <f t="shared" si="20"/>
        <v>0.99999895127015426</v>
      </c>
      <c r="AM54" s="278">
        <f t="shared" si="21"/>
        <v>0</v>
      </c>
    </row>
    <row r="55" spans="1:39" x14ac:dyDescent="0.35">
      <c r="A55" s="8">
        <v>2051</v>
      </c>
      <c r="B55" s="7">
        <v>67469960000.015923</v>
      </c>
      <c r="C55" s="8">
        <v>14023298354.176083</v>
      </c>
      <c r="D55">
        <v>7128546107.3102856</v>
      </c>
      <c r="E55">
        <v>41661935374.041756</v>
      </c>
      <c r="F55">
        <v>7875.5729516340007</v>
      </c>
      <c r="G55" s="7">
        <v>480169999.99925268</v>
      </c>
      <c r="H55" s="8">
        <v>741238.22883592907</v>
      </c>
      <c r="I55">
        <v>3493573274.8169413</v>
      </c>
      <c r="J55">
        <v>681102434.30336726</v>
      </c>
      <c r="K55" s="7">
        <v>522288.91227204876</v>
      </c>
      <c r="M55" s="277">
        <f t="shared" si="11"/>
        <v>0.20784506696273086</v>
      </c>
      <c r="N55" s="91">
        <f t="shared" si="35"/>
        <v>0.10565511091615593</v>
      </c>
      <c r="O55" s="91">
        <f t="shared" si="36"/>
        <v>0.61748866271792546</v>
      </c>
      <c r="P55" s="91">
        <f t="shared" si="37"/>
        <v>1.1672710272293243E-7</v>
      </c>
      <c r="Q55" s="282">
        <f t="shared" si="38"/>
        <v>7.116796867808123E-3</v>
      </c>
      <c r="R55" s="277">
        <f t="shared" si="16"/>
        <v>1.0986196358138558E-5</v>
      </c>
      <c r="S55" s="91">
        <f t="shared" si="17"/>
        <v>5.1779684985971783E-2</v>
      </c>
      <c r="T55" s="91">
        <f t="shared" si="17"/>
        <v>1.0094899038078673E-2</v>
      </c>
      <c r="U55" s="282">
        <f t="shared" si="26"/>
        <v>7.7410585729104558E-6</v>
      </c>
      <c r="V55" s="284">
        <f t="shared" si="24"/>
        <v>0.99999906547070461</v>
      </c>
      <c r="X55" s="296">
        <f t="shared" si="18"/>
        <v>0.93810575419172315</v>
      </c>
      <c r="Y55" s="278">
        <f t="shared" si="19"/>
        <v>6.1893311278981504E-2</v>
      </c>
      <c r="AA55" s="277">
        <f t="shared" si="27"/>
        <v>0.22155804054789871</v>
      </c>
      <c r="AB55" s="91">
        <f t="shared" si="28"/>
        <v>0.11262590780012056</v>
      </c>
      <c r="AC55" s="91">
        <f t="shared" si="29"/>
        <v>0.65822865161797417</v>
      </c>
      <c r="AD55" s="91">
        <f t="shared" si="30"/>
        <v>1.2442839532373187E-7</v>
      </c>
      <c r="AE55" s="282">
        <f t="shared" si="31"/>
        <v>7.5863410763158841E-3</v>
      </c>
      <c r="AF55" s="91">
        <f t="shared" si="32"/>
        <v>0</v>
      </c>
      <c r="AG55" s="91">
        <f t="shared" si="33"/>
        <v>0</v>
      </c>
      <c r="AH55" s="91">
        <f t="shared" si="23"/>
        <v>0</v>
      </c>
      <c r="AI55" s="282">
        <f t="shared" si="34"/>
        <v>0</v>
      </c>
      <c r="AJ55" s="284">
        <f t="shared" si="22"/>
        <v>0.99999906547070461</v>
      </c>
      <c r="AL55" s="296">
        <f t="shared" si="20"/>
        <v>0.99999906547070461</v>
      </c>
      <c r="AM55" s="278">
        <f t="shared" si="21"/>
        <v>0</v>
      </c>
    </row>
    <row r="56" spans="1:39" x14ac:dyDescent="0.35">
      <c r="A56" s="8">
        <v>2052</v>
      </c>
      <c r="B56" s="7">
        <v>67920520000.041954</v>
      </c>
      <c r="C56" s="8">
        <v>13015249283.640146</v>
      </c>
      <c r="D56">
        <v>6826294091.8689547</v>
      </c>
      <c r="E56">
        <v>43394148753.667786</v>
      </c>
      <c r="F56">
        <v>7089.585276328</v>
      </c>
      <c r="G56" s="7">
        <v>482389999.99818951</v>
      </c>
      <c r="H56" s="8">
        <v>656675.68686415278</v>
      </c>
      <c r="I56">
        <v>3458945992.4936275</v>
      </c>
      <c r="J56">
        <v>742300741.82464206</v>
      </c>
      <c r="K56" s="7">
        <v>470781.2851888453</v>
      </c>
      <c r="M56" s="277">
        <f t="shared" si="11"/>
        <v>0.19162470021772665</v>
      </c>
      <c r="N56" s="91">
        <f t="shared" si="35"/>
        <v>0.10050414943620482</v>
      </c>
      <c r="O56" s="91">
        <f t="shared" si="36"/>
        <v>0.63889600305829497</v>
      </c>
      <c r="P56" s="91">
        <f t="shared" si="37"/>
        <v>1.0438060951717715E-7</v>
      </c>
      <c r="Q56" s="282">
        <f t="shared" si="38"/>
        <v>7.1022718907024201E-3</v>
      </c>
      <c r="R56" s="277">
        <f t="shared" si="16"/>
        <v>9.668295926823693E-6</v>
      </c>
      <c r="S56" s="91">
        <f t="shared" si="17"/>
        <v>5.0926376778203275E-2</v>
      </c>
      <c r="T56" s="91">
        <f t="shared" si="17"/>
        <v>1.0928961407011955E-2</v>
      </c>
      <c r="U56" s="282">
        <f t="shared" si="26"/>
        <v>6.9313557256121495E-6</v>
      </c>
      <c r="V56" s="284">
        <f t="shared" si="24"/>
        <v>0.99999916682040613</v>
      </c>
      <c r="X56" s="296">
        <f t="shared" si="18"/>
        <v>0.9381272289835384</v>
      </c>
      <c r="Y56" s="278">
        <f t="shared" si="19"/>
        <v>6.187193783686766E-2</v>
      </c>
      <c r="AA56" s="277">
        <f t="shared" si="27"/>
        <v>0.20426284904613851</v>
      </c>
      <c r="AB56" s="91">
        <f t="shared" si="28"/>
        <v>0.10713266025451008</v>
      </c>
      <c r="AC56" s="91">
        <f t="shared" si="29"/>
        <v>0.68103286100695137</v>
      </c>
      <c r="AD56" s="91">
        <f t="shared" si="30"/>
        <v>1.1126478298948819E-7</v>
      </c>
      <c r="AE56" s="282">
        <f t="shared" si="31"/>
        <v>7.5706852480230437E-3</v>
      </c>
      <c r="AF56" s="91">
        <f t="shared" si="32"/>
        <v>0</v>
      </c>
      <c r="AG56" s="91">
        <f t="shared" si="33"/>
        <v>0</v>
      </c>
      <c r="AH56" s="91">
        <f t="shared" si="23"/>
        <v>0</v>
      </c>
      <c r="AI56" s="282">
        <f t="shared" si="34"/>
        <v>0</v>
      </c>
      <c r="AJ56" s="284">
        <f t="shared" si="22"/>
        <v>0.99999916682040602</v>
      </c>
      <c r="AL56" s="296">
        <f t="shared" si="20"/>
        <v>0.99999916682040602</v>
      </c>
      <c r="AM56" s="278">
        <f t="shared" si="21"/>
        <v>0</v>
      </c>
    </row>
    <row r="57" spans="1:39" x14ac:dyDescent="0.35">
      <c r="A57" s="8">
        <v>2053</v>
      </c>
      <c r="B57" s="7">
        <v>68356269999.987892</v>
      </c>
      <c r="C57" s="8">
        <v>12111211410.493589</v>
      </c>
      <c r="D57">
        <v>6537326358.1473389</v>
      </c>
      <c r="E57">
        <v>44993561382.628159</v>
      </c>
      <c r="F57">
        <v>6382.9037581470002</v>
      </c>
      <c r="G57" s="7">
        <v>484559999.99875128</v>
      </c>
      <c r="H57" s="8">
        <v>577467.08046006726</v>
      </c>
      <c r="I57">
        <v>3423121233.7784972</v>
      </c>
      <c r="J57">
        <v>805430477.04583752</v>
      </c>
      <c r="K57" s="7">
        <v>424465.81821767834</v>
      </c>
      <c r="M57" s="277">
        <f t="shared" si="11"/>
        <v>0.17717776892296397</v>
      </c>
      <c r="N57" s="91">
        <f t="shared" si="35"/>
        <v>9.5636089537192367E-2</v>
      </c>
      <c r="O57" s="91">
        <f t="shared" si="36"/>
        <v>0.65822142405716588</v>
      </c>
      <c r="P57" s="91">
        <f t="shared" si="37"/>
        <v>9.3377004891403978E-8</v>
      </c>
      <c r="Q57" s="282">
        <f t="shared" si="38"/>
        <v>7.0887425542505043E-3</v>
      </c>
      <c r="R57" s="277">
        <f t="shared" si="16"/>
        <v>8.4479021523580724E-6</v>
      </c>
      <c r="S57" s="91">
        <f t="shared" si="17"/>
        <v>5.0077648089620799E-2</v>
      </c>
      <c r="T57" s="91">
        <f t="shared" si="17"/>
        <v>1.1782832460664987E-2</v>
      </c>
      <c r="U57" s="282">
        <f t="shared" si="26"/>
        <v>6.2096105919435555E-6</v>
      </c>
      <c r="V57" s="284">
        <f t="shared" si="24"/>
        <v>0.99999925651160781</v>
      </c>
      <c r="X57" s="296">
        <f t="shared" si="18"/>
        <v>0.93812411844857768</v>
      </c>
      <c r="Y57" s="278">
        <f t="shared" si="19"/>
        <v>6.1875138063030091E-2</v>
      </c>
      <c r="AA57" s="277">
        <f t="shared" si="27"/>
        <v>0.18886374810015208</v>
      </c>
      <c r="AB57" s="91">
        <f t="shared" si="28"/>
        <v>0.1019438862642482</v>
      </c>
      <c r="AC57" s="91">
        <f t="shared" si="29"/>
        <v>0.70163523326285449</v>
      </c>
      <c r="AD57" s="91">
        <f t="shared" si="30"/>
        <v>9.9535800892857126E-8</v>
      </c>
      <c r="AE57" s="282">
        <f t="shared" si="31"/>
        <v>7.5562893485519762E-3</v>
      </c>
      <c r="AF57" s="91">
        <f t="shared" si="32"/>
        <v>0</v>
      </c>
      <c r="AG57" s="91">
        <f t="shared" si="33"/>
        <v>0</v>
      </c>
      <c r="AH57" s="91">
        <f t="shared" si="23"/>
        <v>0</v>
      </c>
      <c r="AI57" s="282">
        <f t="shared" si="34"/>
        <v>0</v>
      </c>
      <c r="AJ57" s="284">
        <f t="shared" si="22"/>
        <v>0.9999992565116077</v>
      </c>
      <c r="AL57" s="296">
        <f t="shared" si="20"/>
        <v>0.9999992565116077</v>
      </c>
      <c r="AM57" s="278">
        <f t="shared" si="21"/>
        <v>0</v>
      </c>
    </row>
    <row r="58" spans="1:39" x14ac:dyDescent="0.35">
      <c r="A58" s="8">
        <v>2054</v>
      </c>
      <c r="B58" s="7">
        <v>68777209999.948715</v>
      </c>
      <c r="C58" s="8">
        <v>11303129139.884174</v>
      </c>
      <c r="D58">
        <v>6261734531.8809137</v>
      </c>
      <c r="E58">
        <v>46468137799.97374</v>
      </c>
      <c r="F58">
        <v>5748.6337116989998</v>
      </c>
      <c r="G58" s="7">
        <v>486680000.00122786</v>
      </c>
      <c r="H58" s="8">
        <v>506941.0070920182</v>
      </c>
      <c r="I58">
        <v>3385971054.6055737</v>
      </c>
      <c r="J58">
        <v>870616376.64197206</v>
      </c>
      <c r="K58" s="7">
        <v>382779.57386787067</v>
      </c>
      <c r="M58" s="277">
        <f t="shared" si="11"/>
        <v>0.16434410671634692</v>
      </c>
      <c r="N58" s="91">
        <f t="shared" si="35"/>
        <v>9.104374155167945E-2</v>
      </c>
      <c r="O58" s="91">
        <f t="shared" si="36"/>
        <v>0.67563278301065699</v>
      </c>
      <c r="P58" s="91">
        <f t="shared" si="37"/>
        <v>8.3583409558243009E-8</v>
      </c>
      <c r="Q58" s="282">
        <f t="shared" si="38"/>
        <v>7.0761811943460739E-3</v>
      </c>
      <c r="R58" s="277">
        <f t="shared" si="16"/>
        <v>7.3707701590744403E-6</v>
      </c>
      <c r="S58" s="91">
        <f t="shared" si="17"/>
        <v>4.9231003331017618E-2</v>
      </c>
      <c r="T58" s="91">
        <f t="shared" si="17"/>
        <v>1.2658500928470656E-2</v>
      </c>
      <c r="U58" s="282">
        <f t="shared" si="26"/>
        <v>5.5655001688518052E-6</v>
      </c>
      <c r="V58" s="284">
        <f t="shared" si="24"/>
        <v>0.99999933658625506</v>
      </c>
      <c r="X58" s="296">
        <f t="shared" si="18"/>
        <v>0.93809689605643887</v>
      </c>
      <c r="Y58" s="278">
        <f t="shared" si="19"/>
        <v>6.1902440529816201E-2</v>
      </c>
      <c r="AA58" s="277">
        <f t="shared" si="27"/>
        <v>0.17518872344538722</v>
      </c>
      <c r="AB58" s="91">
        <f t="shared" si="28"/>
        <v>9.7051468280876227E-2</v>
      </c>
      <c r="AC58" s="91">
        <f t="shared" si="29"/>
        <v>0.72021593678307416</v>
      </c>
      <c r="AD58" s="91">
        <f t="shared" si="30"/>
        <v>8.9098849446391979E-8</v>
      </c>
      <c r="AE58" s="282">
        <f t="shared" si="31"/>
        <v>7.5431189780682138E-3</v>
      </c>
      <c r="AF58" s="91">
        <f t="shared" si="32"/>
        <v>0</v>
      </c>
      <c r="AG58" s="91">
        <f t="shared" si="33"/>
        <v>0</v>
      </c>
      <c r="AH58" s="91">
        <f t="shared" si="23"/>
        <v>0</v>
      </c>
      <c r="AI58" s="282">
        <f t="shared" si="34"/>
        <v>0</v>
      </c>
      <c r="AJ58" s="284">
        <f t="shared" si="22"/>
        <v>0.99999933658625528</v>
      </c>
      <c r="AL58" s="296">
        <f t="shared" si="20"/>
        <v>0.99999933658625528</v>
      </c>
      <c r="AM58" s="278">
        <f t="shared" si="21"/>
        <v>0</v>
      </c>
    </row>
    <row r="59" spans="1:39" x14ac:dyDescent="0.35">
      <c r="A59" s="17">
        <v>2055</v>
      </c>
      <c r="B59" s="18">
        <v>69198150000.014984</v>
      </c>
      <c r="C59" s="17">
        <v>10584396123.58057</v>
      </c>
      <c r="D59" s="9">
        <v>6000344102.4123039</v>
      </c>
      <c r="E59" s="9">
        <v>47839159381.405937</v>
      </c>
      <c r="F59" s="9">
        <v>5179.4016879169994</v>
      </c>
      <c r="G59" s="18">
        <v>488800000.00051892</v>
      </c>
      <c r="H59" s="17">
        <v>445362.50666146423</v>
      </c>
      <c r="I59" s="9">
        <v>3347175675.1147752</v>
      </c>
      <c r="J59" s="9">
        <v>937438010.98372686</v>
      </c>
      <c r="K59" s="18">
        <v>345213.21739330824</v>
      </c>
      <c r="M59" s="279">
        <f t="shared" si="11"/>
        <v>0.15295779039726176</v>
      </c>
      <c r="N59" s="229">
        <f t="shared" si="35"/>
        <v>8.6712493071144314E-2</v>
      </c>
      <c r="O59" s="229">
        <f t="shared" si="36"/>
        <v>0.69133581434468372</v>
      </c>
      <c r="P59" s="229">
        <f t="shared" si="37"/>
        <v>7.4848846217939031E-8</v>
      </c>
      <c r="Q59" s="232">
        <f t="shared" si="38"/>
        <v>7.0637726586680865E-3</v>
      </c>
      <c r="R59" s="279">
        <f t="shared" si="16"/>
        <v>6.4360464356542447E-6</v>
      </c>
      <c r="S59" s="229">
        <f t="shared" si="17"/>
        <v>4.8370883833080081E-2</v>
      </c>
      <c r="T59" s="229">
        <f t="shared" si="17"/>
        <v>1.3547154237266804E-2</v>
      </c>
      <c r="U59" s="232">
        <f t="shared" si="26"/>
        <v>4.9887636792780365E-6</v>
      </c>
      <c r="V59" s="285">
        <f t="shared" si="24"/>
        <v>0.99999940820106603</v>
      </c>
      <c r="X59" s="297">
        <f t="shared" si="18"/>
        <v>0.93806994532060417</v>
      </c>
      <c r="Y59" s="280">
        <f t="shared" si="19"/>
        <v>6.1929462880461812E-2</v>
      </c>
      <c r="AA59" s="279">
        <f t="shared" si="27"/>
        <v>0.16305575148207962</v>
      </c>
      <c r="AB59" s="229">
        <f t="shared" si="28"/>
        <v>9.243707485495406E-2</v>
      </c>
      <c r="AC59" s="229">
        <f t="shared" si="29"/>
        <v>0.73697639356371025</v>
      </c>
      <c r="AD59" s="229">
        <f t="shared" si="30"/>
        <v>7.9790214254109326E-8</v>
      </c>
      <c r="AE59" s="232">
        <f t="shared" si="31"/>
        <v>7.530108510107711E-3</v>
      </c>
      <c r="AF59" s="229">
        <f t="shared" si="32"/>
        <v>0</v>
      </c>
      <c r="AG59" s="229">
        <f t="shared" si="33"/>
        <v>0</v>
      </c>
      <c r="AH59" s="229">
        <f t="shared" si="23"/>
        <v>0</v>
      </c>
      <c r="AI59" s="232">
        <f t="shared" si="34"/>
        <v>0</v>
      </c>
      <c r="AJ59" s="285">
        <f t="shared" si="22"/>
        <v>0.99999940820106581</v>
      </c>
      <c r="AL59" s="297">
        <f t="shared" si="20"/>
        <v>0.99999940820106581</v>
      </c>
      <c r="AM59" s="280">
        <f t="shared" si="21"/>
        <v>0</v>
      </c>
    </row>
    <row r="64" spans="1:39" x14ac:dyDescent="0.35">
      <c r="AJ64" s="311"/>
    </row>
    <row r="65" spans="36:36" x14ac:dyDescent="0.35">
      <c r="AJ65" s="311"/>
    </row>
    <row r="66" spans="36:36" x14ac:dyDescent="0.35">
      <c r="AJ66" s="311"/>
    </row>
    <row r="67" spans="36:36" x14ac:dyDescent="0.35">
      <c r="AJ67" s="311"/>
    </row>
    <row r="68" spans="36:36" x14ac:dyDescent="0.35">
      <c r="AJ68" s="311"/>
    </row>
    <row r="69" spans="36:36" x14ac:dyDescent="0.35">
      <c r="AJ69" s="311"/>
    </row>
    <row r="70" spans="36:36" x14ac:dyDescent="0.35">
      <c r="AJ70" s="311"/>
    </row>
    <row r="71" spans="36:36" x14ac:dyDescent="0.35">
      <c r="AJ71" s="311"/>
    </row>
  </sheetData>
  <conditionalFormatting sqref="AT27:EP33">
    <cfRule type="cellIs" dxfId="6" priority="1" operator="lessThan">
      <formula>0</formula>
    </cfRule>
  </conditionalFormatting>
  <hyperlinks>
    <hyperlink ref="AS30" r:id="rId1" xr:uid="{6A986BBE-721D-46C9-AE46-0E03A60EEBF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37E7-792F-4B3D-9F29-385AE54F6F6F}">
  <sheetPr codeName="Sheet13">
    <tabColor theme="1" tint="0.499984740745262"/>
  </sheetPr>
  <dimension ref="A2:AC65"/>
  <sheetViews>
    <sheetView topLeftCell="A46" workbookViewId="0">
      <selection activeCell="H15" sqref="H15"/>
    </sheetView>
  </sheetViews>
  <sheetFormatPr defaultRowHeight="14.5" outlineLevelRow="1" x14ac:dyDescent="0.35"/>
  <cols>
    <col min="1" max="1" width="11.26953125" bestFit="1" customWidth="1"/>
    <col min="2" max="2" width="22.453125" bestFit="1" customWidth="1"/>
    <col min="4" max="4" width="21.81640625" bestFit="1" customWidth="1"/>
    <col min="6" max="6" width="25" bestFit="1" customWidth="1"/>
    <col min="8" max="8" width="25.81640625" bestFit="1" customWidth="1"/>
    <col min="10" max="10" width="25.81640625" bestFit="1" customWidth="1"/>
    <col min="12" max="12" width="25.81640625" bestFit="1" customWidth="1"/>
    <col min="14" max="14" width="25.81640625" bestFit="1" customWidth="1"/>
    <col min="18" max="18" width="22.81640625" customWidth="1"/>
    <col min="20" max="20" width="14.26953125" customWidth="1"/>
    <col min="22" max="22" width="28.26953125" customWidth="1"/>
    <col min="24" max="24" width="11.453125" customWidth="1"/>
    <col min="26" max="26" width="15.81640625" customWidth="1"/>
    <col min="30" max="30" width="43.81640625" bestFit="1" customWidth="1"/>
  </cols>
  <sheetData>
    <row r="2" spans="1:20" ht="31.5" customHeight="1" x14ac:dyDescent="0.35">
      <c r="B2" s="675" t="s">
        <v>974</v>
      </c>
      <c r="C2" s="676"/>
    </row>
    <row r="4" spans="1:20" s="566" customFormat="1" ht="21" x14ac:dyDescent="0.5">
      <c r="A4" s="458"/>
      <c r="B4" s="458" t="s">
        <v>975</v>
      </c>
      <c r="C4" s="458"/>
      <c r="D4" s="458"/>
      <c r="E4" s="458"/>
      <c r="F4" s="458"/>
      <c r="G4" s="458"/>
      <c r="H4" s="458"/>
      <c r="I4" s="458"/>
      <c r="J4" s="458"/>
      <c r="K4" s="458"/>
      <c r="L4" s="458"/>
      <c r="M4" s="458"/>
      <c r="N4" s="458"/>
      <c r="O4" s="458"/>
      <c r="P4" s="458"/>
      <c r="Q4" s="458"/>
      <c r="R4" s="458"/>
      <c r="S4" s="458"/>
      <c r="T4"/>
    </row>
    <row r="5" spans="1:20" outlineLevel="1" x14ac:dyDescent="0.35"/>
    <row r="6" spans="1:20" s="4" customFormat="1" outlineLevel="1" x14ac:dyDescent="0.35">
      <c r="A6" s="4" t="s">
        <v>976</v>
      </c>
      <c r="B6" s="4" t="s">
        <v>30</v>
      </c>
      <c r="T6"/>
    </row>
    <row r="7" spans="1:20" s="117" customFormat="1" outlineLevel="1" x14ac:dyDescent="0.35">
      <c r="A7" s="117" t="s">
        <v>7</v>
      </c>
      <c r="B7" s="117" t="s">
        <v>977</v>
      </c>
      <c r="T7"/>
    </row>
    <row r="8" spans="1:20" outlineLevel="1" x14ac:dyDescent="0.35">
      <c r="B8" t="s">
        <v>978</v>
      </c>
    </row>
    <row r="9" spans="1:20" outlineLevel="1" x14ac:dyDescent="0.35"/>
    <row r="10" spans="1:20" outlineLevel="1" x14ac:dyDescent="0.35">
      <c r="B10" t="s">
        <v>979</v>
      </c>
    </row>
    <row r="11" spans="1:20" outlineLevel="1" x14ac:dyDescent="0.35">
      <c r="B11" t="s">
        <v>980</v>
      </c>
    </row>
    <row r="12" spans="1:20" outlineLevel="1" x14ac:dyDescent="0.35">
      <c r="B12" t="s">
        <v>981</v>
      </c>
    </row>
    <row r="13" spans="1:20" outlineLevel="1" x14ac:dyDescent="0.35">
      <c r="B13" t="s">
        <v>982</v>
      </c>
    </row>
    <row r="14" spans="1:20" outlineLevel="1" x14ac:dyDescent="0.35">
      <c r="B14" t="s">
        <v>983</v>
      </c>
    </row>
    <row r="15" spans="1:20" outlineLevel="1" x14ac:dyDescent="0.35">
      <c r="B15" t="s">
        <v>984</v>
      </c>
    </row>
    <row r="16" spans="1:20" outlineLevel="1" x14ac:dyDescent="0.35">
      <c r="B16" t="s">
        <v>985</v>
      </c>
    </row>
    <row r="17" spans="1:29" outlineLevel="1" x14ac:dyDescent="0.35"/>
    <row r="18" spans="1:29" x14ac:dyDescent="0.35">
      <c r="B18" s="379" t="s">
        <v>986</v>
      </c>
    </row>
    <row r="20" spans="1:29" s="566" customFormat="1" ht="21" x14ac:dyDescent="0.5">
      <c r="A20" s="458"/>
      <c r="B20" s="458" t="s">
        <v>987</v>
      </c>
      <c r="C20" s="458"/>
      <c r="D20" s="458"/>
      <c r="E20" s="458"/>
      <c r="F20" s="458"/>
      <c r="G20" s="458"/>
      <c r="H20" s="458"/>
      <c r="I20" s="458"/>
      <c r="J20" s="458"/>
      <c r="K20" s="458"/>
      <c r="L20" s="458"/>
      <c r="M20" s="458"/>
      <c r="N20" s="458"/>
      <c r="O20" s="458"/>
      <c r="P20" s="458"/>
      <c r="Q20" s="458"/>
      <c r="R20" s="458"/>
      <c r="S20" s="458"/>
      <c r="T20"/>
    </row>
    <row r="21" spans="1:29" outlineLevel="1" x14ac:dyDescent="0.35"/>
    <row r="22" spans="1:29" s="4" customFormat="1" outlineLevel="1" x14ac:dyDescent="0.35">
      <c r="A22" s="4" t="s">
        <v>976</v>
      </c>
      <c r="B22" s="4" t="s">
        <v>8</v>
      </c>
      <c r="D22" s="4" t="s">
        <v>8</v>
      </c>
      <c r="F22" s="4" t="s">
        <v>8</v>
      </c>
      <c r="H22" s="4" t="s">
        <v>8</v>
      </c>
      <c r="J22" s="4" t="s">
        <v>8</v>
      </c>
      <c r="L22" s="4" t="s">
        <v>8</v>
      </c>
      <c r="N22" s="4" t="s">
        <v>8</v>
      </c>
      <c r="P22" s="4" t="s">
        <v>8</v>
      </c>
      <c r="T22"/>
      <c r="AC22" s="4" t="s">
        <v>339</v>
      </c>
    </row>
    <row r="23" spans="1:29" s="117" customFormat="1" outlineLevel="1" x14ac:dyDescent="0.35">
      <c r="A23" s="117" t="s">
        <v>7</v>
      </c>
      <c r="B23" s="117" t="s">
        <v>120</v>
      </c>
      <c r="D23" s="117" t="s">
        <v>169</v>
      </c>
      <c r="F23" s="117" t="s">
        <v>170</v>
      </c>
      <c r="H23" s="117" t="s">
        <v>172</v>
      </c>
      <c r="J23" s="117" t="s">
        <v>173</v>
      </c>
      <c r="L23" s="117" t="s">
        <v>174</v>
      </c>
      <c r="N23" s="117" t="s">
        <v>175</v>
      </c>
      <c r="P23" s="117" t="s">
        <v>164</v>
      </c>
      <c r="T23"/>
    </row>
    <row r="24" spans="1:29" outlineLevel="1" x14ac:dyDescent="0.35">
      <c r="B24" t="s">
        <v>988</v>
      </c>
      <c r="D24" t="s">
        <v>989</v>
      </c>
      <c r="F24" t="s">
        <v>990</v>
      </c>
      <c r="H24" t="s">
        <v>991</v>
      </c>
      <c r="J24" t="s">
        <v>992</v>
      </c>
      <c r="L24" t="s">
        <v>993</v>
      </c>
      <c r="N24" t="s">
        <v>993</v>
      </c>
      <c r="P24" t="s">
        <v>994</v>
      </c>
    </row>
    <row r="25" spans="1:29" outlineLevel="1" x14ac:dyDescent="0.35"/>
    <row r="26" spans="1:29" outlineLevel="1" x14ac:dyDescent="0.35">
      <c r="B26" t="s">
        <v>995</v>
      </c>
      <c r="D26" t="s">
        <v>996</v>
      </c>
      <c r="F26" t="s">
        <v>997</v>
      </c>
      <c r="H26" t="s">
        <v>998</v>
      </c>
      <c r="J26" t="s">
        <v>999</v>
      </c>
      <c r="L26" t="s">
        <v>1000</v>
      </c>
      <c r="N26" t="s">
        <v>175</v>
      </c>
      <c r="P26" t="s">
        <v>1001</v>
      </c>
    </row>
    <row r="27" spans="1:29" outlineLevel="1" x14ac:dyDescent="0.35">
      <c r="B27" t="s">
        <v>1002</v>
      </c>
      <c r="D27" t="s">
        <v>1002</v>
      </c>
      <c r="F27" t="s">
        <v>1002</v>
      </c>
      <c r="H27" t="s">
        <v>1002</v>
      </c>
      <c r="J27" t="s">
        <v>1002</v>
      </c>
      <c r="L27" t="s">
        <v>1002</v>
      </c>
      <c r="N27" t="s">
        <v>1002</v>
      </c>
      <c r="P27" t="s">
        <v>1002</v>
      </c>
    </row>
    <row r="28" spans="1:29" outlineLevel="1" x14ac:dyDescent="0.35">
      <c r="B28" t="s">
        <v>110</v>
      </c>
      <c r="D28" t="s">
        <v>101</v>
      </c>
      <c r="F28" t="s">
        <v>101</v>
      </c>
      <c r="H28" t="s">
        <v>101</v>
      </c>
      <c r="J28" t="s">
        <v>101</v>
      </c>
      <c r="L28" t="s">
        <v>101</v>
      </c>
      <c r="N28" t="s">
        <v>725</v>
      </c>
      <c r="P28" t="s">
        <v>619</v>
      </c>
    </row>
    <row r="29" spans="1:29" outlineLevel="1" x14ac:dyDescent="0.35">
      <c r="B29" t="s">
        <v>111</v>
      </c>
      <c r="D29" t="s">
        <v>102</v>
      </c>
      <c r="F29" t="s">
        <v>102</v>
      </c>
      <c r="H29" t="s">
        <v>102</v>
      </c>
      <c r="J29" t="s">
        <v>102</v>
      </c>
      <c r="L29" t="s">
        <v>102</v>
      </c>
      <c r="N29" t="s">
        <v>621</v>
      </c>
      <c r="P29" t="s">
        <v>617</v>
      </c>
    </row>
    <row r="30" spans="1:29" outlineLevel="1" x14ac:dyDescent="0.35">
      <c r="B30" t="s">
        <v>118</v>
      </c>
      <c r="D30" t="s">
        <v>100</v>
      </c>
      <c r="F30" t="s">
        <v>100</v>
      </c>
      <c r="H30" t="s">
        <v>100</v>
      </c>
      <c r="J30" t="s">
        <v>100</v>
      </c>
      <c r="L30" t="s">
        <v>100</v>
      </c>
      <c r="N30" t="s">
        <v>623</v>
      </c>
      <c r="P30" t="s">
        <v>618</v>
      </c>
    </row>
    <row r="31" spans="1:29" outlineLevel="1" x14ac:dyDescent="0.35">
      <c r="B31" t="s">
        <v>112</v>
      </c>
      <c r="D31" t="s">
        <v>116</v>
      </c>
      <c r="F31" t="s">
        <v>116</v>
      </c>
      <c r="H31" t="s">
        <v>116</v>
      </c>
      <c r="J31" t="s">
        <v>636</v>
      </c>
      <c r="L31" t="s">
        <v>636</v>
      </c>
      <c r="N31" t="s">
        <v>624</v>
      </c>
      <c r="P31" t="s">
        <v>229</v>
      </c>
    </row>
    <row r="32" spans="1:29" outlineLevel="1" x14ac:dyDescent="0.35">
      <c r="B32" t="s">
        <v>113</v>
      </c>
      <c r="D32" t="s">
        <v>1003</v>
      </c>
      <c r="F32" t="s">
        <v>629</v>
      </c>
      <c r="H32" t="s">
        <v>629</v>
      </c>
      <c r="J32" t="s">
        <v>117</v>
      </c>
      <c r="L32" t="s">
        <v>655</v>
      </c>
      <c r="N32" t="s">
        <v>625</v>
      </c>
    </row>
    <row r="33" spans="2:12" outlineLevel="1" x14ac:dyDescent="0.35">
      <c r="B33" t="s">
        <v>116</v>
      </c>
      <c r="D33" t="s">
        <v>114</v>
      </c>
      <c r="F33" t="s">
        <v>636</v>
      </c>
      <c r="H33" t="s">
        <v>636</v>
      </c>
      <c r="J33" t="s">
        <v>655</v>
      </c>
      <c r="L33" t="s">
        <v>656</v>
      </c>
    </row>
    <row r="34" spans="2:12" outlineLevel="1" x14ac:dyDescent="0.35">
      <c r="B34" t="s">
        <v>114</v>
      </c>
      <c r="D34" t="s">
        <v>112</v>
      </c>
      <c r="F34" t="s">
        <v>649</v>
      </c>
      <c r="H34" t="s">
        <v>655</v>
      </c>
      <c r="J34" t="s">
        <v>656</v>
      </c>
      <c r="L34" t="s">
        <v>657</v>
      </c>
    </row>
    <row r="35" spans="2:12" outlineLevel="1" x14ac:dyDescent="0.35">
      <c r="B35" t="s">
        <v>1003</v>
      </c>
      <c r="D35" t="s">
        <v>629</v>
      </c>
      <c r="F35" t="s">
        <v>655</v>
      </c>
      <c r="H35" t="s">
        <v>656</v>
      </c>
      <c r="J35" t="s">
        <v>657</v>
      </c>
      <c r="L35" t="s">
        <v>630</v>
      </c>
    </row>
    <row r="36" spans="2:12" outlineLevel="1" x14ac:dyDescent="0.35">
      <c r="B36" t="s">
        <v>91</v>
      </c>
      <c r="D36" t="s">
        <v>110</v>
      </c>
      <c r="F36" t="s">
        <v>656</v>
      </c>
      <c r="H36" t="s">
        <v>657</v>
      </c>
      <c r="J36" t="s">
        <v>637</v>
      </c>
      <c r="L36" t="s">
        <v>634</v>
      </c>
    </row>
    <row r="37" spans="2:12" outlineLevel="1" x14ac:dyDescent="0.35">
      <c r="B37" t="s">
        <v>100</v>
      </c>
      <c r="D37" t="s">
        <v>655</v>
      </c>
      <c r="F37" t="s">
        <v>657</v>
      </c>
      <c r="H37" t="s">
        <v>1004</v>
      </c>
      <c r="J37" t="s">
        <v>634</v>
      </c>
    </row>
    <row r="38" spans="2:12" outlineLevel="1" x14ac:dyDescent="0.35">
      <c r="B38" t="s">
        <v>101</v>
      </c>
      <c r="D38" t="s">
        <v>656</v>
      </c>
      <c r="F38" t="s">
        <v>637</v>
      </c>
      <c r="H38" t="s">
        <v>630</v>
      </c>
      <c r="J38" t="s">
        <v>137</v>
      </c>
    </row>
    <row r="39" spans="2:12" outlineLevel="1" x14ac:dyDescent="0.35">
      <c r="B39" t="s">
        <v>117</v>
      </c>
      <c r="D39" t="s">
        <v>657</v>
      </c>
      <c r="F39" t="s">
        <v>634</v>
      </c>
      <c r="H39" t="s">
        <v>637</v>
      </c>
    </row>
    <row r="40" spans="2:12" outlineLevel="1" x14ac:dyDescent="0.35">
      <c r="B40" t="s">
        <v>655</v>
      </c>
      <c r="D40" t="s">
        <v>630</v>
      </c>
      <c r="F40" t="s">
        <v>140</v>
      </c>
      <c r="H40" t="s">
        <v>634</v>
      </c>
    </row>
    <row r="41" spans="2:12" outlineLevel="1" x14ac:dyDescent="0.35">
      <c r="B41" t="s">
        <v>656</v>
      </c>
      <c r="D41" t="s">
        <v>91</v>
      </c>
      <c r="F41" t="s">
        <v>137</v>
      </c>
      <c r="H41" t="s">
        <v>140</v>
      </c>
    </row>
    <row r="42" spans="2:12" outlineLevel="1" x14ac:dyDescent="0.35">
      <c r="B42" t="s">
        <v>657</v>
      </c>
      <c r="D42" t="s">
        <v>118</v>
      </c>
      <c r="H42" t="s">
        <v>137</v>
      </c>
    </row>
    <row r="43" spans="2:12" outlineLevel="1" x14ac:dyDescent="0.35"/>
    <row r="44" spans="2:12" outlineLevel="1" x14ac:dyDescent="0.35"/>
    <row r="45" spans="2:12" outlineLevel="1" x14ac:dyDescent="0.35"/>
    <row r="46" spans="2:12" outlineLevel="1" x14ac:dyDescent="0.35"/>
    <row r="47" spans="2:12" x14ac:dyDescent="0.35">
      <c r="B47" s="379" t="s">
        <v>1005</v>
      </c>
    </row>
    <row r="49" spans="1:20" s="566" customFormat="1" ht="21" x14ac:dyDescent="0.5">
      <c r="A49" s="458"/>
      <c r="B49" s="458" t="s">
        <v>1006</v>
      </c>
      <c r="C49" s="458"/>
      <c r="D49" s="458"/>
      <c r="E49" s="458"/>
      <c r="F49" s="458"/>
      <c r="G49" s="458"/>
      <c r="H49" s="458"/>
      <c r="I49" s="458"/>
      <c r="J49" s="458"/>
      <c r="K49" s="458"/>
      <c r="L49" s="458"/>
      <c r="M49" s="458"/>
      <c r="N49" s="458"/>
      <c r="O49" s="458"/>
      <c r="P49" s="458"/>
      <c r="Q49" s="458"/>
      <c r="R49" s="458"/>
      <c r="S49" s="458"/>
      <c r="T49"/>
    </row>
    <row r="50" spans="1:20" outlineLevel="1" x14ac:dyDescent="0.35"/>
    <row r="51" spans="1:20" s="4" customFormat="1" outlineLevel="1" x14ac:dyDescent="0.35">
      <c r="A51" s="4" t="s">
        <v>976</v>
      </c>
      <c r="B51" s="4" t="s">
        <v>1007</v>
      </c>
      <c r="D51" s="4" t="s">
        <v>1007</v>
      </c>
      <c r="F51" s="4" t="s">
        <v>1007</v>
      </c>
      <c r="H51" s="4" t="s">
        <v>1007</v>
      </c>
      <c r="J51" s="4" t="s">
        <v>1007</v>
      </c>
      <c r="L51" s="4" t="s">
        <v>1007</v>
      </c>
      <c r="N51" s="4" t="s">
        <v>1007</v>
      </c>
      <c r="T51"/>
    </row>
    <row r="52" spans="1:20" s="117" customFormat="1" outlineLevel="1" x14ac:dyDescent="0.35">
      <c r="A52" s="117" t="s">
        <v>7</v>
      </c>
      <c r="B52" s="117" t="s">
        <v>228</v>
      </c>
      <c r="D52" s="117" t="s">
        <v>222</v>
      </c>
      <c r="F52" s="117" t="s">
        <v>1008</v>
      </c>
      <c r="H52" s="117" t="s">
        <v>1009</v>
      </c>
      <c r="J52" s="117" t="s">
        <v>1010</v>
      </c>
      <c r="L52" s="117" t="s">
        <v>1011</v>
      </c>
      <c r="N52" s="117" t="s">
        <v>1012</v>
      </c>
      <c r="T52"/>
    </row>
    <row r="53" spans="1:20" outlineLevel="1" x14ac:dyDescent="0.35">
      <c r="B53" t="s">
        <v>1013</v>
      </c>
      <c r="D53" t="s">
        <v>1014</v>
      </c>
      <c r="F53" t="s">
        <v>1014</v>
      </c>
      <c r="H53" t="s">
        <v>223</v>
      </c>
      <c r="J53" t="s">
        <v>224</v>
      </c>
      <c r="N53" t="s">
        <v>223</v>
      </c>
    </row>
    <row r="54" spans="1:20" outlineLevel="1" x14ac:dyDescent="0.35"/>
    <row r="55" spans="1:20" outlineLevel="1" x14ac:dyDescent="0.35">
      <c r="B55" t="s">
        <v>1015</v>
      </c>
      <c r="D55" t="s">
        <v>1016</v>
      </c>
      <c r="F55" t="s">
        <v>1017</v>
      </c>
      <c r="H55" t="s">
        <v>1018</v>
      </c>
      <c r="J55" t="s">
        <v>1019</v>
      </c>
      <c r="L55" t="s">
        <v>1020</v>
      </c>
      <c r="N55" t="s">
        <v>1021</v>
      </c>
    </row>
    <row r="56" spans="1:20" outlineLevel="1" x14ac:dyDescent="0.35">
      <c r="B56" t="s">
        <v>632</v>
      </c>
      <c r="D56" t="s">
        <v>110</v>
      </c>
      <c r="F56" t="s">
        <v>116</v>
      </c>
      <c r="H56" t="s">
        <v>110</v>
      </c>
      <c r="J56" t="s">
        <v>101</v>
      </c>
      <c r="L56" t="s">
        <v>634</v>
      </c>
      <c r="N56" t="s">
        <v>117</v>
      </c>
    </row>
    <row r="57" spans="1:20" outlineLevel="1" x14ac:dyDescent="0.35">
      <c r="B57" t="s">
        <v>627</v>
      </c>
      <c r="D57" t="s">
        <v>118</v>
      </c>
      <c r="F57" t="s">
        <v>626</v>
      </c>
      <c r="H57" t="s">
        <v>116</v>
      </c>
      <c r="J57" t="s">
        <v>100</v>
      </c>
      <c r="L57" t="s">
        <v>636</v>
      </c>
      <c r="N57" t="s">
        <v>101</v>
      </c>
    </row>
    <row r="58" spans="1:20" outlineLevel="1" x14ac:dyDescent="0.35">
      <c r="B58" t="s">
        <v>638</v>
      </c>
      <c r="D58" t="s">
        <v>112</v>
      </c>
      <c r="H58" t="s">
        <v>626</v>
      </c>
      <c r="J58" t="s">
        <v>102</v>
      </c>
      <c r="N58" t="s">
        <v>100</v>
      </c>
    </row>
    <row r="59" spans="1:20" outlineLevel="1" x14ac:dyDescent="0.35">
      <c r="D59" t="s">
        <v>116</v>
      </c>
      <c r="N59" t="s">
        <v>1022</v>
      </c>
    </row>
    <row r="60" spans="1:20" outlineLevel="1" x14ac:dyDescent="0.35">
      <c r="D60" t="s">
        <v>114</v>
      </c>
    </row>
    <row r="61" spans="1:20" outlineLevel="1" x14ac:dyDescent="0.35">
      <c r="D61" t="s">
        <v>115</v>
      </c>
    </row>
    <row r="62" spans="1:20" outlineLevel="1" x14ac:dyDescent="0.35">
      <c r="D62" t="s">
        <v>100</v>
      </c>
    </row>
    <row r="63" spans="1:20" outlineLevel="1" x14ac:dyDescent="0.35">
      <c r="D63" t="s">
        <v>101</v>
      </c>
    </row>
    <row r="64" spans="1:20" outlineLevel="1" x14ac:dyDescent="0.35"/>
    <row r="65" spans="2:2" x14ac:dyDescent="0.35">
      <c r="B65" s="379" t="s">
        <v>1023</v>
      </c>
    </row>
  </sheetData>
  <dataConsolidate/>
  <mergeCells count="1">
    <mergeCell ref="B2:C2"/>
  </mergeCells>
  <phoneticPr fontId="3" type="noConversion"/>
  <pageMargins left="0.7" right="0.7" top="0.75" bottom="0.75" header="0.3" footer="0.3"/>
  <pageSetup paperSize="9" orientation="portrait" r:id="rId1"/>
  <tableParts count="1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DB7AC-AD9B-478A-830B-9E77EF83D94E}">
  <sheetPr codeName="Sheet12">
    <tabColor rgb="FFB1BA2B"/>
  </sheetPr>
  <dimension ref="A1:D98"/>
  <sheetViews>
    <sheetView topLeftCell="A23" workbookViewId="0">
      <selection activeCell="D11" sqref="D11"/>
    </sheetView>
  </sheetViews>
  <sheetFormatPr defaultRowHeight="14.5" x14ac:dyDescent="0.35"/>
  <cols>
    <col min="1" max="1" width="23.7265625" style="480" bestFit="1" customWidth="1"/>
    <col min="2" max="2" width="10.1796875" style="455" bestFit="1" customWidth="1"/>
    <col min="3" max="3" width="19.7265625" style="461" customWidth="1"/>
    <col min="4" max="4" width="91.54296875" customWidth="1"/>
    <col min="5" max="5" width="9.7265625" customWidth="1"/>
  </cols>
  <sheetData>
    <row r="1" spans="1:4" s="133" customFormat="1" ht="21" x14ac:dyDescent="0.5">
      <c r="A1" s="478" t="s">
        <v>30</v>
      </c>
      <c r="C1" s="460"/>
    </row>
    <row r="3" spans="1:4" s="4" customFormat="1" x14ac:dyDescent="0.35">
      <c r="A3" s="479" t="s">
        <v>1024</v>
      </c>
      <c r="B3" s="459" t="s">
        <v>456</v>
      </c>
      <c r="C3" s="10" t="s">
        <v>977</v>
      </c>
      <c r="D3" s="4" t="s">
        <v>1025</v>
      </c>
    </row>
    <row r="4" spans="1:4" x14ac:dyDescent="0.35">
      <c r="A4" s="640">
        <v>45139</v>
      </c>
      <c r="B4" s="641">
        <v>2</v>
      </c>
      <c r="C4" s="642" t="s">
        <v>1027</v>
      </c>
      <c r="D4" s="642" t="s">
        <v>1028</v>
      </c>
    </row>
    <row r="5" spans="1:4" ht="29" x14ac:dyDescent="0.35">
      <c r="A5" s="640">
        <v>45139</v>
      </c>
      <c r="B5" s="641">
        <v>2</v>
      </c>
      <c r="C5" s="642" t="s">
        <v>1027</v>
      </c>
      <c r="D5" s="643" t="s">
        <v>1029</v>
      </c>
    </row>
    <row r="6" spans="1:4" ht="29" x14ac:dyDescent="0.35">
      <c r="A6" s="640">
        <v>45139</v>
      </c>
      <c r="B6" s="641">
        <v>2</v>
      </c>
      <c r="C6" s="642" t="s">
        <v>1030</v>
      </c>
      <c r="D6" s="644" t="s">
        <v>1026</v>
      </c>
    </row>
    <row r="7" spans="1:4" ht="29" x14ac:dyDescent="0.35">
      <c r="A7" s="640">
        <v>45139</v>
      </c>
      <c r="B7" s="641">
        <v>2</v>
      </c>
      <c r="C7" s="642" t="s">
        <v>1031</v>
      </c>
      <c r="D7" s="644" t="s">
        <v>1032</v>
      </c>
    </row>
    <row r="8" spans="1:4" x14ac:dyDescent="0.35">
      <c r="A8" s="640">
        <v>45139</v>
      </c>
      <c r="B8" s="641">
        <v>2</v>
      </c>
      <c r="C8" s="642" t="s">
        <v>1031</v>
      </c>
      <c r="D8" s="644" t="s">
        <v>1033</v>
      </c>
    </row>
    <row r="9" spans="1:4" ht="29" x14ac:dyDescent="0.35">
      <c r="A9" s="640">
        <v>45139</v>
      </c>
      <c r="B9" s="641">
        <v>2</v>
      </c>
      <c r="C9" s="642" t="s">
        <v>1027</v>
      </c>
      <c r="D9" s="644" t="s">
        <v>1034</v>
      </c>
    </row>
    <row r="10" spans="1:4" x14ac:dyDescent="0.35">
      <c r="A10" s="640">
        <v>45139</v>
      </c>
      <c r="B10" s="641">
        <v>2</v>
      </c>
      <c r="C10" s="642" t="s">
        <v>1031</v>
      </c>
      <c r="D10" s="644" t="s">
        <v>1035</v>
      </c>
    </row>
    <row r="11" spans="1:4" x14ac:dyDescent="0.35">
      <c r="A11" s="640">
        <v>45139</v>
      </c>
      <c r="B11" s="641">
        <v>2</v>
      </c>
      <c r="C11" s="642" t="s">
        <v>1036</v>
      </c>
      <c r="D11" s="644" t="s">
        <v>1037</v>
      </c>
    </row>
    <row r="12" spans="1:4" x14ac:dyDescent="0.35">
      <c r="A12" s="640">
        <v>45139</v>
      </c>
      <c r="B12" s="641">
        <v>2</v>
      </c>
      <c r="C12" s="642" t="s">
        <v>1036</v>
      </c>
      <c r="D12" s="644" t="s">
        <v>1038</v>
      </c>
    </row>
    <row r="13" spans="1:4" x14ac:dyDescent="0.35">
      <c r="A13" s="640">
        <v>45139</v>
      </c>
      <c r="B13" s="641">
        <v>2</v>
      </c>
      <c r="C13" s="642" t="s">
        <v>1027</v>
      </c>
      <c r="D13" s="642" t="s">
        <v>1039</v>
      </c>
    </row>
    <row r="14" spans="1:4" ht="29" x14ac:dyDescent="0.35">
      <c r="A14" s="640">
        <v>45170</v>
      </c>
      <c r="B14" s="641">
        <v>2</v>
      </c>
      <c r="C14" s="642" t="s">
        <v>1030</v>
      </c>
      <c r="D14" s="642" t="s">
        <v>1040</v>
      </c>
    </row>
    <row r="15" spans="1:4" ht="29" x14ac:dyDescent="0.35">
      <c r="A15" s="640">
        <v>45170</v>
      </c>
      <c r="B15" s="641">
        <v>2</v>
      </c>
      <c r="C15" s="642" t="s">
        <v>1030</v>
      </c>
      <c r="D15" s="642" t="s">
        <v>1041</v>
      </c>
    </row>
    <row r="16" spans="1:4" ht="29" x14ac:dyDescent="0.35">
      <c r="A16" s="640">
        <v>45170</v>
      </c>
      <c r="B16" s="641">
        <v>2</v>
      </c>
      <c r="C16" s="642" t="s">
        <v>1030</v>
      </c>
      <c r="D16" s="642" t="s">
        <v>1042</v>
      </c>
    </row>
    <row r="17" spans="1:4" ht="29" x14ac:dyDescent="0.35">
      <c r="A17" s="640">
        <v>45170</v>
      </c>
      <c r="B17" s="641">
        <v>2</v>
      </c>
      <c r="C17" s="642" t="s">
        <v>1030</v>
      </c>
      <c r="D17" s="642" t="s">
        <v>1043</v>
      </c>
    </row>
    <row r="18" spans="1:4" ht="29" x14ac:dyDescent="0.35">
      <c r="A18" s="640">
        <v>45170</v>
      </c>
      <c r="B18" s="641">
        <v>2</v>
      </c>
      <c r="C18" s="642" t="s">
        <v>1030</v>
      </c>
      <c r="D18" s="642" t="s">
        <v>1044</v>
      </c>
    </row>
    <row r="19" spans="1:4" ht="29" x14ac:dyDescent="0.35">
      <c r="A19" s="640">
        <v>45170</v>
      </c>
      <c r="B19" s="641">
        <v>2</v>
      </c>
      <c r="C19" s="642" t="s">
        <v>1030</v>
      </c>
      <c r="D19" s="642" t="s">
        <v>1045</v>
      </c>
    </row>
    <row r="20" spans="1:4" ht="29" x14ac:dyDescent="0.35">
      <c r="A20" s="640">
        <v>45170</v>
      </c>
      <c r="B20" s="641">
        <v>2</v>
      </c>
      <c r="C20" s="642" t="s">
        <v>1030</v>
      </c>
      <c r="D20" s="642" t="s">
        <v>1046</v>
      </c>
    </row>
    <row r="21" spans="1:4" ht="29" x14ac:dyDescent="0.35">
      <c r="A21" s="640">
        <v>45170</v>
      </c>
      <c r="B21" s="641">
        <v>2</v>
      </c>
      <c r="C21" s="642" t="s">
        <v>1030</v>
      </c>
      <c r="D21" s="642" t="s">
        <v>1047</v>
      </c>
    </row>
    <row r="22" spans="1:4" ht="29" x14ac:dyDescent="0.35">
      <c r="A22" s="640">
        <v>45170</v>
      </c>
      <c r="B22" s="641">
        <v>2</v>
      </c>
      <c r="C22" s="642" t="s">
        <v>1030</v>
      </c>
      <c r="D22" s="642" t="s">
        <v>1048</v>
      </c>
    </row>
    <row r="23" spans="1:4" ht="29" x14ac:dyDescent="0.35">
      <c r="A23" s="640">
        <v>45170</v>
      </c>
      <c r="B23" s="641">
        <v>2</v>
      </c>
      <c r="C23" s="642" t="s">
        <v>1030</v>
      </c>
      <c r="D23" s="642" t="s">
        <v>1049</v>
      </c>
    </row>
    <row r="24" spans="1:4" ht="29" x14ac:dyDescent="0.35">
      <c r="A24" s="640">
        <v>45170</v>
      </c>
      <c r="B24" s="641">
        <v>2</v>
      </c>
      <c r="C24" s="642" t="s">
        <v>1030</v>
      </c>
      <c r="D24" s="642" t="s">
        <v>1050</v>
      </c>
    </row>
    <row r="25" spans="1:4" ht="29" x14ac:dyDescent="0.35">
      <c r="A25" s="640">
        <v>45170</v>
      </c>
      <c r="B25" s="641">
        <v>2</v>
      </c>
      <c r="C25" s="642" t="s">
        <v>1030</v>
      </c>
      <c r="D25" s="642" t="s">
        <v>1051</v>
      </c>
    </row>
    <row r="26" spans="1:4" ht="29" x14ac:dyDescent="0.35">
      <c r="A26" s="640">
        <v>45170</v>
      </c>
      <c r="B26" s="641">
        <v>2</v>
      </c>
      <c r="C26" s="642" t="s">
        <v>1030</v>
      </c>
      <c r="D26" s="642" t="s">
        <v>1052</v>
      </c>
    </row>
    <row r="27" spans="1:4" ht="29" x14ac:dyDescent="0.35">
      <c r="A27" s="640">
        <v>45170</v>
      </c>
      <c r="B27" s="641">
        <v>2</v>
      </c>
      <c r="C27" s="642" t="s">
        <v>1030</v>
      </c>
      <c r="D27" s="642" t="s">
        <v>1053</v>
      </c>
    </row>
    <row r="28" spans="1:4" ht="29" x14ac:dyDescent="0.35">
      <c r="A28" s="640">
        <v>45170</v>
      </c>
      <c r="B28" s="641">
        <v>2</v>
      </c>
      <c r="C28" s="642" t="s">
        <v>1030</v>
      </c>
      <c r="D28" s="642" t="s">
        <v>1054</v>
      </c>
    </row>
    <row r="29" spans="1:4" ht="29" x14ac:dyDescent="0.35">
      <c r="A29" s="640">
        <v>45170</v>
      </c>
      <c r="B29" s="641">
        <v>2</v>
      </c>
      <c r="C29" s="642" t="s">
        <v>1030</v>
      </c>
      <c r="D29" s="642" t="s">
        <v>1055</v>
      </c>
    </row>
    <row r="30" spans="1:4" ht="29" x14ac:dyDescent="0.35">
      <c r="A30" s="640">
        <v>45170</v>
      </c>
      <c r="B30" s="641">
        <v>2</v>
      </c>
      <c r="C30" s="642" t="s">
        <v>1030</v>
      </c>
      <c r="D30" s="642" t="s">
        <v>1056</v>
      </c>
    </row>
    <row r="31" spans="1:4" ht="29" x14ac:dyDescent="0.35">
      <c r="A31" s="640">
        <v>45170</v>
      </c>
      <c r="B31" s="641">
        <v>2</v>
      </c>
      <c r="C31" s="642" t="s">
        <v>1030</v>
      </c>
      <c r="D31" s="642" t="s">
        <v>1057</v>
      </c>
    </row>
    <row r="32" spans="1:4" ht="29" x14ac:dyDescent="0.35">
      <c r="A32" s="640">
        <v>45170</v>
      </c>
      <c r="B32" s="641">
        <v>2</v>
      </c>
      <c r="C32" s="642" t="s">
        <v>1030</v>
      </c>
      <c r="D32" s="642" t="s">
        <v>1058</v>
      </c>
    </row>
    <row r="33" spans="1:4" x14ac:dyDescent="0.35">
      <c r="A33" s="640">
        <v>45170</v>
      </c>
      <c r="B33" s="641">
        <v>2</v>
      </c>
      <c r="C33" s="645" t="s">
        <v>1031</v>
      </c>
      <c r="D33" s="642" t="s">
        <v>1059</v>
      </c>
    </row>
    <row r="34" spans="1:4" x14ac:dyDescent="0.35">
      <c r="A34" s="640">
        <v>45170</v>
      </c>
      <c r="B34" s="641">
        <v>2</v>
      </c>
      <c r="C34" s="645" t="s">
        <v>1031</v>
      </c>
      <c r="D34" s="642" t="s">
        <v>1060</v>
      </c>
    </row>
    <row r="35" spans="1:4" x14ac:dyDescent="0.35">
      <c r="A35" s="640">
        <v>45170</v>
      </c>
      <c r="B35" s="641">
        <v>2</v>
      </c>
      <c r="C35" s="645" t="s">
        <v>1031</v>
      </c>
      <c r="D35" s="642" t="s">
        <v>1061</v>
      </c>
    </row>
    <row r="36" spans="1:4" x14ac:dyDescent="0.35">
      <c r="A36" s="640">
        <v>45170</v>
      </c>
      <c r="B36" s="641">
        <v>2</v>
      </c>
      <c r="C36" s="645" t="s">
        <v>1062</v>
      </c>
      <c r="D36" s="642" t="s">
        <v>1063</v>
      </c>
    </row>
    <row r="37" spans="1:4" x14ac:dyDescent="0.35">
      <c r="A37" s="516"/>
      <c r="B37" s="517"/>
      <c r="C37" s="545"/>
      <c r="D37" s="518"/>
    </row>
    <row r="39" spans="1:4" x14ac:dyDescent="0.35">
      <c r="C39" s="346"/>
    </row>
    <row r="40" spans="1:4" x14ac:dyDescent="0.35">
      <c r="C40" s="346"/>
    </row>
    <row r="41" spans="1:4" x14ac:dyDescent="0.35">
      <c r="C41" s="346"/>
    </row>
    <row r="42" spans="1:4" x14ac:dyDescent="0.35">
      <c r="C42" s="346"/>
    </row>
    <row r="43" spans="1:4" x14ac:dyDescent="0.35">
      <c r="C43" s="346"/>
    </row>
    <row r="44" spans="1:4" x14ac:dyDescent="0.35">
      <c r="C44" s="346"/>
    </row>
    <row r="45" spans="1:4" x14ac:dyDescent="0.35">
      <c r="C45" s="346"/>
    </row>
    <row r="46" spans="1:4" x14ac:dyDescent="0.35">
      <c r="C46" s="346"/>
    </row>
    <row r="47" spans="1:4" x14ac:dyDescent="0.35">
      <c r="C47" s="346"/>
    </row>
    <row r="48" spans="1:4" x14ac:dyDescent="0.35">
      <c r="C48" s="346"/>
    </row>
    <row r="49" spans="3:3" x14ac:dyDescent="0.35">
      <c r="C49" s="346"/>
    </row>
    <row r="50" spans="3:3" x14ac:dyDescent="0.35">
      <c r="C50" s="346"/>
    </row>
    <row r="51" spans="3:3" x14ac:dyDescent="0.35">
      <c r="C51" s="346"/>
    </row>
    <row r="52" spans="3:3" x14ac:dyDescent="0.35">
      <c r="C52" s="346"/>
    </row>
    <row r="53" spans="3:3" x14ac:dyDescent="0.35">
      <c r="C53" s="346"/>
    </row>
    <row r="54" spans="3:3" x14ac:dyDescent="0.35">
      <c r="C54" s="346"/>
    </row>
    <row r="55" spans="3:3" x14ac:dyDescent="0.35">
      <c r="C55" s="346"/>
    </row>
    <row r="56" spans="3:3" x14ac:dyDescent="0.35">
      <c r="C56" s="346"/>
    </row>
    <row r="57" spans="3:3" x14ac:dyDescent="0.35">
      <c r="C57" s="346"/>
    </row>
    <row r="58" spans="3:3" x14ac:dyDescent="0.35">
      <c r="C58" s="346"/>
    </row>
    <row r="59" spans="3:3" x14ac:dyDescent="0.35">
      <c r="C59" s="346"/>
    </row>
    <row r="60" spans="3:3" x14ac:dyDescent="0.35">
      <c r="C60" s="346"/>
    </row>
    <row r="61" spans="3:3" x14ac:dyDescent="0.35">
      <c r="C61" s="346"/>
    </row>
    <row r="62" spans="3:3" x14ac:dyDescent="0.35">
      <c r="C62" s="346"/>
    </row>
    <row r="63" spans="3:3" x14ac:dyDescent="0.35">
      <c r="C63" s="346"/>
    </row>
    <row r="64" spans="3:3" x14ac:dyDescent="0.35">
      <c r="C64" s="346"/>
    </row>
    <row r="65" spans="3:3" x14ac:dyDescent="0.35">
      <c r="C65" s="346"/>
    </row>
    <row r="66" spans="3:3" x14ac:dyDescent="0.35">
      <c r="C66" s="346"/>
    </row>
    <row r="67" spans="3:3" x14ac:dyDescent="0.35">
      <c r="C67" s="346"/>
    </row>
    <row r="68" spans="3:3" x14ac:dyDescent="0.35">
      <c r="C68" s="346"/>
    </row>
    <row r="69" spans="3:3" x14ac:dyDescent="0.35">
      <c r="C69" s="346"/>
    </row>
    <row r="70" spans="3:3" x14ac:dyDescent="0.35">
      <c r="C70" s="346"/>
    </row>
    <row r="71" spans="3:3" x14ac:dyDescent="0.35">
      <c r="C71" s="346"/>
    </row>
    <row r="72" spans="3:3" x14ac:dyDescent="0.35">
      <c r="C72" s="346"/>
    </row>
    <row r="73" spans="3:3" x14ac:dyDescent="0.35">
      <c r="C73" s="346"/>
    </row>
    <row r="74" spans="3:3" x14ac:dyDescent="0.35">
      <c r="C74" s="346"/>
    </row>
    <row r="75" spans="3:3" x14ac:dyDescent="0.35">
      <c r="C75" s="346"/>
    </row>
    <row r="76" spans="3:3" x14ac:dyDescent="0.35">
      <c r="C76" s="346"/>
    </row>
    <row r="77" spans="3:3" x14ac:dyDescent="0.35">
      <c r="C77" s="346"/>
    </row>
    <row r="78" spans="3:3" x14ac:dyDescent="0.35">
      <c r="C78" s="346"/>
    </row>
    <row r="79" spans="3:3" x14ac:dyDescent="0.35">
      <c r="C79" s="346"/>
    </row>
    <row r="80" spans="3:3" x14ac:dyDescent="0.35">
      <c r="C80" s="346"/>
    </row>
    <row r="81" spans="3:3" x14ac:dyDescent="0.35">
      <c r="C81" s="346"/>
    </row>
    <row r="82" spans="3:3" x14ac:dyDescent="0.35">
      <c r="C82" s="346"/>
    </row>
    <row r="83" spans="3:3" x14ac:dyDescent="0.35">
      <c r="C83" s="346"/>
    </row>
    <row r="84" spans="3:3" x14ac:dyDescent="0.35">
      <c r="C84" s="346"/>
    </row>
    <row r="85" spans="3:3" x14ac:dyDescent="0.35">
      <c r="C85" s="346"/>
    </row>
    <row r="86" spans="3:3" x14ac:dyDescent="0.35">
      <c r="C86" s="346"/>
    </row>
    <row r="87" spans="3:3" x14ac:dyDescent="0.35">
      <c r="C87" s="346"/>
    </row>
    <row r="88" spans="3:3" x14ac:dyDescent="0.35">
      <c r="C88" s="346"/>
    </row>
    <row r="89" spans="3:3" x14ac:dyDescent="0.35">
      <c r="C89" s="346"/>
    </row>
    <row r="90" spans="3:3" x14ac:dyDescent="0.35">
      <c r="C90" s="346"/>
    </row>
    <row r="91" spans="3:3" x14ac:dyDescent="0.35">
      <c r="C91" s="346"/>
    </row>
    <row r="92" spans="3:3" x14ac:dyDescent="0.35">
      <c r="C92" s="346"/>
    </row>
    <row r="93" spans="3:3" x14ac:dyDescent="0.35">
      <c r="C93" s="346"/>
    </row>
    <row r="94" spans="3:3" x14ac:dyDescent="0.35">
      <c r="C94" s="346"/>
    </row>
    <row r="95" spans="3:3" x14ac:dyDescent="0.35">
      <c r="C95" s="346"/>
    </row>
    <row r="96" spans="3:3" x14ac:dyDescent="0.35">
      <c r="C96" s="346"/>
    </row>
    <row r="97" spans="3:3" x14ac:dyDescent="0.35">
      <c r="C97" s="346"/>
    </row>
    <row r="98" spans="3:3" x14ac:dyDescent="0.35">
      <c r="C98" s="346"/>
    </row>
  </sheetData>
  <dataValidations disablePrompts="1" count="1">
    <dataValidation type="list" allowBlank="1" showInputMessage="1" showErrorMessage="1" sqref="C4:C37" xr:uid="{A1D37640-8167-4D70-AA75-E6311A067A2F}">
      <formula1>INDIRECT("ChangeTypeList[ChangeType]")</formula1>
    </dataValidation>
  </dataValidations>
  <pageMargins left="0.7" right="0.7" top="0.75" bottom="0.75" header="0.3" footer="0.3"/>
  <pageSetup paperSize="9" orientation="portrait" horizont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9F03-778D-41F9-A654-05BC9DC1CC40}">
  <sheetPr codeName="Sheet1">
    <tabColor rgb="FF023A5C"/>
    <pageSetUpPr autoPageBreaks="0" fitToPage="1"/>
  </sheetPr>
  <dimension ref="A1:K215"/>
  <sheetViews>
    <sheetView topLeftCell="A110" zoomScale="85" zoomScaleNormal="85" workbookViewId="0">
      <selection activeCell="F190" sqref="F190"/>
    </sheetView>
  </sheetViews>
  <sheetFormatPr defaultColWidth="14.1796875" defaultRowHeight="14.5" zeroHeight="1" outlineLevelRow="1" x14ac:dyDescent="0.35"/>
  <cols>
    <col min="1" max="1" width="7.453125" style="50" customWidth="1"/>
    <col min="2" max="2" width="51" customWidth="1"/>
    <col min="3" max="3" width="28.54296875" customWidth="1"/>
    <col min="4" max="4" width="21.54296875" customWidth="1"/>
    <col min="5" max="5" width="17.81640625" customWidth="1"/>
    <col min="6" max="6" width="29.453125" customWidth="1"/>
    <col min="7" max="7" width="20.7265625" customWidth="1"/>
    <col min="8" max="8" width="22.81640625" customWidth="1"/>
    <col min="9" max="9" width="23.7265625" customWidth="1"/>
    <col min="10" max="10" width="38.81640625" customWidth="1"/>
    <col min="11" max="11" width="29.54296875" customWidth="1"/>
  </cols>
  <sheetData>
    <row r="1" spans="1:11" ht="21" x14ac:dyDescent="0.5">
      <c r="A1" s="50">
        <v>1</v>
      </c>
      <c r="B1" s="132" t="s">
        <v>32</v>
      </c>
      <c r="C1" s="133"/>
      <c r="D1" s="133"/>
      <c r="E1" s="133"/>
      <c r="F1" s="133"/>
      <c r="G1" s="133"/>
      <c r="H1" s="133"/>
      <c r="I1" s="133"/>
      <c r="J1" s="133"/>
      <c r="K1" s="133"/>
    </row>
    <row r="2" spans="1:11" x14ac:dyDescent="0.35">
      <c r="B2" s="50"/>
      <c r="C2" s="50"/>
      <c r="D2" s="50"/>
      <c r="E2" s="50"/>
      <c r="F2" s="50"/>
      <c r="G2" s="50"/>
      <c r="H2" s="50"/>
      <c r="I2" s="98" t="s">
        <v>33</v>
      </c>
      <c r="J2" s="50"/>
      <c r="K2" s="50"/>
    </row>
    <row r="3" spans="1:11" x14ac:dyDescent="0.35">
      <c r="B3" s="50"/>
      <c r="C3" s="50"/>
      <c r="D3" s="50"/>
      <c r="E3" s="50"/>
      <c r="F3" s="50"/>
      <c r="G3" s="50"/>
      <c r="H3" s="50"/>
      <c r="I3" s="118" t="s">
        <v>34</v>
      </c>
      <c r="J3" s="192"/>
      <c r="K3" s="50"/>
    </row>
    <row r="4" spans="1:11" x14ac:dyDescent="0.35">
      <c r="B4" s="50"/>
      <c r="C4" s="50"/>
      <c r="D4" s="50"/>
      <c r="E4" s="50"/>
      <c r="F4" s="50"/>
      <c r="G4" s="50"/>
      <c r="H4" s="50"/>
      <c r="I4" s="102" t="s">
        <v>7</v>
      </c>
      <c r="J4" s="115"/>
      <c r="K4" s="50"/>
    </row>
    <row r="5" spans="1:11" x14ac:dyDescent="0.35">
      <c r="B5" s="50"/>
      <c r="C5" s="50"/>
      <c r="D5" s="50"/>
      <c r="E5" s="50"/>
      <c r="F5" s="50"/>
      <c r="G5" s="50"/>
      <c r="H5" s="50"/>
      <c r="I5" s="122" t="s">
        <v>35</v>
      </c>
      <c r="J5" s="101"/>
      <c r="K5" s="50"/>
    </row>
    <row r="6" spans="1:11" x14ac:dyDescent="0.35">
      <c r="B6" s="50"/>
      <c r="C6" s="50"/>
      <c r="D6" s="50"/>
      <c r="E6" s="50"/>
      <c r="F6" s="50"/>
      <c r="G6" s="50"/>
      <c r="H6" s="50"/>
      <c r="I6" s="486" t="s">
        <v>36</v>
      </c>
      <c r="J6" s="500"/>
      <c r="K6" s="50"/>
    </row>
    <row r="7" spans="1:11" x14ac:dyDescent="0.35">
      <c r="B7" s="50"/>
      <c r="C7" s="50"/>
      <c r="D7" s="50"/>
      <c r="E7" s="50"/>
      <c r="F7" s="50"/>
      <c r="G7" s="50"/>
      <c r="H7" s="50"/>
      <c r="I7" s="211" t="s">
        <v>37</v>
      </c>
      <c r="J7" s="567"/>
      <c r="K7" s="50"/>
    </row>
    <row r="8" spans="1:11" x14ac:dyDescent="0.35">
      <c r="B8" s="50"/>
      <c r="C8" s="50"/>
      <c r="D8" s="50"/>
      <c r="E8" s="50"/>
      <c r="F8" s="50"/>
      <c r="G8" s="50"/>
      <c r="H8" s="50"/>
      <c r="I8" s="145" t="s">
        <v>38</v>
      </c>
      <c r="J8" s="568"/>
      <c r="K8" s="50"/>
    </row>
    <row r="9" spans="1:11" x14ac:dyDescent="0.35">
      <c r="B9" s="50"/>
      <c r="C9" s="50"/>
      <c r="D9" s="50"/>
      <c r="E9" s="50"/>
      <c r="F9" s="50"/>
      <c r="G9" s="50"/>
      <c r="H9" s="50"/>
      <c r="I9" s="205" t="s">
        <v>39</v>
      </c>
      <c r="J9" s="633"/>
      <c r="K9" s="50"/>
    </row>
    <row r="10" spans="1:11" x14ac:dyDescent="0.35">
      <c r="B10" s="50"/>
      <c r="C10" s="50"/>
      <c r="D10" s="50"/>
      <c r="E10" s="50"/>
      <c r="F10" s="98"/>
      <c r="G10" s="50"/>
      <c r="H10" s="50"/>
      <c r="I10" s="634" t="s">
        <v>40</v>
      </c>
      <c r="J10" s="635"/>
      <c r="K10" s="50"/>
    </row>
    <row r="11" spans="1:11" x14ac:dyDescent="0.35">
      <c r="A11" s="50">
        <v>1.1000000000000001</v>
      </c>
      <c r="B11" s="118" t="s">
        <v>32</v>
      </c>
      <c r="C11" s="121"/>
      <c r="D11" s="50"/>
      <c r="E11" s="50"/>
      <c r="F11" s="98"/>
      <c r="G11" s="50"/>
      <c r="H11" s="50"/>
      <c r="I11" s="636" t="s">
        <v>41</v>
      </c>
      <c r="J11" s="637"/>
      <c r="K11" s="50"/>
    </row>
    <row r="12" spans="1:11" x14ac:dyDescent="0.35">
      <c r="B12" s="95" t="s">
        <v>42</v>
      </c>
      <c r="C12" s="407"/>
      <c r="D12" s="50"/>
      <c r="E12" s="50"/>
      <c r="F12" s="98"/>
      <c r="G12" s="50"/>
      <c r="H12" s="50"/>
      <c r="I12" s="50"/>
      <c r="K12" s="50"/>
    </row>
    <row r="13" spans="1:11" x14ac:dyDescent="0.35">
      <c r="B13" s="102" t="s">
        <v>43</v>
      </c>
      <c r="C13" s="408"/>
      <c r="D13" s="50"/>
      <c r="E13" s="50"/>
      <c r="F13" s="98"/>
      <c r="G13" s="50"/>
      <c r="H13" s="50"/>
      <c r="I13" s="50"/>
      <c r="J13" s="50"/>
      <c r="K13" s="50"/>
    </row>
    <row r="14" spans="1:11" x14ac:dyDescent="0.35">
      <c r="B14" s="102" t="s">
        <v>44</v>
      </c>
      <c r="C14" s="409"/>
      <c r="D14" s="50"/>
      <c r="E14" s="50"/>
      <c r="F14" s="98"/>
      <c r="G14" s="50"/>
      <c r="H14" s="50"/>
      <c r="I14" s="50"/>
      <c r="J14" s="50"/>
      <c r="K14" s="50"/>
    </row>
    <row r="15" spans="1:11" x14ac:dyDescent="0.35">
      <c r="B15" s="102" t="s">
        <v>45</v>
      </c>
      <c r="C15" s="409"/>
      <c r="D15" s="50"/>
      <c r="E15" s="50"/>
      <c r="F15" s="98"/>
      <c r="G15" s="50"/>
      <c r="H15" s="50"/>
      <c r="I15" s="50"/>
      <c r="J15" s="50"/>
      <c r="K15" s="50"/>
    </row>
    <row r="16" spans="1:11" ht="28" customHeight="1" x14ac:dyDescent="0.35">
      <c r="B16" s="102" t="s">
        <v>46</v>
      </c>
      <c r="C16" s="410"/>
      <c r="D16" s="108" t="s">
        <v>47</v>
      </c>
      <c r="E16" s="50"/>
      <c r="F16" s="98"/>
      <c r="G16" s="50"/>
      <c r="H16" s="50"/>
      <c r="I16" s="50"/>
      <c r="J16" s="50"/>
      <c r="K16" s="50"/>
    </row>
    <row r="17" spans="1:11" ht="29.15" customHeight="1" x14ac:dyDescent="0.35">
      <c r="B17" s="102" t="s">
        <v>48</v>
      </c>
      <c r="C17" s="410"/>
      <c r="D17" s="50"/>
      <c r="E17" s="50"/>
      <c r="F17" s="98"/>
      <c r="G17" s="50"/>
      <c r="H17" s="50"/>
      <c r="I17" s="50"/>
      <c r="J17" s="50"/>
      <c r="K17" s="50"/>
    </row>
    <row r="18" spans="1:11" ht="29.15" customHeight="1" x14ac:dyDescent="0.35">
      <c r="B18" s="96" t="s">
        <v>49</v>
      </c>
      <c r="C18" s="481"/>
      <c r="D18" s="50"/>
      <c r="E18" s="50"/>
      <c r="F18" s="98"/>
      <c r="G18" s="50"/>
      <c r="H18" s="50"/>
      <c r="I18" s="50"/>
      <c r="J18" s="50"/>
      <c r="K18" s="50"/>
    </row>
    <row r="19" spans="1:11" x14ac:dyDescent="0.35">
      <c r="B19" s="102" t="s">
        <v>50</v>
      </c>
      <c r="C19" s="411" t="s">
        <v>51</v>
      </c>
      <c r="D19" s="108" t="s">
        <v>52</v>
      </c>
      <c r="E19" s="50"/>
      <c r="F19" s="98"/>
      <c r="G19" s="50"/>
      <c r="H19" s="50"/>
      <c r="I19" s="50"/>
      <c r="J19" s="50"/>
      <c r="K19" s="50"/>
    </row>
    <row r="20" spans="1:11" x14ac:dyDescent="0.35">
      <c r="B20" s="96" t="s">
        <v>53</v>
      </c>
      <c r="C20" s="412" t="s">
        <v>54</v>
      </c>
      <c r="D20" s="50"/>
      <c r="E20" s="50"/>
      <c r="F20" s="50"/>
      <c r="G20" s="50"/>
      <c r="H20" s="50"/>
      <c r="I20" s="50"/>
      <c r="J20" s="50"/>
      <c r="K20" s="50"/>
    </row>
    <row r="21" spans="1:11" x14ac:dyDescent="0.35">
      <c r="B21" s="50"/>
      <c r="C21" s="50"/>
      <c r="D21" s="50"/>
      <c r="E21" s="50"/>
      <c r="F21" s="50"/>
      <c r="G21" s="50"/>
      <c r="H21" s="50"/>
      <c r="I21" s="50"/>
      <c r="J21" s="50"/>
      <c r="K21" s="50"/>
    </row>
    <row r="22" spans="1:11" x14ac:dyDescent="0.35">
      <c r="A22" s="50">
        <v>1.2</v>
      </c>
      <c r="B22" s="118" t="s">
        <v>55</v>
      </c>
      <c r="C22" s="119"/>
      <c r="D22" s="100"/>
      <c r="E22" s="99"/>
      <c r="F22" s="50"/>
      <c r="G22" s="50"/>
      <c r="H22" s="50"/>
      <c r="I22" s="50"/>
      <c r="J22" s="50"/>
      <c r="K22" s="50"/>
    </row>
    <row r="23" spans="1:11" x14ac:dyDescent="0.35">
      <c r="B23" s="102" t="s">
        <v>56</v>
      </c>
      <c r="C23" s="413"/>
      <c r="D23" s="108" t="s">
        <v>57</v>
      </c>
      <c r="E23" s="99"/>
      <c r="F23" s="50"/>
      <c r="G23" s="50"/>
      <c r="H23" s="50"/>
      <c r="I23" s="50"/>
      <c r="J23" s="50"/>
      <c r="K23" s="50"/>
    </row>
    <row r="24" spans="1:11" x14ac:dyDescent="0.35">
      <c r="B24" s="102" t="s">
        <v>58</v>
      </c>
      <c r="C24" s="413"/>
      <c r="D24" s="99"/>
      <c r="E24" s="99"/>
      <c r="F24" s="50"/>
      <c r="G24" s="50"/>
      <c r="H24" s="50"/>
      <c r="I24" s="50"/>
      <c r="J24" s="50"/>
      <c r="K24" s="50"/>
    </row>
    <row r="25" spans="1:11" x14ac:dyDescent="0.35">
      <c r="B25" s="102" t="s">
        <v>59</v>
      </c>
      <c r="C25" s="414"/>
      <c r="D25" s="108" t="s">
        <v>60</v>
      </c>
      <c r="E25" s="99"/>
      <c r="F25" s="50"/>
      <c r="G25" s="50"/>
      <c r="H25" s="50"/>
      <c r="I25" s="50"/>
      <c r="J25" s="50"/>
      <c r="K25" s="50"/>
    </row>
    <row r="26" spans="1:11" x14ac:dyDescent="0.35">
      <c r="B26" s="102" t="s">
        <v>61</v>
      </c>
      <c r="C26" s="415">
        <v>1.6E-2</v>
      </c>
      <c r="D26" s="108"/>
      <c r="E26" s="99"/>
      <c r="F26" s="50"/>
      <c r="G26" s="50"/>
      <c r="H26" s="50"/>
      <c r="I26" s="50"/>
      <c r="J26" s="50"/>
      <c r="K26" s="50"/>
    </row>
    <row r="27" spans="1:11" x14ac:dyDescent="0.35">
      <c r="B27" s="96" t="s">
        <v>62</v>
      </c>
      <c r="C27" s="416">
        <v>2.7E-2</v>
      </c>
      <c r="D27" s="99"/>
      <c r="E27" s="99"/>
      <c r="F27" s="50"/>
      <c r="G27" s="50"/>
      <c r="H27" s="50"/>
      <c r="I27" s="50"/>
      <c r="J27" s="50"/>
      <c r="K27" s="50"/>
    </row>
    <row r="28" spans="1:11" x14ac:dyDescent="0.35">
      <c r="B28" s="50"/>
      <c r="C28" s="50"/>
      <c r="D28" s="50"/>
      <c r="E28" s="50"/>
      <c r="F28" s="50"/>
      <c r="G28" s="50"/>
      <c r="H28" s="50"/>
      <c r="I28" s="50"/>
      <c r="J28" s="50"/>
      <c r="K28" s="50"/>
    </row>
    <row r="29" spans="1:11" x14ac:dyDescent="0.35">
      <c r="A29" s="50">
        <v>1.3</v>
      </c>
      <c r="B29" s="118" t="s">
        <v>63</v>
      </c>
      <c r="C29" s="120"/>
      <c r="D29" s="109"/>
      <c r="E29" s="109"/>
      <c r="F29" s="109"/>
      <c r="G29" s="109"/>
      <c r="H29" s="109"/>
      <c r="I29" s="109"/>
      <c r="J29" s="109"/>
      <c r="K29" s="50"/>
    </row>
    <row r="30" spans="1:11" x14ac:dyDescent="0.35">
      <c r="B30" s="104" t="s">
        <v>64</v>
      </c>
      <c r="C30" s="626"/>
      <c r="D30" s="109"/>
      <c r="E30" s="109"/>
      <c r="F30" s="109"/>
      <c r="G30" s="109"/>
      <c r="H30" s="109"/>
      <c r="I30" s="109"/>
      <c r="J30" s="109"/>
      <c r="K30" s="50"/>
    </row>
    <row r="31" spans="1:11" x14ac:dyDescent="0.35">
      <c r="B31" s="105" t="s">
        <v>65</v>
      </c>
      <c r="C31" s="627"/>
      <c r="D31" s="109"/>
      <c r="E31" s="109"/>
      <c r="F31" s="109"/>
      <c r="G31" s="109"/>
      <c r="H31" s="109"/>
      <c r="I31" s="109"/>
      <c r="J31" s="109"/>
      <c r="K31" s="50"/>
    </row>
    <row r="32" spans="1:11" ht="16.5" x14ac:dyDescent="0.35">
      <c r="B32" s="106" t="s">
        <v>66</v>
      </c>
      <c r="C32" s="628">
        <f>C30*C31</f>
        <v>0</v>
      </c>
      <c r="D32" s="109"/>
      <c r="E32" s="109"/>
      <c r="F32" s="109"/>
      <c r="G32" s="109"/>
      <c r="H32" s="109"/>
      <c r="I32" s="109"/>
      <c r="J32" s="109"/>
      <c r="K32" s="50"/>
    </row>
    <row r="33" spans="1:11" x14ac:dyDescent="0.35">
      <c r="B33" s="105" t="s">
        <v>67</v>
      </c>
      <c r="C33" s="629"/>
      <c r="D33" s="108" t="s">
        <v>68</v>
      </c>
      <c r="E33" s="109"/>
      <c r="G33" s="109"/>
      <c r="H33" s="109"/>
      <c r="I33" s="109"/>
      <c r="J33" s="109"/>
      <c r="K33" s="50"/>
    </row>
    <row r="34" spans="1:11" x14ac:dyDescent="0.35">
      <c r="B34" s="105" t="s">
        <v>69</v>
      </c>
      <c r="C34" s="629"/>
      <c r="D34" s="108"/>
      <c r="E34" s="109"/>
      <c r="F34" s="109"/>
      <c r="G34" s="109"/>
      <c r="H34" s="109"/>
      <c r="I34" s="109"/>
      <c r="J34" s="109"/>
      <c r="K34" s="50"/>
    </row>
    <row r="35" spans="1:11" x14ac:dyDescent="0.35">
      <c r="B35" s="105" t="s">
        <v>70</v>
      </c>
      <c r="C35" s="629"/>
      <c r="D35" s="108"/>
      <c r="E35" s="109"/>
      <c r="F35" s="109"/>
      <c r="G35" s="109"/>
      <c r="H35" s="109"/>
      <c r="I35" s="109"/>
      <c r="J35" s="109"/>
      <c r="K35" s="50"/>
    </row>
    <row r="36" spans="1:11" x14ac:dyDescent="0.35">
      <c r="B36" s="105" t="s">
        <v>71</v>
      </c>
      <c r="C36" s="629"/>
      <c r="D36" s="108" t="s">
        <v>72</v>
      </c>
      <c r="E36" s="109"/>
      <c r="F36" s="109"/>
      <c r="G36" s="109"/>
      <c r="H36" s="109"/>
      <c r="I36" s="109"/>
      <c r="J36" s="109"/>
      <c r="K36" s="50"/>
    </row>
    <row r="37" spans="1:11" x14ac:dyDescent="0.35">
      <c r="B37" s="105" t="s">
        <v>73</v>
      </c>
      <c r="C37" s="629"/>
      <c r="D37" s="109"/>
      <c r="E37" s="109"/>
      <c r="F37" s="109"/>
      <c r="G37" s="109"/>
      <c r="H37" s="109"/>
      <c r="I37" s="109"/>
      <c r="J37" s="109"/>
      <c r="K37" s="50"/>
    </row>
    <row r="38" spans="1:11" x14ac:dyDescent="0.35">
      <c r="B38" s="105" t="s">
        <v>74</v>
      </c>
      <c r="C38" s="629"/>
      <c r="D38" s="109"/>
      <c r="E38" s="109"/>
      <c r="F38" s="109"/>
      <c r="G38" s="109"/>
      <c r="H38" s="109"/>
      <c r="I38" s="109"/>
      <c r="J38" s="109"/>
      <c r="K38" s="50"/>
    </row>
    <row r="39" spans="1:11" ht="14.5" customHeight="1" x14ac:dyDescent="0.35">
      <c r="B39" s="107" t="s">
        <v>75</v>
      </c>
      <c r="C39" s="630" t="e">
        <f>IF(C33="",C36/(1.62*Traffic_flow/365),C33)</f>
        <v>#DIV/0!</v>
      </c>
      <c r="D39" s="109"/>
      <c r="E39" s="109"/>
      <c r="F39" s="109"/>
      <c r="G39" s="109"/>
      <c r="H39" s="109"/>
      <c r="I39" s="109"/>
      <c r="J39" s="109"/>
      <c r="K39" s="50"/>
    </row>
    <row r="40" spans="1:11" ht="14.5" customHeight="1" x14ac:dyDescent="0.35">
      <c r="B40" s="107" t="s">
        <v>76</v>
      </c>
      <c r="C40" s="630" t="e">
        <f>IF(C34="",C37/(1.62*Traffic_flow/365),C34)</f>
        <v>#DIV/0!</v>
      </c>
      <c r="D40" s="109"/>
      <c r="E40" s="109"/>
      <c r="F40" s="109"/>
      <c r="G40" s="109"/>
      <c r="H40" s="109"/>
      <c r="I40" s="109"/>
      <c r="J40" s="109"/>
      <c r="K40" s="50"/>
    </row>
    <row r="41" spans="1:11" ht="14.5" customHeight="1" x14ac:dyDescent="0.35">
      <c r="B41" s="107" t="s">
        <v>77</v>
      </c>
      <c r="C41" s="631" t="e">
        <f>IF(C35="",C38/(1.62*Traffic_flow/365),C35)</f>
        <v>#DIV/0!</v>
      </c>
      <c r="D41" s="109"/>
      <c r="E41" s="109"/>
      <c r="F41" s="109"/>
      <c r="G41" s="109"/>
      <c r="H41" s="109"/>
      <c r="I41" s="109"/>
      <c r="J41" s="109"/>
      <c r="K41" s="50"/>
    </row>
    <row r="42" spans="1:11" ht="14.5" customHeight="1" x14ac:dyDescent="0.35">
      <c r="B42" s="96" t="s">
        <v>78</v>
      </c>
      <c r="C42" s="632">
        <v>0.01</v>
      </c>
      <c r="D42" s="108" t="s">
        <v>79</v>
      </c>
      <c r="E42" s="110"/>
      <c r="F42" s="109"/>
      <c r="G42" s="109"/>
      <c r="H42" s="109"/>
      <c r="I42" s="109"/>
      <c r="J42" s="109"/>
      <c r="K42" s="50"/>
    </row>
    <row r="43" spans="1:11" x14ac:dyDescent="0.35">
      <c r="B43" s="110"/>
      <c r="C43" s="112"/>
      <c r="D43" s="113"/>
      <c r="E43" s="110"/>
      <c r="F43" s="109"/>
      <c r="G43" s="109"/>
      <c r="H43" s="109"/>
      <c r="I43" s="109"/>
      <c r="J43" s="109"/>
      <c r="K43" s="50"/>
    </row>
    <row r="44" spans="1:11" ht="29" x14ac:dyDescent="0.35">
      <c r="B44" s="185" t="s">
        <v>80</v>
      </c>
      <c r="C44" s="487" t="e" cm="1">
        <f t="array" ref="C44">IF('Impact Analysis'!$C$14="Indefinite",1/Prim_Life,ROUNDUP(Results_timespan/Prim_Life,0))</f>
        <v>#DIV/0!</v>
      </c>
      <c r="D44" s="487" t="e" cm="1">
        <f t="array" ref="D44">IF('Impact Analysis'!$C$14="Indefinite",1/Sec_Life,ROUNDUP(Results_timespan/Sec_Life,0))</f>
        <v>#DIV/0!</v>
      </c>
      <c r="E44" s="488" t="e" cm="1">
        <f t="array" ref="E44">IF('Impact Analysis'!$C$14="Indefinite",1/Tert_life,ROUNDUP(Results_timespan/Tert_life,0))</f>
        <v>#DIV/0!</v>
      </c>
      <c r="F44" s="97"/>
      <c r="G44" s="109"/>
      <c r="H44" s="109"/>
      <c r="I44" s="109"/>
      <c r="J44" s="109"/>
      <c r="K44" s="50"/>
    </row>
    <row r="45" spans="1:11" x14ac:dyDescent="0.35">
      <c r="B45" s="114" t="s">
        <v>81</v>
      </c>
      <c r="C45" s="184">
        <f>IF('Impact Analysis'!C13="1m2",1/Project_Area,IF('Impact Analysis'!C13="1 lane km",3750/Project_Area,IF('Impact Analysis'!C13="entire project",1,0)))</f>
        <v>1</v>
      </c>
      <c r="D45" s="186"/>
      <c r="E45" s="187"/>
      <c r="F45" s="97"/>
      <c r="G45" s="109"/>
      <c r="H45" s="109"/>
      <c r="I45" s="109"/>
      <c r="J45" s="109"/>
      <c r="K45" s="50"/>
    </row>
    <row r="46" spans="1:11" x14ac:dyDescent="0.35">
      <c r="B46" s="109"/>
      <c r="C46" s="111"/>
      <c r="D46" s="111"/>
      <c r="E46" s="110"/>
      <c r="F46" s="109"/>
      <c r="G46" s="109"/>
      <c r="H46" s="109"/>
      <c r="I46" s="109"/>
      <c r="J46" s="109"/>
      <c r="K46" s="50"/>
    </row>
    <row r="47" spans="1:11" x14ac:dyDescent="0.35">
      <c r="B47" s="109"/>
      <c r="C47" s="109"/>
      <c r="D47" s="109"/>
      <c r="E47" s="109"/>
      <c r="F47" s="109"/>
      <c r="G47" s="109"/>
      <c r="H47" s="109"/>
      <c r="I47" s="109"/>
      <c r="J47" s="109"/>
      <c r="K47" s="50"/>
    </row>
    <row r="48" spans="1:11" ht="21" x14ac:dyDescent="0.5">
      <c r="A48" s="50">
        <v>2</v>
      </c>
      <c r="B48" s="134" t="s">
        <v>82</v>
      </c>
      <c r="C48" s="135"/>
      <c r="D48" s="135"/>
      <c r="E48" s="135"/>
      <c r="F48" s="135"/>
      <c r="G48" s="135"/>
      <c r="H48" s="135"/>
      <c r="I48" s="135"/>
      <c r="J48" s="135"/>
      <c r="K48" s="135"/>
    </row>
    <row r="49" spans="1:11" x14ac:dyDescent="0.35">
      <c r="A49" s="109"/>
      <c r="B49" s="109"/>
      <c r="C49" s="109"/>
      <c r="D49" s="109"/>
      <c r="E49" s="109"/>
      <c r="F49" s="109"/>
      <c r="G49" s="109"/>
      <c r="H49" s="109"/>
      <c r="I49" s="109"/>
      <c r="J49" s="109"/>
      <c r="K49" s="50"/>
    </row>
    <row r="50" spans="1:11" x14ac:dyDescent="0.35">
      <c r="A50" s="50">
        <v>2.1</v>
      </c>
      <c r="B50" s="108" t="s">
        <v>83</v>
      </c>
      <c r="C50" s="108">
        <v>0.84899999999999998</v>
      </c>
      <c r="D50" s="109"/>
      <c r="E50" s="109"/>
      <c r="F50" s="109"/>
      <c r="G50" s="109"/>
      <c r="H50" s="109"/>
      <c r="I50" s="109"/>
      <c r="J50" s="109"/>
      <c r="K50" s="50"/>
    </row>
    <row r="51" spans="1:11" s="34" customFormat="1" ht="29.15" customHeight="1" x14ac:dyDescent="0.35">
      <c r="A51" s="50"/>
      <c r="B51" s="654" t="s">
        <v>84</v>
      </c>
      <c r="C51" s="655"/>
      <c r="D51" s="656"/>
      <c r="E51" s="109"/>
      <c r="F51" s="109"/>
      <c r="G51" s="109"/>
      <c r="H51" s="223"/>
      <c r="I51" s="223"/>
      <c r="J51" s="223"/>
      <c r="K51" s="223"/>
    </row>
    <row r="52" spans="1:11" s="34" customFormat="1" x14ac:dyDescent="0.35">
      <c r="A52" s="50"/>
      <c r="B52" s="109"/>
      <c r="C52" s="109"/>
      <c r="D52" s="109"/>
      <c r="E52" s="109"/>
      <c r="F52" s="109"/>
      <c r="G52" s="109"/>
      <c r="H52" s="223"/>
      <c r="I52" s="223"/>
      <c r="J52" s="223"/>
      <c r="K52" s="223"/>
    </row>
    <row r="53" spans="1:11" s="34" customFormat="1" hidden="1" outlineLevel="1" x14ac:dyDescent="0.35">
      <c r="A53" s="50"/>
      <c r="B53" s="118" t="s">
        <v>85</v>
      </c>
      <c r="C53" s="192" t="s">
        <v>86</v>
      </c>
      <c r="D53" s="192" t="s">
        <v>87</v>
      </c>
      <c r="E53" s="120" t="s">
        <v>88</v>
      </c>
      <c r="F53" s="109"/>
      <c r="G53" s="223"/>
      <c r="H53" s="223"/>
      <c r="I53" s="223"/>
      <c r="J53" s="223"/>
      <c r="K53" s="223"/>
    </row>
    <row r="54" spans="1:11" s="34" customFormat="1" hidden="1" outlineLevel="1" x14ac:dyDescent="0.35">
      <c r="A54" s="50"/>
      <c r="B54" s="95" t="s">
        <v>89</v>
      </c>
      <c r="C54" s="563">
        <v>10</v>
      </c>
      <c r="D54" s="563">
        <v>500</v>
      </c>
      <c r="E54" s="614" t="s">
        <v>90</v>
      </c>
      <c r="F54" s="109"/>
      <c r="G54" s="223"/>
      <c r="H54" s="223"/>
      <c r="I54" s="223"/>
      <c r="J54" s="223"/>
      <c r="K54" s="223"/>
    </row>
    <row r="55" spans="1:11" s="34" customFormat="1" hidden="1" outlineLevel="1" x14ac:dyDescent="0.35">
      <c r="A55" s="50"/>
      <c r="B55" s="102" t="s">
        <v>91</v>
      </c>
      <c r="C55" s="564">
        <v>0</v>
      </c>
      <c r="D55" s="564">
        <v>15</v>
      </c>
      <c r="E55" s="615" t="s">
        <v>92</v>
      </c>
      <c r="F55" s="109"/>
      <c r="G55" s="223"/>
      <c r="H55" s="223"/>
      <c r="I55" s="223"/>
      <c r="J55" s="223"/>
      <c r="K55" s="223"/>
    </row>
    <row r="56" spans="1:11" s="34" customFormat="1" hidden="1" outlineLevel="1" x14ac:dyDescent="0.35">
      <c r="A56" s="50"/>
      <c r="B56" s="102" t="s">
        <v>93</v>
      </c>
      <c r="C56" s="564">
        <v>0</v>
      </c>
      <c r="D56" s="564">
        <v>30</v>
      </c>
      <c r="E56" s="615" t="s">
        <v>92</v>
      </c>
      <c r="F56" s="109"/>
      <c r="G56" s="223"/>
      <c r="H56" s="223"/>
      <c r="I56" s="223"/>
      <c r="J56" s="223"/>
      <c r="K56" s="223"/>
    </row>
    <row r="57" spans="1:11" s="34" customFormat="1" hidden="1" outlineLevel="1" x14ac:dyDescent="0.35">
      <c r="A57" s="50"/>
      <c r="B57" s="102" t="s">
        <v>94</v>
      </c>
      <c r="C57" s="564">
        <v>0</v>
      </c>
      <c r="D57" s="564">
        <v>100</v>
      </c>
      <c r="E57" s="615" t="s">
        <v>92</v>
      </c>
      <c r="F57" s="109"/>
      <c r="G57" s="223"/>
      <c r="H57" s="223"/>
      <c r="I57" s="223"/>
      <c r="J57" s="223"/>
      <c r="K57" s="223"/>
    </row>
    <row r="58" spans="1:11" s="34" customFormat="1" hidden="1" outlineLevel="1" x14ac:dyDescent="0.35">
      <c r="A58" s="50"/>
      <c r="B58" s="96" t="s">
        <v>95</v>
      </c>
      <c r="C58" s="565">
        <v>0</v>
      </c>
      <c r="D58" s="565">
        <v>5</v>
      </c>
      <c r="E58" s="616" t="s">
        <v>92</v>
      </c>
      <c r="F58" s="109"/>
      <c r="G58" s="223"/>
      <c r="H58" s="223"/>
      <c r="I58" s="223"/>
      <c r="J58" s="223"/>
      <c r="K58" s="223"/>
    </row>
    <row r="59" spans="1:11" s="34" customFormat="1" collapsed="1" x14ac:dyDescent="0.35">
      <c r="A59" s="50"/>
      <c r="C59" s="109"/>
      <c r="D59" s="109"/>
      <c r="E59" s="109"/>
      <c r="F59" s="109"/>
      <c r="G59" s="109"/>
      <c r="H59" s="223"/>
      <c r="I59" s="223"/>
      <c r="K59" s="223"/>
    </row>
    <row r="60" spans="1:11" s="34" customFormat="1" x14ac:dyDescent="0.35">
      <c r="A60" s="50">
        <v>2.2000000000000002</v>
      </c>
      <c r="B60" s="108" t="s">
        <v>96</v>
      </c>
      <c r="C60" s="109"/>
      <c r="D60" s="109"/>
      <c r="E60" s="109"/>
      <c r="F60"/>
      <c r="G60" s="109"/>
      <c r="H60" s="223"/>
      <c r="I60" s="223"/>
      <c r="J60" s="223"/>
      <c r="K60" s="223"/>
    </row>
    <row r="61" spans="1:11" s="34" customFormat="1" ht="28" customHeight="1" x14ac:dyDescent="0.35">
      <c r="A61" s="50"/>
      <c r="B61" s="654" t="s">
        <v>97</v>
      </c>
      <c r="C61" s="655"/>
      <c r="D61" s="656"/>
      <c r="E61" s="109"/>
      <c r="F61" s="109"/>
      <c r="G61" s="109"/>
      <c r="H61" s="223"/>
      <c r="I61" s="223"/>
      <c r="J61" s="223"/>
      <c r="K61" s="223"/>
    </row>
    <row r="62" spans="1:11" s="34" customFormat="1" ht="29" hidden="1" outlineLevel="1" x14ac:dyDescent="0.35">
      <c r="A62" s="50"/>
      <c r="B62" s="118" t="s">
        <v>98</v>
      </c>
      <c r="C62" s="268" t="s">
        <v>99</v>
      </c>
      <c r="D62" s="192" t="s">
        <v>100</v>
      </c>
      <c r="E62" s="192" t="s">
        <v>101</v>
      </c>
      <c r="F62" s="192" t="s">
        <v>102</v>
      </c>
      <c r="G62" s="192" t="s">
        <v>103</v>
      </c>
      <c r="H62" s="192" t="s">
        <v>104</v>
      </c>
      <c r="I62" s="192" t="s">
        <v>105</v>
      </c>
      <c r="J62" s="192" t="s">
        <v>106</v>
      </c>
      <c r="K62" s="569" t="s">
        <v>107</v>
      </c>
    </row>
    <row r="63" spans="1:11" s="34" customFormat="1" hidden="1" outlineLevel="1" x14ac:dyDescent="0.35">
      <c r="A63" s="50"/>
      <c r="B63" s="220"/>
      <c r="C63" s="221" t="s">
        <v>108</v>
      </c>
      <c r="D63" s="221" t="s">
        <v>109</v>
      </c>
      <c r="E63" s="221" t="s">
        <v>109</v>
      </c>
      <c r="F63" s="221" t="s">
        <v>109</v>
      </c>
      <c r="G63" s="221" t="s">
        <v>109</v>
      </c>
      <c r="H63" s="221" t="s">
        <v>109</v>
      </c>
      <c r="I63" s="221" t="s">
        <v>109</v>
      </c>
      <c r="J63" s="221" t="s">
        <v>109</v>
      </c>
      <c r="K63" s="570" t="s">
        <v>109</v>
      </c>
    </row>
    <row r="64" spans="1:11" s="34" customFormat="1" hidden="1" outlineLevel="1" x14ac:dyDescent="0.35">
      <c r="A64" s="50"/>
      <c r="B64" s="95" t="s">
        <v>110</v>
      </c>
      <c r="C64" s="422"/>
      <c r="D64" s="508">
        <v>0.94</v>
      </c>
      <c r="E64" s="508">
        <v>0</v>
      </c>
      <c r="F64" s="508">
        <v>0</v>
      </c>
      <c r="G64" s="508">
        <v>0.06</v>
      </c>
      <c r="H64" s="508">
        <v>0</v>
      </c>
      <c r="I64" s="509">
        <v>0</v>
      </c>
      <c r="J64" s="509">
        <v>0</v>
      </c>
      <c r="K64" s="509">
        <v>0</v>
      </c>
    </row>
    <row r="65" spans="1:11" s="34" customFormat="1" hidden="1" outlineLevel="1" x14ac:dyDescent="0.35">
      <c r="A65" s="50"/>
      <c r="B65" s="102" t="s">
        <v>111</v>
      </c>
      <c r="C65" s="423"/>
      <c r="D65" s="510">
        <v>0.94</v>
      </c>
      <c r="E65" s="510">
        <v>0</v>
      </c>
      <c r="F65" s="510">
        <v>0</v>
      </c>
      <c r="G65" s="510">
        <v>0</v>
      </c>
      <c r="H65" s="510">
        <v>0</v>
      </c>
      <c r="I65" s="511">
        <v>0</v>
      </c>
      <c r="J65" s="511">
        <v>0</v>
      </c>
      <c r="K65" s="511">
        <v>0.06</v>
      </c>
    </row>
    <row r="66" spans="1:11" s="34" customFormat="1" hidden="1" outlineLevel="1" x14ac:dyDescent="0.35">
      <c r="A66" s="50"/>
      <c r="B66" s="102" t="s">
        <v>112</v>
      </c>
      <c r="C66" s="423"/>
      <c r="D66" s="510">
        <v>0.53</v>
      </c>
      <c r="E66" s="510">
        <v>0</v>
      </c>
      <c r="F66" s="510">
        <v>0.4</v>
      </c>
      <c r="G66" s="510">
        <v>7.0000000000000007E-2</v>
      </c>
      <c r="H66" s="510">
        <v>0</v>
      </c>
      <c r="I66" s="511">
        <v>0</v>
      </c>
      <c r="J66" s="511">
        <v>0</v>
      </c>
      <c r="K66" s="511">
        <v>0</v>
      </c>
    </row>
    <row r="67" spans="1:11" s="34" customFormat="1" hidden="1" outlineLevel="1" x14ac:dyDescent="0.35">
      <c r="A67" s="50"/>
      <c r="B67" s="102" t="s">
        <v>113</v>
      </c>
      <c r="C67" s="423"/>
      <c r="D67" s="510">
        <v>0.53</v>
      </c>
      <c r="E67" s="510">
        <v>0</v>
      </c>
      <c r="F67" s="510">
        <v>0.4</v>
      </c>
      <c r="G67" s="510">
        <v>5.2499999999999998E-2</v>
      </c>
      <c r="H67" s="510">
        <v>0</v>
      </c>
      <c r="I67" s="511">
        <v>0</v>
      </c>
      <c r="J67" s="511">
        <v>0</v>
      </c>
      <c r="K67" s="511">
        <v>1.7500000000000002E-2</v>
      </c>
    </row>
    <row r="68" spans="1:11" s="34" customFormat="1" hidden="1" outlineLevel="1" x14ac:dyDescent="0.35">
      <c r="A68" s="50"/>
      <c r="B68" s="102" t="s">
        <v>114</v>
      </c>
      <c r="C68" s="423"/>
      <c r="D68" s="510">
        <v>0.94</v>
      </c>
      <c r="E68" s="510">
        <v>0</v>
      </c>
      <c r="F68" s="510">
        <v>0</v>
      </c>
      <c r="G68" s="510">
        <v>0.06</v>
      </c>
      <c r="H68" s="510">
        <v>0</v>
      </c>
      <c r="I68" s="511">
        <v>0</v>
      </c>
      <c r="J68" s="511">
        <v>0</v>
      </c>
      <c r="K68" s="511">
        <v>0</v>
      </c>
    </row>
    <row r="69" spans="1:11" s="34" customFormat="1" hidden="1" outlineLevel="1" x14ac:dyDescent="0.35">
      <c r="A69" s="50"/>
      <c r="B69" s="102" t="s">
        <v>115</v>
      </c>
      <c r="C69" s="423"/>
      <c r="D69" s="510">
        <v>0.94</v>
      </c>
      <c r="E69" s="510">
        <v>0</v>
      </c>
      <c r="F69" s="510">
        <v>0</v>
      </c>
      <c r="G69" s="510">
        <v>4.4999999999999998E-2</v>
      </c>
      <c r="H69" s="510">
        <v>0</v>
      </c>
      <c r="I69" s="511">
        <v>0</v>
      </c>
      <c r="J69" s="511">
        <v>0</v>
      </c>
      <c r="K69" s="511">
        <v>1.4999999999999999E-2</v>
      </c>
    </row>
    <row r="70" spans="1:11" s="34" customFormat="1" hidden="1" outlineLevel="1" x14ac:dyDescent="0.35">
      <c r="A70" s="50"/>
      <c r="B70" s="102" t="s">
        <v>116</v>
      </c>
      <c r="C70" s="423"/>
      <c r="D70" s="510">
        <v>0.95</v>
      </c>
      <c r="E70" s="510">
        <v>0</v>
      </c>
      <c r="F70" s="510">
        <v>0</v>
      </c>
      <c r="G70" s="510">
        <v>0.05</v>
      </c>
      <c r="H70" s="510">
        <v>0</v>
      </c>
      <c r="I70" s="511">
        <v>0</v>
      </c>
      <c r="J70" s="511">
        <v>0</v>
      </c>
      <c r="K70" s="511">
        <v>0</v>
      </c>
    </row>
    <row r="71" spans="1:11" s="34" customFormat="1" hidden="1" outlineLevel="1" x14ac:dyDescent="0.35">
      <c r="A71" s="50"/>
      <c r="B71" s="102" t="s">
        <v>117</v>
      </c>
      <c r="C71" s="423"/>
      <c r="D71" s="510">
        <v>0.5</v>
      </c>
      <c r="E71" s="510">
        <v>0</v>
      </c>
      <c r="F71" s="510">
        <v>0.2</v>
      </c>
      <c r="G71" s="510">
        <v>0</v>
      </c>
      <c r="H71" s="510">
        <v>0.12</v>
      </c>
      <c r="I71" s="511">
        <v>0.15</v>
      </c>
      <c r="J71" s="511">
        <v>0.03</v>
      </c>
      <c r="K71" s="511">
        <v>0</v>
      </c>
    </row>
    <row r="72" spans="1:11" s="34" customFormat="1" hidden="1" outlineLevel="1" x14ac:dyDescent="0.35">
      <c r="A72" s="50"/>
      <c r="B72" s="96" t="s">
        <v>118</v>
      </c>
      <c r="C72" s="424"/>
      <c r="D72" s="512">
        <v>0</v>
      </c>
      <c r="E72" s="512">
        <v>0</v>
      </c>
      <c r="F72" s="512">
        <v>0</v>
      </c>
      <c r="G72" s="512">
        <v>0</v>
      </c>
      <c r="H72" s="512">
        <v>0.67</v>
      </c>
      <c r="I72" s="513">
        <v>0.33</v>
      </c>
      <c r="J72" s="513">
        <v>0</v>
      </c>
      <c r="K72" s="513">
        <v>0</v>
      </c>
    </row>
    <row r="73" spans="1:11" s="34" customFormat="1" hidden="1" outlineLevel="1" x14ac:dyDescent="0.35">
      <c r="A73" s="50"/>
      <c r="B73" s="50"/>
      <c r="C73" s="50"/>
      <c r="D73" s="50"/>
      <c r="E73" s="50"/>
      <c r="F73" s="50"/>
      <c r="G73" s="50"/>
      <c r="H73" s="223"/>
      <c r="I73" s="223"/>
      <c r="J73" s="223"/>
      <c r="K73" s="223"/>
    </row>
    <row r="74" spans="1:11" s="34" customFormat="1" hidden="1" outlineLevel="1" x14ac:dyDescent="0.35">
      <c r="A74" s="50"/>
      <c r="B74" s="108" t="s">
        <v>119</v>
      </c>
      <c r="C74" s="124"/>
      <c r="D74" s="124"/>
      <c r="E74" s="124"/>
      <c r="F74" s="124"/>
      <c r="G74" s="124"/>
      <c r="H74" s="223"/>
      <c r="I74" s="223"/>
      <c r="J74" s="223"/>
      <c r="K74" s="223"/>
    </row>
    <row r="75" spans="1:11" s="34" customFormat="1" hidden="1" outlineLevel="1" x14ac:dyDescent="0.35">
      <c r="A75" s="50"/>
      <c r="B75" s="203" t="s">
        <v>120</v>
      </c>
      <c r="C75" s="204"/>
      <c r="D75" s="204" t="s">
        <v>100</v>
      </c>
      <c r="E75" s="204" t="s">
        <v>101</v>
      </c>
      <c r="F75" s="204" t="s">
        <v>102</v>
      </c>
      <c r="G75" s="204" t="s">
        <v>121</v>
      </c>
      <c r="H75" s="204" t="s">
        <v>122</v>
      </c>
      <c r="I75" s="204" t="s">
        <v>123</v>
      </c>
      <c r="J75" s="204" t="s">
        <v>124</v>
      </c>
      <c r="K75" s="204" t="s">
        <v>125</v>
      </c>
    </row>
    <row r="76" spans="1:11" s="34" customFormat="1" hidden="1" outlineLevel="1" x14ac:dyDescent="0.35">
      <c r="A76" s="50"/>
      <c r="B76" s="205" t="s">
        <v>110</v>
      </c>
      <c r="C76" s="266"/>
      <c r="D76" s="269">
        <v>0.88</v>
      </c>
      <c r="E76" s="269">
        <v>0</v>
      </c>
      <c r="F76" s="269">
        <v>0</v>
      </c>
      <c r="G76" s="269">
        <v>0.12</v>
      </c>
      <c r="H76" s="269">
        <v>0</v>
      </c>
      <c r="I76" s="269">
        <v>0</v>
      </c>
      <c r="J76" s="269">
        <v>0</v>
      </c>
      <c r="K76" s="269">
        <v>0</v>
      </c>
    </row>
    <row r="77" spans="1:11" s="34" customFormat="1" hidden="1" outlineLevel="1" x14ac:dyDescent="0.35">
      <c r="A77" s="50"/>
      <c r="B77" s="206" t="s">
        <v>111</v>
      </c>
      <c r="C77" s="108"/>
      <c r="D77" s="270">
        <v>0.88</v>
      </c>
      <c r="E77" s="270">
        <v>0</v>
      </c>
      <c r="F77" s="270">
        <v>0</v>
      </c>
      <c r="G77" s="270">
        <v>0.09</v>
      </c>
      <c r="H77" s="270">
        <v>0</v>
      </c>
      <c r="I77" s="270">
        <v>0</v>
      </c>
      <c r="J77" s="270">
        <v>0</v>
      </c>
      <c r="K77" s="270">
        <v>0.03</v>
      </c>
    </row>
    <row r="78" spans="1:11" s="34" customFormat="1" hidden="1" outlineLevel="1" x14ac:dyDescent="0.35">
      <c r="A78" s="50"/>
      <c r="B78" s="206" t="s">
        <v>112</v>
      </c>
      <c r="C78" s="108"/>
      <c r="D78" s="270">
        <v>0.53</v>
      </c>
      <c r="E78" s="270">
        <v>0</v>
      </c>
      <c r="F78" s="270">
        <v>0.4</v>
      </c>
      <c r="G78" s="270">
        <v>7.0000000000000007E-2</v>
      </c>
      <c r="H78" s="270">
        <v>0</v>
      </c>
      <c r="I78" s="270">
        <v>0</v>
      </c>
      <c r="J78" s="270">
        <v>0</v>
      </c>
      <c r="K78" s="270">
        <v>0</v>
      </c>
    </row>
    <row r="79" spans="1:11" s="34" customFormat="1" hidden="1" outlineLevel="1" x14ac:dyDescent="0.35">
      <c r="A79" s="50"/>
      <c r="B79" s="206" t="s">
        <v>113</v>
      </c>
      <c r="C79" s="108"/>
      <c r="D79" s="270">
        <v>0.53</v>
      </c>
      <c r="E79" s="270">
        <v>0</v>
      </c>
      <c r="F79" s="270">
        <v>0.4</v>
      </c>
      <c r="G79" s="270">
        <v>5.2499999999999998E-2</v>
      </c>
      <c r="H79" s="270">
        <v>0</v>
      </c>
      <c r="I79" s="270">
        <v>0</v>
      </c>
      <c r="J79" s="270">
        <v>0</v>
      </c>
      <c r="K79" s="270">
        <v>1.7500000000000002E-2</v>
      </c>
    </row>
    <row r="80" spans="1:11" s="34" customFormat="1" hidden="1" outlineLevel="1" x14ac:dyDescent="0.35">
      <c r="A80" s="50"/>
      <c r="B80" s="206" t="s">
        <v>114</v>
      </c>
      <c r="C80" s="108"/>
      <c r="D80" s="270">
        <v>0.94</v>
      </c>
      <c r="E80" s="270">
        <v>0</v>
      </c>
      <c r="F80" s="270">
        <v>0</v>
      </c>
      <c r="G80" s="270">
        <v>0.06</v>
      </c>
      <c r="H80" s="270">
        <v>0</v>
      </c>
      <c r="I80" s="270">
        <v>0</v>
      </c>
      <c r="J80" s="270">
        <v>0</v>
      </c>
      <c r="K80" s="270">
        <v>0</v>
      </c>
    </row>
    <row r="81" spans="1:11" s="34" customFormat="1" hidden="1" outlineLevel="1" x14ac:dyDescent="0.35">
      <c r="A81" s="50"/>
      <c r="B81" s="206" t="s">
        <v>115</v>
      </c>
      <c r="C81" s="108"/>
      <c r="D81" s="270">
        <v>0.94</v>
      </c>
      <c r="E81" s="270">
        <v>0</v>
      </c>
      <c r="F81" s="270">
        <v>0</v>
      </c>
      <c r="G81" s="270">
        <v>4.4999999999999998E-2</v>
      </c>
      <c r="H81" s="270">
        <v>0</v>
      </c>
      <c r="I81" s="270">
        <v>0</v>
      </c>
      <c r="J81" s="270">
        <v>0</v>
      </c>
      <c r="K81" s="270">
        <v>1.4999999999999999E-2</v>
      </c>
    </row>
    <row r="82" spans="1:11" s="34" customFormat="1" hidden="1" outlineLevel="1" x14ac:dyDescent="0.35">
      <c r="A82" s="50"/>
      <c r="B82" s="206" t="s">
        <v>116</v>
      </c>
      <c r="C82" s="108"/>
      <c r="D82" s="270">
        <v>0.95</v>
      </c>
      <c r="E82" s="270">
        <v>0</v>
      </c>
      <c r="F82" s="270">
        <v>0</v>
      </c>
      <c r="G82" s="270">
        <v>0.05</v>
      </c>
      <c r="H82" s="270">
        <v>0</v>
      </c>
      <c r="I82" s="270">
        <v>0</v>
      </c>
      <c r="J82" s="270">
        <v>0</v>
      </c>
      <c r="K82" s="270">
        <v>0</v>
      </c>
    </row>
    <row r="83" spans="1:11" s="34" customFormat="1" hidden="1" outlineLevel="1" x14ac:dyDescent="0.35">
      <c r="A83" s="50"/>
      <c r="B83" s="206" t="s">
        <v>117</v>
      </c>
      <c r="C83" s="108"/>
      <c r="D83" s="514" t="s">
        <v>126</v>
      </c>
      <c r="E83" s="514" t="s">
        <v>126</v>
      </c>
      <c r="F83" s="514" t="s">
        <v>126</v>
      </c>
      <c r="G83" s="514" t="s">
        <v>126</v>
      </c>
      <c r="H83" s="514" t="s">
        <v>126</v>
      </c>
      <c r="I83" s="514" t="s">
        <v>126</v>
      </c>
      <c r="J83" s="514" t="s">
        <v>126</v>
      </c>
      <c r="K83" s="514" t="s">
        <v>126</v>
      </c>
    </row>
    <row r="84" spans="1:11" s="34" customFormat="1" hidden="1" outlineLevel="1" x14ac:dyDescent="0.35">
      <c r="A84" s="50"/>
      <c r="B84" s="207" t="s">
        <v>118</v>
      </c>
      <c r="C84" s="267"/>
      <c r="D84" s="515" t="s">
        <v>126</v>
      </c>
      <c r="E84" s="515" t="s">
        <v>126</v>
      </c>
      <c r="F84" s="515" t="s">
        <v>126</v>
      </c>
      <c r="G84" s="515" t="s">
        <v>126</v>
      </c>
      <c r="H84" s="515" t="s">
        <v>126</v>
      </c>
      <c r="I84" s="515" t="s">
        <v>126</v>
      </c>
      <c r="J84" s="515" t="s">
        <v>126</v>
      </c>
      <c r="K84" s="515" t="s">
        <v>126</v>
      </c>
    </row>
    <row r="85" spans="1:11" s="34" customFormat="1" collapsed="1" x14ac:dyDescent="0.35">
      <c r="A85" s="50"/>
      <c r="B85" s="379" t="s">
        <v>127</v>
      </c>
      <c r="C85" s="125"/>
      <c r="D85" s="125"/>
      <c r="E85" s="125"/>
      <c r="F85" s="125"/>
      <c r="G85" s="125"/>
      <c r="H85" s="224"/>
      <c r="I85" s="224"/>
      <c r="J85" s="223"/>
      <c r="K85" s="223"/>
    </row>
    <row r="86" spans="1:11" s="34" customFormat="1" x14ac:dyDescent="0.35">
      <c r="A86" s="50"/>
      <c r="B86" s="379"/>
      <c r="C86" s="125"/>
      <c r="D86" s="125"/>
      <c r="E86" s="125"/>
      <c r="F86" s="125"/>
      <c r="G86" s="125"/>
      <c r="H86" s="224"/>
      <c r="I86" s="224"/>
      <c r="J86" s="223"/>
      <c r="K86" s="223"/>
    </row>
    <row r="87" spans="1:11" s="34" customFormat="1" x14ac:dyDescent="0.35">
      <c r="A87" s="50">
        <v>2.2999999999999998</v>
      </c>
      <c r="B87" s="108" t="s">
        <v>128</v>
      </c>
      <c r="C87" s="108"/>
      <c r="D87" s="109"/>
      <c r="E87" s="109"/>
      <c r="F87" s="109"/>
      <c r="G87" s="109"/>
      <c r="H87" s="223"/>
      <c r="I87" s="223"/>
      <c r="J87" s="223"/>
      <c r="K87" s="223"/>
    </row>
    <row r="88" spans="1:11" s="34" customFormat="1" ht="30.65" customHeight="1" x14ac:dyDescent="0.35">
      <c r="A88" s="50"/>
      <c r="B88" s="654" t="s">
        <v>129</v>
      </c>
      <c r="C88" s="655"/>
      <c r="D88" s="656"/>
      <c r="E88" s="109"/>
      <c r="F88" s="109"/>
      <c r="G88" s="109"/>
      <c r="H88" s="223"/>
      <c r="I88" s="223"/>
      <c r="J88" s="223"/>
      <c r="K88" s="223"/>
    </row>
    <row r="89" spans="1:11" s="34" customFormat="1" hidden="1" outlineLevel="1" x14ac:dyDescent="0.35">
      <c r="A89" s="50"/>
      <c r="B89" s="118" t="s">
        <v>130</v>
      </c>
      <c r="C89" s="192" t="s">
        <v>131</v>
      </c>
      <c r="D89" s="192" t="s">
        <v>132</v>
      </c>
      <c r="E89" s="192" t="s">
        <v>105</v>
      </c>
      <c r="F89" s="120" t="s">
        <v>133</v>
      </c>
      <c r="G89" s="108"/>
      <c r="H89" s="109"/>
      <c r="I89" s="223"/>
      <c r="J89" s="223"/>
      <c r="K89" s="223"/>
    </row>
    <row r="90" spans="1:11" s="34" customFormat="1" hidden="1" outlineLevel="1" x14ac:dyDescent="0.35">
      <c r="A90" s="50"/>
      <c r="B90" s="236"/>
      <c r="C90" s="237" t="s">
        <v>134</v>
      </c>
      <c r="D90" s="237" t="s">
        <v>135</v>
      </c>
      <c r="E90" s="237" t="s">
        <v>135</v>
      </c>
      <c r="F90" s="238" t="s">
        <v>136</v>
      </c>
      <c r="G90" s="97"/>
      <c r="H90" s="109"/>
      <c r="I90" s="223"/>
      <c r="J90" s="223"/>
      <c r="K90" s="223"/>
    </row>
    <row r="91" spans="1:11" s="34" customFormat="1" hidden="1" outlineLevel="1" x14ac:dyDescent="0.35">
      <c r="A91" s="50"/>
      <c r="B91" s="95" t="s">
        <v>100</v>
      </c>
      <c r="C91" s="422">
        <f>2.06*3.6/1000</f>
        <v>7.4160000000000007E-3</v>
      </c>
      <c r="D91" s="422">
        <f>1.127/1000</f>
        <v>1.127E-3</v>
      </c>
      <c r="E91" s="422">
        <v>0.3</v>
      </c>
      <c r="F91" s="425">
        <v>1</v>
      </c>
      <c r="G91" s="109"/>
      <c r="H91" s="109"/>
      <c r="I91" s="223"/>
      <c r="J91" s="223"/>
      <c r="K91" s="223"/>
    </row>
    <row r="92" spans="1:11" s="34" customFormat="1" hidden="1" outlineLevel="1" x14ac:dyDescent="0.35">
      <c r="A92" s="50"/>
      <c r="B92" s="102" t="s">
        <v>101</v>
      </c>
      <c r="C92" s="423">
        <f>2.36*3.6/1000</f>
        <v>8.4960000000000001E-3</v>
      </c>
      <c r="D92" s="423">
        <f>0.708/1000</f>
        <v>7.0799999999999997E-4</v>
      </c>
      <c r="E92" s="423">
        <v>0</v>
      </c>
      <c r="F92" s="426">
        <v>1</v>
      </c>
      <c r="G92" s="109"/>
      <c r="H92" s="109"/>
      <c r="I92" s="223"/>
      <c r="J92" s="223"/>
      <c r="K92" s="223"/>
    </row>
    <row r="93" spans="1:11" s="34" customFormat="1" hidden="1" outlineLevel="1" x14ac:dyDescent="0.35">
      <c r="A93" s="50"/>
      <c r="B93" s="102" t="s">
        <v>102</v>
      </c>
      <c r="C93" s="423">
        <v>3.2759999999999997E-2</v>
      </c>
      <c r="D93" s="423">
        <v>3.6999999999999999E-4</v>
      </c>
      <c r="E93" s="423">
        <v>0</v>
      </c>
      <c r="F93" s="426">
        <v>1</v>
      </c>
      <c r="G93" s="109"/>
      <c r="H93" s="109"/>
      <c r="I93" s="223"/>
      <c r="J93" s="223"/>
      <c r="K93" s="223"/>
    </row>
    <row r="94" spans="1:11" s="34" customFormat="1" hidden="1" outlineLevel="1" x14ac:dyDescent="0.35">
      <c r="A94" s="50"/>
      <c r="B94" s="102" t="s">
        <v>137</v>
      </c>
      <c r="C94" s="423">
        <v>0</v>
      </c>
      <c r="D94" s="423">
        <v>0</v>
      </c>
      <c r="E94" s="423">
        <v>0</v>
      </c>
      <c r="F94" s="426">
        <v>0</v>
      </c>
      <c r="G94" s="108" t="s">
        <v>138</v>
      </c>
      <c r="H94" s="109"/>
      <c r="I94" s="223"/>
      <c r="J94" s="223"/>
      <c r="K94" s="223"/>
    </row>
    <row r="95" spans="1:11" s="34" customFormat="1" hidden="1" outlineLevel="1" x14ac:dyDescent="0.35">
      <c r="A95" s="50"/>
      <c r="B95" s="102" t="s">
        <v>139</v>
      </c>
      <c r="C95" s="423">
        <v>0</v>
      </c>
      <c r="D95" s="423">
        <f>(0.52)/1000</f>
        <v>5.2000000000000006E-4</v>
      </c>
      <c r="E95" s="423">
        <v>0</v>
      </c>
      <c r="F95" s="426">
        <v>0</v>
      </c>
      <c r="G95" s="109"/>
      <c r="H95" s="109"/>
      <c r="I95" s="223"/>
      <c r="J95" s="223"/>
      <c r="K95" s="223"/>
    </row>
    <row r="96" spans="1:11" s="34" customFormat="1" hidden="1" outlineLevel="1" x14ac:dyDescent="0.35">
      <c r="A96" s="50"/>
      <c r="B96" s="102" t="s">
        <v>140</v>
      </c>
      <c r="C96" s="423">
        <v>0.122</v>
      </c>
      <c r="D96" s="424">
        <v>0</v>
      </c>
      <c r="E96" s="424">
        <v>0</v>
      </c>
      <c r="F96" s="427">
        <v>0</v>
      </c>
      <c r="G96" s="109"/>
      <c r="H96" s="109"/>
      <c r="I96" s="223"/>
      <c r="J96" s="223"/>
      <c r="K96" s="223"/>
    </row>
    <row r="97" spans="1:11" s="34" customFormat="1" hidden="1" outlineLevel="1" x14ac:dyDescent="0.35">
      <c r="A97" s="50"/>
      <c r="B97" s="102" t="s">
        <v>141</v>
      </c>
      <c r="C97" s="595" t="s">
        <v>142</v>
      </c>
      <c r="D97" s="108" t="s">
        <v>143</v>
      </c>
      <c r="E97" s="109"/>
      <c r="F97" s="109"/>
      <c r="G97" s="109"/>
      <c r="H97" s="223"/>
      <c r="I97" s="223"/>
      <c r="J97" s="223"/>
      <c r="K97" s="223"/>
    </row>
    <row r="98" spans="1:11" s="34" customFormat="1" hidden="1" outlineLevel="1" x14ac:dyDescent="0.35">
      <c r="A98" s="50"/>
      <c r="B98" s="102" t="s">
        <v>144</v>
      </c>
      <c r="C98" s="595" t="s">
        <v>145</v>
      </c>
      <c r="D98" s="108" t="s">
        <v>146</v>
      </c>
      <c r="E98" s="109"/>
      <c r="F98" s="109"/>
      <c r="G98" s="109"/>
      <c r="H98" s="223"/>
      <c r="I98" s="223"/>
      <c r="J98" s="223"/>
      <c r="K98" s="223"/>
    </row>
    <row r="99" spans="1:11" s="34" customFormat="1" hidden="1" outlineLevel="1" x14ac:dyDescent="0.35">
      <c r="A99" s="50"/>
      <c r="B99" s="96" t="s">
        <v>147</v>
      </c>
      <c r="C99" s="596" t="s">
        <v>148</v>
      </c>
      <c r="D99" s="108"/>
      <c r="E99" s="109"/>
      <c r="F99" s="109"/>
      <c r="G99" s="109"/>
      <c r="H99" s="223"/>
      <c r="I99" s="223"/>
      <c r="J99" s="223"/>
      <c r="K99" s="223"/>
    </row>
    <row r="100" spans="1:11" s="34" customFormat="1" collapsed="1" x14ac:dyDescent="0.35">
      <c r="A100" s="50"/>
      <c r="B100" s="379" t="s">
        <v>149</v>
      </c>
      <c r="C100" s="108"/>
      <c r="D100" s="109"/>
      <c r="E100" s="109"/>
      <c r="F100" s="109"/>
      <c r="G100" s="109"/>
      <c r="H100" s="223"/>
      <c r="I100" s="223"/>
      <c r="J100" s="223"/>
      <c r="K100" s="223"/>
    </row>
    <row r="101" spans="1:11" s="34" customFormat="1" x14ac:dyDescent="0.35">
      <c r="A101" s="50"/>
      <c r="B101" s="108"/>
      <c r="C101" s="108"/>
      <c r="D101" s="109"/>
      <c r="E101" s="109"/>
      <c r="F101" s="109"/>
      <c r="G101" s="109"/>
      <c r="H101" s="223"/>
      <c r="I101" s="223"/>
      <c r="J101" s="223"/>
      <c r="K101" s="223"/>
    </row>
    <row r="102" spans="1:11" x14ac:dyDescent="0.35">
      <c r="A102" s="50">
        <v>2.4</v>
      </c>
      <c r="B102" s="147" t="s">
        <v>150</v>
      </c>
      <c r="C102" s="264" t="str">
        <f>Handle_Scenario1&amp;" - Scenario 1"</f>
        <v xml:space="preserve"> - Scenario 1</v>
      </c>
      <c r="D102" s="264" t="str">
        <f>Handle_Scenario2&amp;" - Scenario 2"</f>
        <v xml:space="preserve"> - Scenario 2</v>
      </c>
      <c r="E102" s="265" t="str">
        <f>Handle_Scenario3&amp;" - Scenario 3"</f>
        <v xml:space="preserve"> - Scenario 3</v>
      </c>
      <c r="F102" s="50"/>
      <c r="G102" s="109"/>
      <c r="H102" s="109"/>
      <c r="I102" s="109"/>
      <c r="J102" s="109"/>
      <c r="K102" s="50"/>
    </row>
    <row r="103" spans="1:11" ht="16.5" x14ac:dyDescent="0.35">
      <c r="B103" s="210" t="s">
        <v>151</v>
      </c>
      <c r="C103" s="612">
        <v>2.15</v>
      </c>
      <c r="D103" s="612">
        <v>1.44</v>
      </c>
      <c r="E103" s="613">
        <v>2.15</v>
      </c>
      <c r="F103" s="108" t="s">
        <v>152</v>
      </c>
      <c r="G103" s="50"/>
      <c r="H103" s="50"/>
      <c r="I103" s="50"/>
      <c r="J103" s="50"/>
      <c r="K103" s="50"/>
    </row>
    <row r="104" spans="1:11" x14ac:dyDescent="0.35">
      <c r="B104" s="50"/>
      <c r="C104" s="50"/>
      <c r="D104" s="50"/>
      <c r="E104" s="50"/>
      <c r="F104" s="50"/>
      <c r="G104" s="50"/>
      <c r="H104" s="50"/>
      <c r="I104" s="123" t="s">
        <v>153</v>
      </c>
      <c r="J104" s="50"/>
      <c r="K104" s="50"/>
    </row>
    <row r="105" spans="1:11" ht="16.5" x14ac:dyDescent="0.35">
      <c r="B105" s="50"/>
      <c r="C105" s="50"/>
      <c r="D105" s="50"/>
      <c r="E105" s="50"/>
      <c r="F105" s="50"/>
      <c r="H105" s="50"/>
      <c r="I105" s="138" t="s">
        <v>154</v>
      </c>
      <c r="J105" s="139" t="s">
        <v>155</v>
      </c>
      <c r="K105" s="50"/>
    </row>
    <row r="106" spans="1:11" x14ac:dyDescent="0.35">
      <c r="A106" s="50">
        <v>2.5</v>
      </c>
      <c r="B106" s="657" t="s">
        <v>156</v>
      </c>
      <c r="C106" s="658"/>
      <c r="D106" s="658"/>
      <c r="E106" s="658"/>
      <c r="F106" s="658"/>
      <c r="G106" s="659"/>
      <c r="H106" s="50"/>
      <c r="I106" s="95" t="s">
        <v>157</v>
      </c>
      <c r="J106" s="597">
        <v>1.69</v>
      </c>
      <c r="K106" s="50"/>
    </row>
    <row r="107" spans="1:11" x14ac:dyDescent="0.35">
      <c r="B107" s="50"/>
      <c r="C107" s="50"/>
      <c r="D107" s="50"/>
      <c r="E107" s="50"/>
      <c r="F107" s="50"/>
      <c r="G107" s="50"/>
      <c r="H107" s="50"/>
      <c r="I107" s="102" t="s">
        <v>158</v>
      </c>
      <c r="J107" s="598">
        <v>2.15</v>
      </c>
      <c r="K107" s="50"/>
    </row>
    <row r="108" spans="1:11" x14ac:dyDescent="0.35">
      <c r="A108" s="593" t="s">
        <v>159</v>
      </c>
      <c r="B108" s="98" t="str">
        <f>Handle_Scenario1&amp;" - Scenario 1"</f>
        <v xml:space="preserve"> - Scenario 1</v>
      </c>
      <c r="C108" s="50"/>
      <c r="D108" s="50"/>
      <c r="E108" s="50"/>
      <c r="F108" s="50"/>
      <c r="G108" s="50"/>
      <c r="H108" s="50"/>
      <c r="I108" s="102" t="s">
        <v>160</v>
      </c>
      <c r="J108" s="598">
        <v>1.58</v>
      </c>
      <c r="K108" s="50"/>
    </row>
    <row r="109" spans="1:11" s="4" customFormat="1" ht="29" x14ac:dyDescent="0.35">
      <c r="A109" s="98"/>
      <c r="B109" s="136" t="s">
        <v>161</v>
      </c>
      <c r="C109" s="136" t="s">
        <v>162</v>
      </c>
      <c r="D109" s="136" t="s">
        <v>163</v>
      </c>
      <c r="E109" s="136" t="s">
        <v>164</v>
      </c>
      <c r="F109" s="137" t="s">
        <v>165</v>
      </c>
      <c r="G109" s="136" t="s">
        <v>166</v>
      </c>
      <c r="H109" s="126"/>
      <c r="I109" s="102" t="s">
        <v>167</v>
      </c>
      <c r="J109" s="598">
        <v>1.82</v>
      </c>
      <c r="K109" s="98"/>
    </row>
    <row r="110" spans="1:11" x14ac:dyDescent="0.35">
      <c r="B110" s="95" t="s">
        <v>120</v>
      </c>
      <c r="C110" s="457"/>
      <c r="D110" s="457"/>
      <c r="E110" s="428"/>
      <c r="F110" s="428"/>
      <c r="G110" s="489">
        <f>IF(ISBLANK(Prim_Materials[[#This Row],[Material]]), 0, INDEX(Materials!$2:$2,MATCH(Prim_Materials[[#This Row],[Material]],Materials!$6:$6,0))*(Prim_Materials[[#This Row],[Thickness of Layer (mm)]]/1000)*Project_Area)</f>
        <v>0</v>
      </c>
      <c r="H110" s="50"/>
      <c r="I110" s="102" t="s">
        <v>168</v>
      </c>
      <c r="J110" s="598">
        <v>1.44</v>
      </c>
      <c r="K110" s="50"/>
    </row>
    <row r="111" spans="1:11" x14ac:dyDescent="0.35">
      <c r="B111" s="191" t="s">
        <v>169</v>
      </c>
      <c r="C111" s="457"/>
      <c r="D111" s="457"/>
      <c r="E111" s="428"/>
      <c r="F111" s="428"/>
      <c r="G111" s="489">
        <f>IF(ISBLANK(Prim_Materials[[#This Row],[Material]]), 0, INDEX(Materials!$2:$2,MATCH(Prim_Materials[[#This Row],[Material]],Materials!$6:$6,0))*(Prim_Materials[[#This Row],[Thickness of Layer (mm)]]/1000)*Project_Area)</f>
        <v>0</v>
      </c>
      <c r="H111" s="50"/>
      <c r="I111" s="102"/>
      <c r="J111" s="598"/>
      <c r="K111" s="50"/>
    </row>
    <row r="112" spans="1:11" x14ac:dyDescent="0.35">
      <c r="B112" s="102" t="s">
        <v>170</v>
      </c>
      <c r="C112" s="457"/>
      <c r="D112" s="457"/>
      <c r="E112" s="428"/>
      <c r="F112" s="428"/>
      <c r="G112" s="489">
        <f>IF(ISBLANK(Prim_Materials[[#This Row],[Material]]), 0, INDEX(Materials!$2:$2,MATCH(Prim_Materials[[#This Row],[Material]],Materials!$6:$6,0))*(Prim_Materials[[#This Row],[Thickness of Layer (mm)]]/1000)*Project_Area)</f>
        <v>0</v>
      </c>
      <c r="H112" s="50"/>
      <c r="I112" s="96" t="s">
        <v>171</v>
      </c>
      <c r="J112" s="599">
        <v>1.44</v>
      </c>
      <c r="K112" s="50"/>
    </row>
    <row r="113" spans="1:11" x14ac:dyDescent="0.35">
      <c r="B113" s="191" t="s">
        <v>172</v>
      </c>
      <c r="C113" s="456"/>
      <c r="D113" s="457"/>
      <c r="E113" s="428"/>
      <c r="F113" s="428"/>
      <c r="G113" s="489">
        <f>IF(ISBLANK(Prim_Materials[[#This Row],[Material]]), 0, INDEX(Materials!$2:$2,MATCH(Prim_Materials[[#This Row],[Material]],Materials!$6:$6,0))*(Prim_Materials[[#This Row],[Thickness of Layer (mm)]]/1000)*Project_Area)</f>
        <v>0</v>
      </c>
      <c r="I113" s="50"/>
      <c r="J113" s="180"/>
      <c r="K113" s="180"/>
    </row>
    <row r="114" spans="1:11" x14ac:dyDescent="0.35">
      <c r="B114" s="102" t="s">
        <v>173</v>
      </c>
      <c r="C114" s="457"/>
      <c r="D114" s="457"/>
      <c r="E114" s="428"/>
      <c r="F114" s="428"/>
      <c r="G114" s="489">
        <f>IF(ISBLANK(Prim_Materials[[#This Row],[Material]]), 0, INDEX(Materials!$2:$2,MATCH(Prim_Materials[[#This Row],[Material]],Materials!$6:$6,0))*(Prim_Materials[[#This Row],[Thickness of Layer (mm)]]/1000)*Project_Area)</f>
        <v>0</v>
      </c>
      <c r="H114" s="50"/>
      <c r="I114" s="50"/>
      <c r="J114" s="50"/>
      <c r="K114" s="50"/>
    </row>
    <row r="115" spans="1:11" x14ac:dyDescent="0.35">
      <c r="B115" s="102" t="s">
        <v>174</v>
      </c>
      <c r="C115" s="457"/>
      <c r="D115" s="457"/>
      <c r="E115" s="428"/>
      <c r="F115" s="428"/>
      <c r="G115" s="489">
        <f>IF(ISBLANK(Prim_Materials[[#This Row],[Material]]), 0, INDEX(Materials!$2:$2,MATCH(Prim_Materials[[#This Row],[Material]],Materials!$6:$6,0))*(Prim_Materials[[#This Row],[Thickness of Layer (mm)]]/1000)*Project_Area)</f>
        <v>0</v>
      </c>
      <c r="H115" s="50"/>
      <c r="I115" s="50"/>
      <c r="J115" s="50"/>
      <c r="K115" s="50"/>
    </row>
    <row r="116" spans="1:11" x14ac:dyDescent="0.35">
      <c r="B116" s="96" t="s">
        <v>175</v>
      </c>
      <c r="C116" s="457"/>
      <c r="D116" s="457"/>
      <c r="E116" s="428"/>
      <c r="F116" s="428"/>
      <c r="G116" s="489">
        <f>IF(ISBLANK(Prim_Materials[[#This Row],[Material]]), 0, INDEX(Materials!$2:$2,MATCH(Prim_Materials[[#This Row],[Material]],Materials!$6:$6,0))*(Prim_Materials[[#This Row],[Thickness of Layer (mm)]]/1000)*Project_Area)</f>
        <v>0</v>
      </c>
      <c r="H116" s="108" t="s">
        <v>176</v>
      </c>
      <c r="J116" s="50"/>
      <c r="K116" s="50"/>
    </row>
    <row r="117" spans="1:11" x14ac:dyDescent="0.35">
      <c r="B117" s="50"/>
      <c r="C117" s="50"/>
      <c r="D117" s="181" t="str">
        <f>IFERROR(IF(MAX(Prim_Materials[Thickness of Layer (mm)])&gt;Max_thickness,"A data entry value is large, ensure it is correct",IF(MIN(Prim_Materials[Thickness of Layer (mm)])&lt;Min_thickness,"An entered data value is small, ensure it is correct","")),"")</f>
        <v>An entered data value is small, ensure it is correct</v>
      </c>
      <c r="E117" s="50"/>
      <c r="F117" s="181"/>
      <c r="G117" s="181"/>
      <c r="H117" s="50"/>
      <c r="I117" s="50"/>
      <c r="J117" s="50"/>
      <c r="K117" s="50"/>
    </row>
    <row r="118" spans="1:11" x14ac:dyDescent="0.35">
      <c r="A118" s="50" t="s">
        <v>177</v>
      </c>
      <c r="B118" s="98" t="str">
        <f>Handle_Scenario2&amp;" - Scenario 2"</f>
        <v xml:space="preserve"> - Scenario 2</v>
      </c>
      <c r="C118" s="50"/>
      <c r="D118" s="50"/>
      <c r="E118" s="50"/>
      <c r="F118" s="50"/>
      <c r="G118" s="50"/>
      <c r="H118" s="50"/>
      <c r="I118" s="50"/>
      <c r="J118" s="50"/>
      <c r="K118" s="50"/>
    </row>
    <row r="119" spans="1:11" ht="29" x14ac:dyDescent="0.35">
      <c r="B119" s="136" t="s">
        <v>161</v>
      </c>
      <c r="C119" s="136" t="s">
        <v>162</v>
      </c>
      <c r="D119" s="136" t="s">
        <v>163</v>
      </c>
      <c r="E119" s="136" t="s">
        <v>164</v>
      </c>
      <c r="F119" s="137" t="s">
        <v>165</v>
      </c>
      <c r="G119" s="136" t="s">
        <v>166</v>
      </c>
      <c r="H119" s="100"/>
      <c r="I119" s="454"/>
      <c r="J119" s="50"/>
      <c r="K119" s="50"/>
    </row>
    <row r="120" spans="1:11" x14ac:dyDescent="0.35">
      <c r="B120" s="95" t="s">
        <v>120</v>
      </c>
      <c r="C120" s="457"/>
      <c r="D120" s="428"/>
      <c r="E120" s="428"/>
      <c r="F120" s="428"/>
      <c r="G120" s="489">
        <f>IF(ISBLANK(Sec_Materials[[#This Row],[Material]]), 0, INDEX(Materials!$2:$2,MATCH(Sec_Materials[[#This Row],[Material]],Materials!$6:$6,0))*(Sec_Materials[[#This Row],[Thickness of Layer (mm)]]/1000)*Project_Area)</f>
        <v>0</v>
      </c>
      <c r="H120" s="50"/>
      <c r="I120" s="50"/>
      <c r="J120" s="50"/>
      <c r="K120" s="50"/>
    </row>
    <row r="121" spans="1:11" x14ac:dyDescent="0.35">
      <c r="B121" s="102" t="s">
        <v>169</v>
      </c>
      <c r="C121" s="457"/>
      <c r="D121" s="428"/>
      <c r="E121" s="428"/>
      <c r="F121" s="428"/>
      <c r="G121" s="489">
        <f>IF(ISBLANK(Sec_Materials[[#This Row],[Material]]), 0, INDEX(Materials!$2:$2,MATCH(Sec_Materials[[#This Row],[Material]],Materials!$6:$6,0))*(Sec_Materials[[#This Row],[Thickness of Layer (mm)]]/1000)*Project_Area)</f>
        <v>0</v>
      </c>
      <c r="H121" s="50"/>
      <c r="I121" s="50"/>
      <c r="J121" s="50"/>
      <c r="K121" s="50"/>
    </row>
    <row r="122" spans="1:11" x14ac:dyDescent="0.35">
      <c r="B122" s="102" t="s">
        <v>170</v>
      </c>
      <c r="C122" s="457"/>
      <c r="D122" s="428"/>
      <c r="E122" s="428"/>
      <c r="F122" s="428"/>
      <c r="G122" s="489">
        <f>IF(ISBLANK(Sec_Materials[[#This Row],[Material]]), 0, INDEX(Materials!$2:$2,MATCH(Sec_Materials[[#This Row],[Material]],Materials!$6:$6,0))*(Sec_Materials[[#This Row],[Thickness of Layer (mm)]]/1000)*Project_Area)</f>
        <v>0</v>
      </c>
      <c r="H122" s="50"/>
      <c r="I122" s="50"/>
      <c r="J122" s="50"/>
      <c r="K122" s="50"/>
    </row>
    <row r="123" spans="1:11" x14ac:dyDescent="0.35">
      <c r="B123" s="191" t="s">
        <v>172</v>
      </c>
      <c r="C123" s="456"/>
      <c r="D123" s="428"/>
      <c r="E123" s="428"/>
      <c r="F123" s="428"/>
      <c r="G123" s="489">
        <f>IF(ISBLANK(Sec_Materials[[#This Row],[Material]]), 0, INDEX(Materials!$2:$2,MATCH(Sec_Materials[[#This Row],[Material]],Materials!$6:$6,0))*(Sec_Materials[[#This Row],[Thickness of Layer (mm)]]/1000)*Project_Area)</f>
        <v>0</v>
      </c>
      <c r="H123" s="50"/>
      <c r="I123" s="50"/>
      <c r="J123" s="50"/>
      <c r="K123" s="50"/>
    </row>
    <row r="124" spans="1:11" x14ac:dyDescent="0.35">
      <c r="B124" s="102" t="s">
        <v>173</v>
      </c>
      <c r="C124" s="457"/>
      <c r="D124" s="428"/>
      <c r="E124" s="428"/>
      <c r="F124" s="428"/>
      <c r="G124" s="489">
        <f>IF(ISBLANK(Sec_Materials[[#This Row],[Material]]), 0, INDEX(Materials!$2:$2,MATCH(Sec_Materials[[#This Row],[Material]],Materials!$6:$6,0))*(Sec_Materials[[#This Row],[Thickness of Layer (mm)]]/1000)*Project_Area)</f>
        <v>0</v>
      </c>
      <c r="H124" s="50"/>
      <c r="I124" s="50"/>
      <c r="J124" s="50"/>
      <c r="K124" s="50"/>
    </row>
    <row r="125" spans="1:11" x14ac:dyDescent="0.35">
      <c r="B125" s="102" t="s">
        <v>174</v>
      </c>
      <c r="C125" s="457"/>
      <c r="D125" s="428"/>
      <c r="E125" s="428"/>
      <c r="F125" s="428"/>
      <c r="G125" s="489">
        <f>IF(ISBLANK(Sec_Materials[[#This Row],[Material]]), 0, INDEX(Materials!$2:$2,MATCH(Sec_Materials[[#This Row],[Material]],Materials!$6:$6,0))*(Sec_Materials[[#This Row],[Thickness of Layer (mm)]]/1000)*Project_Area)</f>
        <v>0</v>
      </c>
      <c r="H125" s="50"/>
      <c r="I125" s="50"/>
      <c r="J125" s="50"/>
      <c r="K125" s="127"/>
    </row>
    <row r="126" spans="1:11" x14ac:dyDescent="0.35">
      <c r="B126" s="96" t="s">
        <v>175</v>
      </c>
      <c r="C126" s="457"/>
      <c r="D126" s="428"/>
      <c r="E126" s="428"/>
      <c r="F126" s="428"/>
      <c r="G126" s="489">
        <f>IF(ISBLANK(Sec_Materials[[#This Row],[Material]]), 0, INDEX(Materials!$2:$2,MATCH(Sec_Materials[[#This Row],[Material]],Materials!$6:$6,0))*(Sec_Materials[[#This Row],[Thickness of Layer (mm)]]/1000)*Project_Area)</f>
        <v>0</v>
      </c>
      <c r="H126" s="108" t="s">
        <v>176</v>
      </c>
      <c r="I126" s="50"/>
      <c r="J126" s="50"/>
      <c r="K126" s="50"/>
    </row>
    <row r="127" spans="1:11" x14ac:dyDescent="0.35">
      <c r="B127" s="50"/>
      <c r="C127" s="50"/>
      <c r="D127" s="181" t="str">
        <f>IFERROR(IF(MAX(Sec_Materials[Thickness of Layer (mm)])&gt;Max_thickness,"A data entry value is large, ensure it is correct",IF(MIN(Sec_Materials[Thickness of Layer (mm)])&lt;Min_thickness,"An entered data value is small, ensure it is correct","")),"")</f>
        <v>An entered data value is small, ensure it is correct</v>
      </c>
      <c r="E127" s="50"/>
      <c r="F127" s="50"/>
      <c r="G127" s="50"/>
      <c r="H127" s="50"/>
      <c r="I127" s="50"/>
      <c r="J127" s="50"/>
      <c r="K127" s="50"/>
    </row>
    <row r="128" spans="1:11" x14ac:dyDescent="0.35">
      <c r="A128" s="50" t="s">
        <v>178</v>
      </c>
      <c r="B128" s="98" t="str">
        <f>Handle_Scenario3&amp;" - Scenario 3"</f>
        <v xml:space="preserve"> - Scenario 3</v>
      </c>
      <c r="C128" s="50"/>
      <c r="D128" s="50"/>
      <c r="E128" s="50"/>
      <c r="F128" s="50"/>
      <c r="G128" s="50"/>
      <c r="H128" s="50"/>
      <c r="I128" s="50"/>
      <c r="J128" s="50"/>
      <c r="K128" s="50"/>
    </row>
    <row r="129" spans="1:11" ht="29" x14ac:dyDescent="0.35">
      <c r="B129" s="136" t="s">
        <v>161</v>
      </c>
      <c r="C129" s="136" t="s">
        <v>162</v>
      </c>
      <c r="D129" s="136" t="s">
        <v>163</v>
      </c>
      <c r="E129" s="136" t="s">
        <v>164</v>
      </c>
      <c r="F129" s="137" t="s">
        <v>165</v>
      </c>
      <c r="G129" s="136" t="s">
        <v>166</v>
      </c>
      <c r="H129" s="50"/>
      <c r="I129" s="50"/>
      <c r="J129" s="50"/>
      <c r="K129" s="50"/>
    </row>
    <row r="130" spans="1:11" x14ac:dyDescent="0.35">
      <c r="B130" s="95" t="s">
        <v>120</v>
      </c>
      <c r="C130" s="457"/>
      <c r="D130" s="456"/>
      <c r="E130" s="428"/>
      <c r="F130" s="456"/>
      <c r="G130" s="490">
        <f>IF(ISBLANK(Tert_Materials[[#This Row],[Material]]), 0, INDEX(Materials!$2:$2,MATCH(Tert_Materials[[#This Row],[Material]],Materials!$6:$6,0))*(Tert_Materials[[#This Row],[Thickness of Layer (mm)]]/1000)*Project_Area)</f>
        <v>0</v>
      </c>
      <c r="H130" s="50"/>
      <c r="I130" s="50"/>
      <c r="J130" s="50"/>
      <c r="K130" s="50"/>
    </row>
    <row r="131" spans="1:11" x14ac:dyDescent="0.35">
      <c r="B131" s="191" t="s">
        <v>169</v>
      </c>
      <c r="C131" s="457"/>
      <c r="D131" s="456"/>
      <c r="E131" s="428"/>
      <c r="F131" s="456"/>
      <c r="G131" s="490">
        <f>IF(ISBLANK(Tert_Materials[[#This Row],[Material]]), 0, INDEX(Materials!$2:$2,MATCH(Tert_Materials[[#This Row],[Material]],Materials!$6:$6,0))*(Tert_Materials[[#This Row],[Thickness of Layer (mm)]]/1000)*Project_Area)</f>
        <v>0</v>
      </c>
      <c r="H131" s="50"/>
      <c r="I131" s="50"/>
      <c r="J131" s="50"/>
      <c r="K131" s="50"/>
    </row>
    <row r="132" spans="1:11" x14ac:dyDescent="0.35">
      <c r="B132" s="102" t="s">
        <v>170</v>
      </c>
      <c r="C132" s="457"/>
      <c r="D132" s="456"/>
      <c r="E132" s="428"/>
      <c r="F132" s="456"/>
      <c r="G132" s="490">
        <f>IF(ISBLANK(Tert_Materials[[#This Row],[Material]]), 0, INDEX(Materials!$2:$2,MATCH(Tert_Materials[[#This Row],[Material]],Materials!$6:$6,0))*(Tert_Materials[[#This Row],[Thickness of Layer (mm)]]/1000)*Project_Area)</f>
        <v>0</v>
      </c>
      <c r="H132" s="50"/>
      <c r="I132" s="50"/>
      <c r="J132" s="50"/>
      <c r="K132" s="50"/>
    </row>
    <row r="133" spans="1:11" x14ac:dyDescent="0.35">
      <c r="B133" s="191" t="s">
        <v>172</v>
      </c>
      <c r="C133" s="456"/>
      <c r="D133" s="456"/>
      <c r="E133" s="428"/>
      <c r="F133" s="456"/>
      <c r="G133" s="490">
        <f>IF(ISBLANK(Tert_Materials[[#This Row],[Material]]), 0, INDEX(Materials!$2:$2,MATCH(Tert_Materials[[#This Row],[Material]],Materials!$6:$6,0))*(Tert_Materials[[#This Row],[Thickness of Layer (mm)]]/1000)*Project_Area)</f>
        <v>0</v>
      </c>
      <c r="H133" s="50"/>
      <c r="I133" s="50"/>
      <c r="J133" s="50"/>
      <c r="K133" s="50"/>
    </row>
    <row r="134" spans="1:11" x14ac:dyDescent="0.35">
      <c r="B134" s="102" t="s">
        <v>173</v>
      </c>
      <c r="C134" s="457"/>
      <c r="D134" s="456"/>
      <c r="E134" s="428"/>
      <c r="F134" s="456"/>
      <c r="G134" s="490">
        <f>IF(ISBLANK(Tert_Materials[[#This Row],[Material]]), 0, INDEX(Materials!$2:$2,MATCH(Tert_Materials[[#This Row],[Material]],Materials!$6:$6,0))*(Tert_Materials[[#This Row],[Thickness of Layer (mm)]]/1000)*Project_Area)</f>
        <v>0</v>
      </c>
      <c r="H134" s="50"/>
      <c r="I134" s="50"/>
      <c r="J134" s="50"/>
      <c r="K134" s="50"/>
    </row>
    <row r="135" spans="1:11" x14ac:dyDescent="0.35">
      <c r="B135" s="102" t="s">
        <v>174</v>
      </c>
      <c r="C135" s="457"/>
      <c r="D135" s="456"/>
      <c r="E135" s="428"/>
      <c r="F135" s="456"/>
      <c r="G135" s="490">
        <f>IF(ISBLANK(Tert_Materials[[#This Row],[Material]]), 0, INDEX(Materials!$2:$2,MATCH(Tert_Materials[[#This Row],[Material]],Materials!$6:$6,0))*(Tert_Materials[[#This Row],[Thickness of Layer (mm)]]/1000)*Project_Area)</f>
        <v>0</v>
      </c>
      <c r="H135" s="50"/>
      <c r="I135" s="50"/>
      <c r="J135" s="50"/>
      <c r="K135" s="127"/>
    </row>
    <row r="136" spans="1:11" x14ac:dyDescent="0.35">
      <c r="B136" s="96" t="s">
        <v>175</v>
      </c>
      <c r="C136" s="457"/>
      <c r="D136" s="456"/>
      <c r="E136" s="428"/>
      <c r="F136" s="456"/>
      <c r="G136" s="490">
        <f>IF(ISBLANK(Tert_Materials[[#This Row],[Material]]), 0, INDEX(Materials!$2:$2,MATCH(Tert_Materials[[#This Row],[Material]],Materials!$6:$6,0))*(Tert_Materials[[#This Row],[Thickness of Layer (mm)]]/1000)*Project_Area)</f>
        <v>0</v>
      </c>
      <c r="H136" s="108" t="s">
        <v>176</v>
      </c>
      <c r="I136" s="50"/>
      <c r="J136" s="50"/>
      <c r="K136" s="50"/>
    </row>
    <row r="137" spans="1:11" x14ac:dyDescent="0.35">
      <c r="B137" s="50"/>
      <c r="C137" s="50"/>
      <c r="D137" s="181" t="str">
        <f>IFERROR(IF(MAX(Tert_Materials[Thickness of Layer (mm)])&gt;Max_thickness,"A data entry value is large, ensure it is correct",IF(MIN(Tert_Materials[Thickness of Layer (mm)])&lt;Min_thickness,"An entered data value is small, ensure it is correct","")),"")</f>
        <v>An entered data value is small, ensure it is correct</v>
      </c>
      <c r="E137" s="50"/>
      <c r="F137" s="50"/>
      <c r="G137" s="50"/>
      <c r="H137" s="50"/>
      <c r="I137" s="50"/>
      <c r="J137" s="50"/>
      <c r="K137" s="50"/>
    </row>
    <row r="138" spans="1:11" ht="21" x14ac:dyDescent="0.5">
      <c r="A138" s="50">
        <v>3</v>
      </c>
      <c r="B138" s="134" t="s">
        <v>179</v>
      </c>
      <c r="C138" s="135"/>
      <c r="D138" s="135"/>
      <c r="E138" s="135"/>
      <c r="F138" s="135"/>
      <c r="G138" s="135"/>
      <c r="H138" s="135"/>
      <c r="I138" s="135"/>
      <c r="J138" s="135"/>
      <c r="K138" s="135"/>
    </row>
    <row r="139" spans="1:11" x14ac:dyDescent="0.35">
      <c r="B139" s="50"/>
      <c r="C139" s="50"/>
      <c r="D139" s="50"/>
      <c r="E139" s="50"/>
      <c r="F139" s="50"/>
      <c r="G139" s="50"/>
      <c r="H139" s="50"/>
      <c r="I139" s="50"/>
      <c r="J139" s="50"/>
      <c r="K139" s="50"/>
    </row>
    <row r="140" spans="1:11" x14ac:dyDescent="0.35">
      <c r="B140" s="163" t="s">
        <v>180</v>
      </c>
      <c r="C140" s="50"/>
      <c r="D140" s="99"/>
      <c r="E140" s="50"/>
      <c r="F140" s="50"/>
      <c r="G140" s="50"/>
      <c r="H140" s="50"/>
      <c r="I140" s="50"/>
      <c r="J140" s="50"/>
      <c r="K140" s="50"/>
    </row>
    <row r="141" spans="1:11" x14ac:dyDescent="0.35">
      <c r="B141" s="117"/>
      <c r="C141" s="50"/>
      <c r="D141" s="50"/>
      <c r="E141" s="50"/>
      <c r="F141" s="50"/>
      <c r="G141" s="50"/>
      <c r="H141" s="50"/>
      <c r="I141" s="50"/>
      <c r="J141" s="50"/>
      <c r="K141" s="50"/>
    </row>
    <row r="142" spans="1:11" ht="21" x14ac:dyDescent="0.5">
      <c r="A142" s="50">
        <v>4</v>
      </c>
      <c r="B142" s="134" t="s">
        <v>181</v>
      </c>
      <c r="C142" s="135"/>
      <c r="D142" s="135"/>
      <c r="E142" s="135"/>
      <c r="F142" s="135"/>
      <c r="G142" s="135"/>
      <c r="H142" s="135"/>
      <c r="I142" s="135"/>
      <c r="J142" s="135"/>
      <c r="K142" s="135"/>
    </row>
    <row r="143" spans="1:11" x14ac:dyDescent="0.35">
      <c r="B143" s="117"/>
      <c r="C143" s="50"/>
      <c r="D143" s="50"/>
      <c r="E143" s="50"/>
      <c r="F143" s="50"/>
      <c r="G143" s="50"/>
      <c r="H143" s="130"/>
      <c r="I143" s="50"/>
      <c r="J143" s="50"/>
      <c r="K143" s="50"/>
    </row>
    <row r="144" spans="1:11" x14ac:dyDescent="0.35">
      <c r="A144" s="50">
        <v>4.0999999999999996</v>
      </c>
      <c r="B144" s="142" t="s">
        <v>182</v>
      </c>
      <c r="C144" s="171" t="str">
        <f>Handle_Scenario1&amp;" - Scenario 1"</f>
        <v xml:space="preserve"> - Scenario 1</v>
      </c>
      <c r="D144" s="171" t="str">
        <f>Handle_Scenario2&amp;" - Scenario 2"</f>
        <v xml:space="preserve"> - Scenario 2</v>
      </c>
      <c r="E144" s="172" t="str">
        <f>Handle_Scenario3&amp;" - Scenario 3"</f>
        <v xml:space="preserve"> - Scenario 3</v>
      </c>
      <c r="F144" s="50"/>
      <c r="G144" s="50"/>
      <c r="H144" s="130"/>
      <c r="I144" s="50"/>
      <c r="J144" s="50"/>
      <c r="K144" s="50"/>
    </row>
    <row r="145" spans="1:11" x14ac:dyDescent="0.35">
      <c r="B145" s="116" t="s">
        <v>183</v>
      </c>
      <c r="C145" s="600">
        <v>2.4</v>
      </c>
      <c r="D145" s="600">
        <v>2.1</v>
      </c>
      <c r="E145" s="601">
        <v>2.1</v>
      </c>
      <c r="F145" s="181" t="str" cm="1">
        <f t="array" ref="F145">IF(SUM(--(C145:E145&gt;5)+(C145:E145&lt;2))&gt;0,"Value is outside of the expected bounds, ensure value is correct","")</f>
        <v/>
      </c>
      <c r="G145" s="50"/>
      <c r="H145" s="125"/>
      <c r="I145" s="50"/>
      <c r="J145" s="50"/>
      <c r="K145" s="50"/>
    </row>
    <row r="146" spans="1:11" x14ac:dyDescent="0.35">
      <c r="B146" s="50"/>
      <c r="C146" s="50" t="str">
        <f>IF(OR(Diesel_RawM_Prim&gt;MAX($J$105:$J$111),Diesel_RawM_Prim&lt;MIN($J$105:$J$111)),"Entered data is outside of the expected range, ensure it is correct","")</f>
        <v/>
      </c>
      <c r="D146" s="50" t="str">
        <f>IF(OR(Diesel_RawM_Prim&gt;MAX($J$105:$J$111),Diesel_RawM_Prim&lt;MIN($J$105:$J$111)),"Entered data is outside of the expected range, ensure it is correct","")</f>
        <v/>
      </c>
      <c r="E146" s="50" t="str">
        <f>IF(OR(Diesel_RawM_Prim&gt;MAX($J$105:$J$111),Diesel_RawM_Prim&lt;MIN($J$105:$J$111)),"Entered data is outside of the expected range, ensure it is correct","")</f>
        <v/>
      </c>
      <c r="F146" s="50"/>
      <c r="G146" s="50"/>
      <c r="H146" s="125"/>
      <c r="I146" s="50"/>
      <c r="J146" s="50"/>
      <c r="K146" s="50"/>
    </row>
    <row r="147" spans="1:11" x14ac:dyDescent="0.35">
      <c r="B147" s="125"/>
      <c r="C147" s="50"/>
      <c r="D147" s="50"/>
      <c r="E147" s="50"/>
      <c r="F147" s="50"/>
      <c r="G147" s="50"/>
      <c r="H147" s="125"/>
      <c r="I147" s="50"/>
      <c r="J147" s="50"/>
      <c r="K147" s="50"/>
    </row>
    <row r="148" spans="1:11" ht="21" x14ac:dyDescent="0.5">
      <c r="A148" s="50">
        <v>5</v>
      </c>
      <c r="B148" s="134" t="s">
        <v>184</v>
      </c>
      <c r="C148" s="135"/>
      <c r="D148" s="135"/>
      <c r="E148" s="135"/>
      <c r="F148" s="135"/>
      <c r="G148" s="135"/>
      <c r="H148" s="135"/>
      <c r="I148" s="135"/>
      <c r="J148" s="135"/>
      <c r="K148" s="135"/>
    </row>
    <row r="149" spans="1:11" x14ac:dyDescent="0.35">
      <c r="B149" s="50"/>
      <c r="C149" s="50"/>
      <c r="D149" s="50"/>
      <c r="E149" s="50"/>
      <c r="F149" s="50"/>
      <c r="G149" s="50"/>
      <c r="H149" s="50"/>
      <c r="I149" s="50"/>
      <c r="J149" s="50"/>
      <c r="K149" s="50"/>
    </row>
    <row r="150" spans="1:11" x14ac:dyDescent="0.35">
      <c r="B150" s="22" t="s">
        <v>185</v>
      </c>
      <c r="C150" s="50"/>
      <c r="D150" s="50"/>
      <c r="E150" s="50"/>
      <c r="F150" s="50"/>
      <c r="G150" s="50"/>
      <c r="H150" s="50"/>
      <c r="I150" s="50"/>
      <c r="J150" s="50"/>
      <c r="K150" s="50"/>
    </row>
    <row r="151" spans="1:11" x14ac:dyDescent="0.35">
      <c r="A151" s="50">
        <v>5.0999999999999996</v>
      </c>
      <c r="B151" s="142" t="s">
        <v>186</v>
      </c>
      <c r="C151" s="171" t="str">
        <f>Handle_Scenario1&amp;" - Scenario 1"</f>
        <v xml:space="preserve"> - Scenario 1</v>
      </c>
      <c r="D151" s="171" t="str">
        <f>Handle_Scenario2&amp;" - Scenario 2"</f>
        <v xml:space="preserve"> - Scenario 2</v>
      </c>
      <c r="E151" s="172" t="str">
        <f>Handle_Scenario3&amp;" - Scenario 3"</f>
        <v xml:space="preserve"> - Scenario 3</v>
      </c>
      <c r="F151" s="50"/>
      <c r="G151" s="50"/>
      <c r="H151" s="50"/>
      <c r="I151" s="50"/>
      <c r="J151" s="50"/>
      <c r="K151" s="50"/>
    </row>
    <row r="152" spans="1:11" x14ac:dyDescent="0.35">
      <c r="B152" s="104" t="s">
        <v>187</v>
      </c>
      <c r="C152" s="617">
        <v>40114</v>
      </c>
      <c r="D152" s="617">
        <v>40114</v>
      </c>
      <c r="E152" s="618">
        <v>40114</v>
      </c>
      <c r="F152" s="181" t="str" cm="1">
        <f t="array" ref="F152">IF(SUM(--(C152:E152&gt;45000)+(C152:E152&lt;20000))&gt;0,"Value is outside of the expected bounds, ensure value is correct","")</f>
        <v/>
      </c>
      <c r="G152" s="50"/>
      <c r="H152" s="50"/>
      <c r="I152" s="50"/>
      <c r="J152" s="50"/>
      <c r="K152" s="50"/>
    </row>
    <row r="153" spans="1:11" x14ac:dyDescent="0.35">
      <c r="B153" s="102" t="s">
        <v>188</v>
      </c>
      <c r="C153" s="619">
        <v>0.28000000000000003</v>
      </c>
      <c r="D153" s="619">
        <v>0.28000000000000003</v>
      </c>
      <c r="E153" s="620">
        <v>0.2</v>
      </c>
      <c r="F153" s="181" t="str" cm="1">
        <f t="array" ref="F153">IF(SUM(--(C153:E153&gt;0.3)+(C153:E153&lt;0.15))&gt;0,"Value is outside of the expected bounds, ensure value is correct","")</f>
        <v/>
      </c>
      <c r="G153" s="50"/>
      <c r="H153" s="50"/>
      <c r="I153" s="50"/>
      <c r="J153" s="50"/>
      <c r="K153" s="50"/>
    </row>
    <row r="154" spans="1:11" x14ac:dyDescent="0.35">
      <c r="B154" s="96" t="s">
        <v>189</v>
      </c>
      <c r="C154" s="621">
        <v>35</v>
      </c>
      <c r="D154" s="621">
        <v>35</v>
      </c>
      <c r="E154" s="622">
        <v>35</v>
      </c>
      <c r="F154" s="181" t="str" cm="1">
        <f t="array" ref="F154">IF(SUM(--(C154:E154&gt;40)+(C154:E154&lt;15))&gt;0,"Value is outside of the expected bounds, ensure value is correct","")</f>
        <v/>
      </c>
      <c r="G154" s="50"/>
      <c r="H154" s="50"/>
      <c r="I154" s="50"/>
      <c r="J154" s="50"/>
      <c r="K154" s="50"/>
    </row>
    <row r="155" spans="1:11" x14ac:dyDescent="0.35">
      <c r="B155" s="50"/>
      <c r="C155" s="50"/>
      <c r="D155" s="50"/>
      <c r="E155" s="50"/>
      <c r="F155" s="50"/>
      <c r="G155" s="50"/>
      <c r="H155" s="50"/>
      <c r="I155" s="50"/>
      <c r="J155" s="50"/>
      <c r="K155" s="50"/>
    </row>
    <row r="156" spans="1:11" x14ac:dyDescent="0.35">
      <c r="B156" s="99"/>
      <c r="C156" s="50"/>
      <c r="D156" s="50"/>
      <c r="E156" s="50"/>
      <c r="F156" s="50"/>
      <c r="G156" s="50"/>
      <c r="H156" s="50"/>
      <c r="I156" s="50"/>
      <c r="J156" s="50"/>
      <c r="K156" s="50"/>
    </row>
    <row r="157" spans="1:11" ht="21" x14ac:dyDescent="0.5">
      <c r="A157" s="50">
        <v>6</v>
      </c>
      <c r="B157" s="134" t="s">
        <v>190</v>
      </c>
      <c r="C157" s="135"/>
      <c r="D157" s="135"/>
      <c r="E157" s="135"/>
      <c r="F157" s="135"/>
      <c r="G157" s="135"/>
      <c r="H157" s="135"/>
      <c r="I157" s="135"/>
      <c r="J157" s="135"/>
      <c r="K157" s="135"/>
    </row>
    <row r="158" spans="1:11" x14ac:dyDescent="0.35">
      <c r="B158" s="50"/>
      <c r="C158" s="50"/>
      <c r="D158" s="50"/>
      <c r="E158" s="50"/>
      <c r="F158" s="50"/>
      <c r="G158" s="50"/>
      <c r="H158" s="50"/>
      <c r="I158" s="50"/>
      <c r="J158" s="50"/>
      <c r="K158" s="50"/>
    </row>
    <row r="159" spans="1:11" x14ac:dyDescent="0.35">
      <c r="A159" s="50">
        <v>6.1</v>
      </c>
      <c r="B159" s="657" t="s">
        <v>156</v>
      </c>
      <c r="C159" s="658"/>
      <c r="D159" s="658"/>
      <c r="E159" s="658"/>
      <c r="F159" s="658"/>
      <c r="G159" s="659"/>
      <c r="H159" s="50"/>
      <c r="I159" s="50"/>
      <c r="J159" s="50"/>
      <c r="K159" s="50"/>
    </row>
    <row r="160" spans="1:11" x14ac:dyDescent="0.35">
      <c r="B160" s="594"/>
      <c r="C160" s="594"/>
      <c r="D160" s="594"/>
      <c r="E160" s="594"/>
      <c r="F160" s="594"/>
      <c r="G160" s="594"/>
      <c r="H160" s="50"/>
      <c r="I160" s="50"/>
      <c r="J160" s="50"/>
      <c r="K160" s="50"/>
    </row>
    <row r="161" spans="1:11" x14ac:dyDescent="0.35">
      <c r="A161" s="593" t="s">
        <v>191</v>
      </c>
      <c r="B161" s="98" t="str">
        <f>Handle_Scenario1&amp;" - Scenario 1"</f>
        <v xml:space="preserve"> - Scenario 1</v>
      </c>
      <c r="C161" s="50"/>
      <c r="D161" s="50"/>
      <c r="E161" s="50"/>
      <c r="F161" s="50"/>
      <c r="G161" s="50"/>
      <c r="H161" s="50"/>
      <c r="I161" s="50"/>
      <c r="J161" s="50"/>
      <c r="K161" s="50"/>
    </row>
    <row r="162" spans="1:11" x14ac:dyDescent="0.35">
      <c r="A162" s="593"/>
      <c r="B162" s="195" t="s">
        <v>161</v>
      </c>
      <c r="C162" s="173" t="s">
        <v>192</v>
      </c>
      <c r="D162" s="173" t="e">
        <f>IF(Prim_Lays&gt;1,"Secondary Replacement Cycle","Not required")</f>
        <v>#DIV/0!</v>
      </c>
      <c r="E162" s="174" t="e">
        <f>IF(Prim_Lays&gt;2,"Tertiary Replacement Cycle","Not required")</f>
        <v>#DIV/0!</v>
      </c>
      <c r="F162" s="108" t="e">
        <f>IF(Prim_Lays&gt;3,"Layers removed in additional removal cycles are assumed to be the same at the tertiary replacement","")</f>
        <v>#DIV/0!</v>
      </c>
      <c r="G162" s="50"/>
      <c r="H162" s="50"/>
      <c r="I162" s="50"/>
      <c r="J162" s="50"/>
      <c r="K162" s="50"/>
    </row>
    <row r="163" spans="1:11" x14ac:dyDescent="0.35">
      <c r="A163" s="593"/>
      <c r="B163" s="104" t="str">
        <f t="shared" ref="B163:B169" si="0">B110</f>
        <v>Wearing Course</v>
      </c>
      <c r="C163" s="603" t="s">
        <v>193</v>
      </c>
      <c r="D163" s="433" t="s">
        <v>193</v>
      </c>
      <c r="E163" s="434" t="s">
        <v>193</v>
      </c>
      <c r="F163" s="50"/>
      <c r="G163" s="50"/>
      <c r="H163" s="180"/>
      <c r="I163" s="50"/>
      <c r="J163" s="50"/>
      <c r="K163" s="50"/>
    </row>
    <row r="164" spans="1:11" x14ac:dyDescent="0.35">
      <c r="A164" s="593"/>
      <c r="B164" s="106" t="str">
        <f t="shared" si="0"/>
        <v>Wearing Course Additive</v>
      </c>
      <c r="C164" s="604" t="s">
        <v>193</v>
      </c>
      <c r="D164" s="602" t="s">
        <v>193</v>
      </c>
      <c r="E164" s="435" t="s">
        <v>193</v>
      </c>
      <c r="F164" s="50"/>
      <c r="G164" s="50"/>
      <c r="H164" s="50"/>
      <c r="I164" s="50"/>
      <c r="J164" s="50"/>
      <c r="K164" s="50"/>
    </row>
    <row r="165" spans="1:11" x14ac:dyDescent="0.35">
      <c r="A165" s="593"/>
      <c r="B165" s="105" t="str">
        <f t="shared" si="0"/>
        <v>Base Course</v>
      </c>
      <c r="C165" s="604" t="s">
        <v>193</v>
      </c>
      <c r="D165" s="602" t="s">
        <v>193</v>
      </c>
      <c r="E165" s="435" t="s">
        <v>193</v>
      </c>
      <c r="F165" s="50"/>
      <c r="G165" s="50"/>
      <c r="H165" s="50"/>
      <c r="I165" s="50"/>
      <c r="J165" s="50"/>
      <c r="K165" s="50"/>
    </row>
    <row r="166" spans="1:11" x14ac:dyDescent="0.35">
      <c r="A166" s="593"/>
      <c r="B166" s="106" t="str">
        <f t="shared" si="0"/>
        <v>Base Course Additive</v>
      </c>
      <c r="C166" s="604" t="s">
        <v>193</v>
      </c>
      <c r="D166" s="602" t="s">
        <v>193</v>
      </c>
      <c r="E166" s="435" t="s">
        <v>193</v>
      </c>
      <c r="F166" s="50"/>
      <c r="G166" s="50"/>
      <c r="H166" s="50"/>
      <c r="I166" s="50"/>
      <c r="J166" s="50"/>
      <c r="K166" s="50"/>
    </row>
    <row r="167" spans="1:11" x14ac:dyDescent="0.35">
      <c r="A167" s="593"/>
      <c r="B167" s="105" t="str">
        <f t="shared" si="0"/>
        <v>Upper Sub Base</v>
      </c>
      <c r="C167" s="604" t="s">
        <v>193</v>
      </c>
      <c r="D167" s="602" t="s">
        <v>193</v>
      </c>
      <c r="E167" s="435" t="s">
        <v>193</v>
      </c>
      <c r="F167" s="50"/>
      <c r="G167" s="50"/>
      <c r="H167" s="50"/>
      <c r="I167" s="50"/>
      <c r="J167" s="50"/>
      <c r="K167" s="50"/>
    </row>
    <row r="168" spans="1:11" x14ac:dyDescent="0.35">
      <c r="A168" s="593"/>
      <c r="B168" s="114" t="str">
        <f t="shared" si="0"/>
        <v>Subgrade Improvement</v>
      </c>
      <c r="C168" s="604" t="s">
        <v>193</v>
      </c>
      <c r="D168" s="602" t="s">
        <v>193</v>
      </c>
      <c r="E168" s="435" t="s">
        <v>193</v>
      </c>
      <c r="F168" s="50"/>
      <c r="G168" s="50"/>
      <c r="H168" s="50"/>
      <c r="I168" s="50"/>
      <c r="J168" s="50"/>
      <c r="K168" s="50"/>
    </row>
    <row r="169" spans="1:11" x14ac:dyDescent="0.35">
      <c r="A169" s="593"/>
      <c r="B169" s="225" t="str">
        <f t="shared" si="0"/>
        <v>Subgrade</v>
      </c>
      <c r="C169" s="605" t="s">
        <v>193</v>
      </c>
      <c r="D169" s="436" t="s">
        <v>193</v>
      </c>
      <c r="E169" s="437" t="s">
        <v>193</v>
      </c>
      <c r="F169" s="50"/>
      <c r="G169" s="50"/>
      <c r="H169" s="50"/>
      <c r="I169" s="50"/>
      <c r="J169" s="50"/>
      <c r="K169" s="50"/>
    </row>
    <row r="170" spans="1:11" x14ac:dyDescent="0.35">
      <c r="A170" s="593"/>
      <c r="B170" s="50"/>
      <c r="C170" s="50"/>
      <c r="D170" s="50"/>
      <c r="E170" s="50"/>
      <c r="F170" s="50"/>
      <c r="G170" s="50"/>
      <c r="H170" s="50"/>
      <c r="I170" s="50"/>
      <c r="J170" s="50"/>
      <c r="K170" s="50"/>
    </row>
    <row r="171" spans="1:11" x14ac:dyDescent="0.35">
      <c r="A171" s="593" t="s">
        <v>194</v>
      </c>
      <c r="B171" s="98" t="str">
        <f>Handle_Scenario2&amp;" - Scenario 2"</f>
        <v xml:space="preserve"> - Scenario 2</v>
      </c>
      <c r="C171" s="50"/>
      <c r="D171" s="50"/>
      <c r="E171" s="50"/>
      <c r="F171" s="50"/>
      <c r="G171" s="50"/>
      <c r="H171" s="50"/>
      <c r="I171" s="50"/>
      <c r="J171" s="50"/>
      <c r="K171" s="50"/>
    </row>
    <row r="172" spans="1:11" x14ac:dyDescent="0.35">
      <c r="A172" s="593"/>
      <c r="B172" s="195" t="s">
        <v>161</v>
      </c>
      <c r="C172" s="173" t="s">
        <v>192</v>
      </c>
      <c r="D172" s="173" t="e">
        <f>IF(Sec_Lays&gt;1,"Secondary Replacement Cycle","Not required")</f>
        <v>#DIV/0!</v>
      </c>
      <c r="E172" s="174" t="e">
        <f>IF(Sec_Lays&gt;2,"Tertiary Replacement Cycle","Not required")</f>
        <v>#DIV/0!</v>
      </c>
      <c r="F172" s="108"/>
      <c r="G172" s="50"/>
      <c r="H172" s="50"/>
      <c r="I172" s="50"/>
      <c r="J172" s="50"/>
      <c r="K172" s="50"/>
    </row>
    <row r="173" spans="1:11" x14ac:dyDescent="0.35">
      <c r="A173" s="593"/>
      <c r="B173" s="104" t="str">
        <f t="shared" ref="B173:B179" si="1">B120</f>
        <v>Wearing Course</v>
      </c>
      <c r="C173" s="603" t="s">
        <v>193</v>
      </c>
      <c r="D173" s="433" t="s">
        <v>193</v>
      </c>
      <c r="E173" s="434" t="s">
        <v>193</v>
      </c>
      <c r="F173" s="50"/>
      <c r="G173" s="50"/>
      <c r="H173" s="50"/>
      <c r="I173" s="50"/>
      <c r="J173" s="50"/>
      <c r="K173" s="50"/>
    </row>
    <row r="174" spans="1:11" x14ac:dyDescent="0.35">
      <c r="A174" s="593"/>
      <c r="B174" s="105" t="str">
        <f t="shared" si="1"/>
        <v>Wearing Course Additive</v>
      </c>
      <c r="C174" s="604" t="s">
        <v>193</v>
      </c>
      <c r="D174" s="602" t="s">
        <v>193</v>
      </c>
      <c r="E174" s="435" t="s">
        <v>193</v>
      </c>
      <c r="F174" s="50"/>
      <c r="G174" s="50"/>
      <c r="H174" s="50"/>
      <c r="I174" s="50"/>
      <c r="J174" s="50"/>
      <c r="K174" s="50"/>
    </row>
    <row r="175" spans="1:11" x14ac:dyDescent="0.35">
      <c r="A175" s="593"/>
      <c r="B175" s="105" t="str">
        <f t="shared" si="1"/>
        <v>Base Course</v>
      </c>
      <c r="C175" s="604" t="s">
        <v>193</v>
      </c>
      <c r="D175" s="602" t="s">
        <v>193</v>
      </c>
      <c r="E175" s="435" t="s">
        <v>193</v>
      </c>
      <c r="F175" s="50"/>
      <c r="G175" s="50"/>
      <c r="H175" s="50"/>
      <c r="I175" s="50"/>
      <c r="J175" s="50"/>
      <c r="K175" s="50"/>
    </row>
    <row r="176" spans="1:11" x14ac:dyDescent="0.35">
      <c r="A176" s="593"/>
      <c r="B176" s="105" t="str">
        <f t="shared" si="1"/>
        <v>Base Course Additive</v>
      </c>
      <c r="C176" s="604" t="s">
        <v>193</v>
      </c>
      <c r="D176" s="602" t="s">
        <v>193</v>
      </c>
      <c r="E176" s="435" t="s">
        <v>193</v>
      </c>
      <c r="F176" s="50"/>
      <c r="G176" s="50"/>
      <c r="H176" s="50"/>
      <c r="I176" s="50"/>
      <c r="J176" s="50"/>
      <c r="K176" s="50"/>
    </row>
    <row r="177" spans="1:11" x14ac:dyDescent="0.35">
      <c r="A177" s="593"/>
      <c r="B177" s="105" t="str">
        <f t="shared" si="1"/>
        <v>Upper Sub Base</v>
      </c>
      <c r="C177" s="604" t="s">
        <v>193</v>
      </c>
      <c r="D177" s="602" t="s">
        <v>193</v>
      </c>
      <c r="E177" s="435" t="s">
        <v>193</v>
      </c>
      <c r="F177" s="50"/>
      <c r="G177" s="50"/>
      <c r="H177" s="50"/>
      <c r="I177" s="50"/>
      <c r="J177" s="50"/>
      <c r="K177" s="50"/>
    </row>
    <row r="178" spans="1:11" x14ac:dyDescent="0.35">
      <c r="A178" s="593"/>
      <c r="B178" s="114" t="str">
        <f t="shared" si="1"/>
        <v>Subgrade Improvement</v>
      </c>
      <c r="C178" s="604" t="s">
        <v>193</v>
      </c>
      <c r="D178" s="602" t="s">
        <v>193</v>
      </c>
      <c r="E178" s="435" t="s">
        <v>193</v>
      </c>
      <c r="F178" s="50"/>
      <c r="G178" s="50"/>
      <c r="H178" s="50"/>
      <c r="I178" s="50"/>
      <c r="J178" s="50"/>
      <c r="K178" s="50"/>
    </row>
    <row r="179" spans="1:11" x14ac:dyDescent="0.35">
      <c r="A179" s="593"/>
      <c r="B179" s="225" t="str">
        <f t="shared" si="1"/>
        <v>Subgrade</v>
      </c>
      <c r="C179" s="605" t="s">
        <v>193</v>
      </c>
      <c r="D179" s="436" t="s">
        <v>193</v>
      </c>
      <c r="E179" s="437" t="s">
        <v>193</v>
      </c>
      <c r="F179" s="50"/>
      <c r="G179" s="50"/>
      <c r="H179" s="50"/>
      <c r="I179" s="50"/>
      <c r="J179" s="50"/>
      <c r="K179" s="50"/>
    </row>
    <row r="180" spans="1:11" x14ac:dyDescent="0.35">
      <c r="A180" s="593"/>
      <c r="B180" s="50"/>
      <c r="C180" s="50"/>
      <c r="D180" s="50"/>
      <c r="E180" s="50"/>
      <c r="F180" s="50"/>
      <c r="G180" s="50"/>
      <c r="H180" s="50"/>
      <c r="I180" s="50"/>
      <c r="J180" s="50"/>
      <c r="K180" s="50"/>
    </row>
    <row r="181" spans="1:11" x14ac:dyDescent="0.35">
      <c r="A181" s="593" t="s">
        <v>195</v>
      </c>
      <c r="B181" s="98" t="str">
        <f>Handle_Scenario3&amp;" - Scenario 3"</f>
        <v xml:space="preserve"> - Scenario 3</v>
      </c>
      <c r="C181" s="50"/>
      <c r="D181" s="50"/>
      <c r="E181" s="50"/>
      <c r="F181" s="50"/>
      <c r="G181" s="50"/>
      <c r="H181" s="50"/>
      <c r="I181" s="50"/>
      <c r="J181" s="50"/>
      <c r="K181" s="50"/>
    </row>
    <row r="182" spans="1:11" x14ac:dyDescent="0.35">
      <c r="A182" s="593"/>
      <c r="B182" s="195" t="s">
        <v>161</v>
      </c>
      <c r="C182" s="173" t="s">
        <v>192</v>
      </c>
      <c r="D182" s="173" t="e">
        <f>IF(Tert_Lays&gt;1,"Secondary Replacement Cycle","Not required")</f>
        <v>#DIV/0!</v>
      </c>
      <c r="E182" s="174" t="e">
        <f>IF(Tert_Lays&gt;2,"Tertiary Replacement Cycle","Not required")</f>
        <v>#DIV/0!</v>
      </c>
      <c r="F182" s="108"/>
      <c r="G182" s="50"/>
      <c r="H182" s="50"/>
      <c r="I182" s="50"/>
      <c r="J182" s="50"/>
      <c r="K182" s="50"/>
    </row>
    <row r="183" spans="1:11" x14ac:dyDescent="0.35">
      <c r="A183" s="593"/>
      <c r="B183" s="104" t="str">
        <f t="shared" ref="B183:B189" si="2">B130</f>
        <v>Wearing Course</v>
      </c>
      <c r="C183" s="603" t="s">
        <v>193</v>
      </c>
      <c r="D183" s="433" t="s">
        <v>193</v>
      </c>
      <c r="E183" s="434" t="s">
        <v>193</v>
      </c>
      <c r="F183" s="50"/>
      <c r="G183" s="50"/>
      <c r="H183" s="50"/>
      <c r="I183" s="50"/>
      <c r="J183" s="50"/>
      <c r="K183" s="50"/>
    </row>
    <row r="184" spans="1:11" x14ac:dyDescent="0.35">
      <c r="A184" s="593"/>
      <c r="B184" s="106" t="str">
        <f t="shared" si="2"/>
        <v>Wearing Course Additive</v>
      </c>
      <c r="C184" s="604" t="s">
        <v>193</v>
      </c>
      <c r="D184" s="602" t="s">
        <v>193</v>
      </c>
      <c r="E184" s="435" t="s">
        <v>193</v>
      </c>
      <c r="F184" s="50"/>
      <c r="G184" s="50"/>
      <c r="H184" s="50"/>
      <c r="I184" s="50"/>
      <c r="J184" s="50"/>
      <c r="K184" s="50"/>
    </row>
    <row r="185" spans="1:11" x14ac:dyDescent="0.35">
      <c r="A185" s="593"/>
      <c r="B185" s="105" t="str">
        <f t="shared" si="2"/>
        <v>Base Course</v>
      </c>
      <c r="C185" s="604" t="s">
        <v>193</v>
      </c>
      <c r="D185" s="602" t="s">
        <v>193</v>
      </c>
      <c r="E185" s="435" t="s">
        <v>193</v>
      </c>
      <c r="F185" s="50"/>
      <c r="G185" s="50"/>
      <c r="H185" s="50"/>
      <c r="I185" s="50"/>
      <c r="J185" s="50"/>
      <c r="K185" s="50"/>
    </row>
    <row r="186" spans="1:11" x14ac:dyDescent="0.35">
      <c r="A186" s="593"/>
      <c r="B186" s="106" t="str">
        <f t="shared" si="2"/>
        <v>Base Course Additive</v>
      </c>
      <c r="C186" s="604" t="s">
        <v>193</v>
      </c>
      <c r="D186" s="602" t="s">
        <v>193</v>
      </c>
      <c r="E186" s="435" t="s">
        <v>193</v>
      </c>
      <c r="F186" s="50"/>
      <c r="G186" s="50"/>
      <c r="H186" s="50"/>
      <c r="I186" s="50"/>
      <c r="J186" s="50"/>
      <c r="K186" s="50"/>
    </row>
    <row r="187" spans="1:11" x14ac:dyDescent="0.35">
      <c r="A187" s="593"/>
      <c r="B187" s="105" t="str">
        <f t="shared" si="2"/>
        <v>Upper Sub Base</v>
      </c>
      <c r="C187" s="604" t="s">
        <v>193</v>
      </c>
      <c r="D187" s="602" t="s">
        <v>193</v>
      </c>
      <c r="E187" s="435" t="s">
        <v>193</v>
      </c>
      <c r="F187" s="50"/>
      <c r="G187" s="50"/>
      <c r="H187" s="50"/>
      <c r="I187" s="50"/>
      <c r="J187" s="50"/>
      <c r="K187" s="50"/>
    </row>
    <row r="188" spans="1:11" x14ac:dyDescent="0.35">
      <c r="A188" s="593"/>
      <c r="B188" s="114" t="str">
        <f t="shared" si="2"/>
        <v>Subgrade Improvement</v>
      </c>
      <c r="C188" s="604" t="s">
        <v>193</v>
      </c>
      <c r="D188" s="602" t="s">
        <v>193</v>
      </c>
      <c r="E188" s="435" t="s">
        <v>193</v>
      </c>
      <c r="F188" s="50"/>
      <c r="G188" s="50"/>
      <c r="H188" s="50"/>
      <c r="I188" s="50"/>
      <c r="J188" s="50"/>
      <c r="K188" s="50"/>
    </row>
    <row r="189" spans="1:11" x14ac:dyDescent="0.35">
      <c r="A189" s="593"/>
      <c r="B189" s="225" t="str">
        <f t="shared" si="2"/>
        <v>Subgrade</v>
      </c>
      <c r="C189" s="605" t="s">
        <v>193</v>
      </c>
      <c r="D189" s="436" t="s">
        <v>193</v>
      </c>
      <c r="E189" s="437" t="s">
        <v>193</v>
      </c>
      <c r="F189" s="50"/>
      <c r="G189" s="50"/>
      <c r="H189" s="50"/>
      <c r="I189" s="50"/>
      <c r="J189" s="50"/>
      <c r="K189" s="50"/>
    </row>
    <row r="190" spans="1:11" x14ac:dyDescent="0.35">
      <c r="A190" s="593"/>
      <c r="B190" s="50"/>
      <c r="C190" s="50"/>
      <c r="D190" s="50"/>
      <c r="E190" s="50"/>
      <c r="F190" s="50"/>
      <c r="G190" s="50"/>
      <c r="H190" s="50"/>
      <c r="I190" s="50"/>
      <c r="J190" s="50"/>
      <c r="K190" s="50"/>
    </row>
    <row r="191" spans="1:11" x14ac:dyDescent="0.35">
      <c r="A191" s="593"/>
      <c r="B191" s="108"/>
      <c r="C191" s="50"/>
      <c r="D191" s="50"/>
      <c r="E191" s="50"/>
      <c r="F191" s="50"/>
      <c r="G191" s="50"/>
      <c r="H191" s="50"/>
      <c r="I191" s="50"/>
      <c r="J191" s="50"/>
      <c r="K191" s="50"/>
    </row>
    <row r="192" spans="1:11" x14ac:dyDescent="0.35">
      <c r="A192" s="593">
        <v>6.2</v>
      </c>
      <c r="B192" s="146" t="s">
        <v>196</v>
      </c>
      <c r="C192" s="173" t="str">
        <f>Handle_Scenario1&amp;" - Scenario 1"</f>
        <v xml:space="preserve"> - Scenario 1</v>
      </c>
      <c r="D192" s="173" t="str">
        <f>Handle_Scenario2&amp;" - Scenario 2"</f>
        <v xml:space="preserve"> - Scenario 2</v>
      </c>
      <c r="E192" s="174" t="str">
        <f>Handle_Scenario3&amp;" - Scenario 3"</f>
        <v xml:space="preserve"> - Scenario 3</v>
      </c>
      <c r="F192" s="50"/>
      <c r="G192" s="50"/>
      <c r="H192" s="50"/>
      <c r="I192" s="50"/>
      <c r="J192" s="50"/>
      <c r="K192" s="50"/>
    </row>
    <row r="193" spans="1:11" x14ac:dyDescent="0.35">
      <c r="A193" s="593"/>
      <c r="B193" s="95" t="s">
        <v>197</v>
      </c>
      <c r="C193" s="623"/>
      <c r="D193" s="624"/>
      <c r="E193" s="625"/>
      <c r="F193" s="108"/>
      <c r="G193" s="50"/>
      <c r="H193" s="50"/>
      <c r="I193" s="50"/>
      <c r="J193" s="50"/>
      <c r="K193" s="50"/>
    </row>
    <row r="194" spans="1:11" ht="16.5" x14ac:dyDescent="0.35">
      <c r="B194" s="105" t="s">
        <v>198</v>
      </c>
      <c r="C194" s="600">
        <v>1</v>
      </c>
      <c r="D194" s="600">
        <v>1</v>
      </c>
      <c r="E194" s="600">
        <v>1</v>
      </c>
      <c r="F194" s="117" t="s">
        <v>199</v>
      </c>
      <c r="G194" s="50"/>
      <c r="H194" s="50"/>
      <c r="I194" s="50"/>
      <c r="J194" s="50"/>
      <c r="K194" s="50"/>
    </row>
    <row r="195" spans="1:11" ht="29" x14ac:dyDescent="0.35">
      <c r="B195" s="105" t="s">
        <v>200</v>
      </c>
      <c r="C195" s="438">
        <v>0</v>
      </c>
      <c r="D195" s="438">
        <v>0.7</v>
      </c>
      <c r="E195" s="439">
        <v>0.05</v>
      </c>
      <c r="F195" s="124"/>
      <c r="G195" s="50"/>
      <c r="H195" s="50"/>
      <c r="I195" s="50"/>
      <c r="J195" s="50"/>
      <c r="K195" s="50"/>
    </row>
    <row r="196" spans="1:11" x14ac:dyDescent="0.35">
      <c r="B196" s="105" t="s">
        <v>201</v>
      </c>
      <c r="C196" s="438" t="b">
        <v>1</v>
      </c>
      <c r="D196" s="438" t="b">
        <v>1</v>
      </c>
      <c r="E196" s="439" t="b">
        <v>1</v>
      </c>
      <c r="F196" s="117" t="s">
        <v>202</v>
      </c>
      <c r="G196" s="50"/>
      <c r="H196" s="50"/>
      <c r="I196" s="50"/>
      <c r="J196" s="50"/>
      <c r="K196" s="50"/>
    </row>
    <row r="197" spans="1:11" x14ac:dyDescent="0.35">
      <c r="B197" s="105" t="s">
        <v>203</v>
      </c>
      <c r="C197" s="428">
        <v>0</v>
      </c>
      <c r="D197" s="428">
        <v>0</v>
      </c>
      <c r="E197" s="417">
        <v>0</v>
      </c>
      <c r="F197" s="50"/>
      <c r="G197" s="50"/>
      <c r="H197" s="50"/>
      <c r="I197" s="50"/>
      <c r="J197" s="50"/>
      <c r="K197" s="50"/>
    </row>
    <row r="198" spans="1:11" x14ac:dyDescent="0.35">
      <c r="B198" s="114" t="s">
        <v>204</v>
      </c>
      <c r="C198" s="431">
        <v>0</v>
      </c>
      <c r="D198" s="431">
        <v>0</v>
      </c>
      <c r="E198" s="432">
        <v>0</v>
      </c>
      <c r="F198" s="50"/>
      <c r="G198" s="50"/>
      <c r="H198" s="50"/>
      <c r="I198" s="50"/>
      <c r="J198" s="50"/>
      <c r="K198" s="50"/>
    </row>
    <row r="199" spans="1:11" x14ac:dyDescent="0.35">
      <c r="B199" s="50"/>
      <c r="C199" s="50"/>
      <c r="D199" s="50"/>
      <c r="E199" s="50"/>
      <c r="F199" s="50"/>
      <c r="G199" s="50"/>
      <c r="H199" s="50"/>
      <c r="I199" s="50"/>
      <c r="J199" s="50"/>
      <c r="K199" s="50"/>
    </row>
    <row r="200" spans="1:11" ht="15.5" x14ac:dyDescent="0.35">
      <c r="B200" s="148" t="s">
        <v>205</v>
      </c>
      <c r="C200" s="50"/>
      <c r="D200" s="50"/>
      <c r="E200" s="50"/>
      <c r="F200" s="50"/>
      <c r="G200" s="50"/>
      <c r="H200" s="50"/>
      <c r="I200" s="50"/>
      <c r="J200" s="50"/>
      <c r="K200" s="50"/>
    </row>
    <row r="201" spans="1:11" x14ac:dyDescent="0.35">
      <c r="B201" s="50"/>
      <c r="C201" s="50"/>
      <c r="D201" s="50"/>
      <c r="E201" s="50"/>
      <c r="F201" s="50"/>
      <c r="G201" s="50"/>
      <c r="H201" s="50"/>
      <c r="I201" s="50"/>
      <c r="J201" s="50"/>
      <c r="K201" s="50"/>
    </row>
    <row r="202" spans="1:11" hidden="1" x14ac:dyDescent="0.35">
      <c r="B202" s="50"/>
      <c r="C202" s="50"/>
      <c r="D202" s="50"/>
      <c r="E202" s="50"/>
      <c r="F202" s="50"/>
      <c r="G202" s="50"/>
      <c r="H202" s="50"/>
      <c r="I202" s="50"/>
      <c r="J202" s="50"/>
      <c r="K202" s="50"/>
    </row>
    <row r="203" spans="1:11" hidden="1" x14ac:dyDescent="0.35">
      <c r="B203" s="50"/>
      <c r="C203" s="50"/>
      <c r="D203" s="50"/>
      <c r="E203" s="99"/>
      <c r="F203" s="50"/>
      <c r="G203" s="50"/>
      <c r="H203" s="50"/>
      <c r="I203" s="50"/>
      <c r="J203" s="50"/>
      <c r="K203" s="50"/>
    </row>
    <row r="204" spans="1:11" hidden="1" x14ac:dyDescent="0.35">
      <c r="B204" s="50"/>
      <c r="C204" s="50"/>
      <c r="D204" s="50"/>
      <c r="E204" s="50"/>
      <c r="F204" s="50"/>
      <c r="G204" s="50"/>
      <c r="H204" s="50"/>
      <c r="I204" s="50"/>
      <c r="J204" s="50"/>
      <c r="K204" s="50"/>
    </row>
    <row r="205" spans="1:11" hidden="1" x14ac:dyDescent="0.35">
      <c r="B205" s="131"/>
      <c r="C205" s="50"/>
      <c r="D205" s="50"/>
      <c r="E205" s="50"/>
      <c r="F205" s="50"/>
      <c r="G205" s="50"/>
      <c r="H205" s="50"/>
      <c r="I205" s="50"/>
      <c r="J205" s="50"/>
      <c r="K205" s="50"/>
    </row>
    <row r="206" spans="1:11" hidden="1" x14ac:dyDescent="0.35">
      <c r="B206" s="50"/>
      <c r="C206" s="50"/>
      <c r="D206" s="50"/>
      <c r="E206" s="50"/>
      <c r="F206" s="50"/>
      <c r="G206" s="50"/>
      <c r="H206" s="50"/>
      <c r="I206" s="50"/>
      <c r="J206" s="50"/>
      <c r="K206" s="50"/>
    </row>
    <row r="207" spans="1:11" hidden="1" x14ac:dyDescent="0.35">
      <c r="B207" s="50"/>
      <c r="C207" s="50"/>
      <c r="D207" s="50"/>
      <c r="E207" s="50"/>
      <c r="F207" s="50"/>
      <c r="G207" s="50"/>
      <c r="H207" s="50"/>
      <c r="I207" s="50"/>
      <c r="J207" s="50"/>
      <c r="K207" s="50"/>
    </row>
    <row r="208" spans="1:11" hidden="1" x14ac:dyDescent="0.35">
      <c r="B208" s="50"/>
      <c r="C208" s="50"/>
      <c r="D208" s="50"/>
      <c r="E208" s="50"/>
      <c r="F208" s="50"/>
      <c r="G208" s="50"/>
      <c r="H208" s="50"/>
      <c r="I208" s="50"/>
      <c r="J208" s="50"/>
      <c r="K208" s="50"/>
    </row>
    <row r="209" spans="2:11" hidden="1" x14ac:dyDescent="0.35">
      <c r="B209" s="50"/>
      <c r="C209" s="50"/>
      <c r="D209" s="50"/>
      <c r="E209" s="50"/>
      <c r="F209" s="50"/>
      <c r="G209" s="50"/>
      <c r="H209" s="50"/>
      <c r="I209" s="50"/>
      <c r="J209" s="50"/>
      <c r="K209" s="50"/>
    </row>
    <row r="210" spans="2:11" hidden="1" x14ac:dyDescent="0.35">
      <c r="B210" s="50"/>
      <c r="C210" s="50"/>
      <c r="D210" s="50"/>
      <c r="E210" s="50"/>
      <c r="F210" s="50"/>
      <c r="G210" s="50"/>
      <c r="H210" s="50"/>
      <c r="I210" s="50"/>
      <c r="J210" s="50"/>
      <c r="K210" s="50"/>
    </row>
    <row r="211" spans="2:11" x14ac:dyDescent="0.35"/>
    <row r="212" spans="2:11" x14ac:dyDescent="0.35"/>
    <row r="213" spans="2:11" x14ac:dyDescent="0.35"/>
    <row r="214" spans="2:11" x14ac:dyDescent="0.35"/>
    <row r="215" spans="2:11" x14ac:dyDescent="0.35"/>
  </sheetData>
  <dataConsolidate>
    <dataRefs count="1">
      <dataRef name="$B$170,$B$171,$B$172,$B$174,$C$170,$C$171,$C$172,$C$174,$D$170,$D$171,$D$172,$D$174" r:id="rId1"/>
    </dataRefs>
  </dataConsolidate>
  <mergeCells count="5">
    <mergeCell ref="B61:D61"/>
    <mergeCell ref="B51:D51"/>
    <mergeCell ref="B88:D88"/>
    <mergeCell ref="B106:G106"/>
    <mergeCell ref="B159:G159"/>
  </mergeCells>
  <phoneticPr fontId="3" type="noConversion"/>
  <conditionalFormatting sqref="C42 C97 C91:F96">
    <cfRule type="containsBlanks" dxfId="355" priority="334">
      <formula>LEN(TRIM(C42))=0</formula>
    </cfRule>
  </conditionalFormatting>
  <conditionalFormatting sqref="C42">
    <cfRule type="expression" dxfId="354" priority="333">
      <formula>#REF!="Entire Project"</formula>
    </cfRule>
  </conditionalFormatting>
  <conditionalFormatting sqref="C54:C58 C91:F96">
    <cfRule type="expression" dxfId="353" priority="206">
      <formula>#REF!="Entire Project"</formula>
    </cfRule>
  </conditionalFormatting>
  <conditionalFormatting sqref="C97">
    <cfRule type="expression" dxfId="352" priority="331">
      <formula>#REF!="Entire Project"</formula>
    </cfRule>
  </conditionalFormatting>
  <conditionalFormatting sqref="C110">
    <cfRule type="expression" dxfId="351" priority="21">
      <formula>ISBLANK(C110)</formula>
    </cfRule>
  </conditionalFormatting>
  <conditionalFormatting sqref="C120">
    <cfRule type="expression" dxfId="350" priority="19">
      <formula>ISBLANK(C120)</formula>
    </cfRule>
  </conditionalFormatting>
  <conditionalFormatting sqref="C130">
    <cfRule type="expression" dxfId="349" priority="18">
      <formula>ISBLANK(C130)</formula>
    </cfRule>
  </conditionalFormatting>
  <conditionalFormatting sqref="C103:E103">
    <cfRule type="expression" dxfId="348" priority="215">
      <formula>#REF!="Entire Project"</formula>
    </cfRule>
  </conditionalFormatting>
  <conditionalFormatting sqref="C145:E145">
    <cfRule type="expression" dxfId="347" priority="244">
      <formula>#REF!="Entire Project"</formula>
    </cfRule>
    <cfRule type="containsBlanks" dxfId="346" priority="245">
      <formula>LEN(TRIM(C145))=0</formula>
    </cfRule>
  </conditionalFormatting>
  <conditionalFormatting sqref="C152:E154">
    <cfRule type="expression" dxfId="345" priority="213">
      <formula>#REF!="Entire Project"</formula>
    </cfRule>
    <cfRule type="containsBlanks" dxfId="344" priority="214">
      <formula>LEN(TRIM(C152))=0</formula>
    </cfRule>
  </conditionalFormatting>
  <conditionalFormatting sqref="C194:E198">
    <cfRule type="expression" dxfId="343" priority="3">
      <formula>#REF!="Entire Project"</formula>
    </cfRule>
    <cfRule type="containsBlanks" dxfId="342" priority="4">
      <formula>LEN(TRIM(C194))=0</formula>
    </cfRule>
  </conditionalFormatting>
  <conditionalFormatting sqref="C130:F136">
    <cfRule type="containsBlanks" dxfId="341" priority="17">
      <formula>LEN(TRIM(C130))=0</formula>
    </cfRule>
  </conditionalFormatting>
  <conditionalFormatting sqref="D54:D58">
    <cfRule type="expression" dxfId="340" priority="205">
      <formula>#REF!="Entire Project"</formula>
    </cfRule>
  </conditionalFormatting>
  <conditionalFormatting sqref="D162">
    <cfRule type="expression" dxfId="339" priority="153">
      <formula>Prim_Lays&lt;2</formula>
    </cfRule>
  </conditionalFormatting>
  <conditionalFormatting sqref="D172">
    <cfRule type="expression" dxfId="338" priority="152">
      <formula>Sec_Lays&lt;2</formula>
    </cfRule>
  </conditionalFormatting>
  <conditionalFormatting sqref="D182">
    <cfRule type="expression" dxfId="337" priority="151">
      <formula>Tert_Lays&lt;2</formula>
    </cfRule>
  </conditionalFormatting>
  <conditionalFormatting sqref="D64:F65 E68:E69 F68:F72 D70:E72">
    <cfRule type="expression" dxfId="336" priority="197">
      <formula>#REF!="Entire Project"</formula>
    </cfRule>
  </conditionalFormatting>
  <conditionalFormatting sqref="D64:K72 C32">
    <cfRule type="containsBlanks" dxfId="335" priority="332">
      <formula>LEN(TRIM(C32))=0</formula>
    </cfRule>
  </conditionalFormatting>
  <conditionalFormatting sqref="D64:K72">
    <cfRule type="expression" dxfId="334" priority="195">
      <formula>#REF!="Entire Project"</formula>
    </cfRule>
  </conditionalFormatting>
  <conditionalFormatting sqref="E162">
    <cfRule type="expression" dxfId="333" priority="150">
      <formula>Prim_Lays&lt;3</formula>
    </cfRule>
  </conditionalFormatting>
  <conditionalFormatting sqref="E172">
    <cfRule type="expression" dxfId="332" priority="149">
      <formula>Sec_Lays&lt;3</formula>
    </cfRule>
  </conditionalFormatting>
  <conditionalFormatting sqref="E182">
    <cfRule type="expression" dxfId="331" priority="148">
      <formula>Tert_Lays&lt;3</formula>
    </cfRule>
  </conditionalFormatting>
  <dataValidations disablePrompts="1" count="15">
    <dataValidation type="list" allowBlank="1" showInputMessage="1" showErrorMessage="1" sqref="C19" xr:uid="{4793577B-0009-4CA4-A895-C6A1E7E29996}">
      <formula1>"A1,A2"</formula1>
    </dataValidation>
    <dataValidation type="list" allowBlank="1" showInputMessage="1" showErrorMessage="1" sqref="C20" xr:uid="{4C9E4352-4BFB-4C70-B204-5BBA4AE5F35F}">
      <formula1>"Attributional,Consequential"</formula1>
    </dataValidation>
    <dataValidation type="list" allowBlank="1" showInputMessage="1" showErrorMessage="1" sqref="C173:E179 C163:E169 C183:E189" xr:uid="{5487163E-67E8-44F3-A5FA-BDB6F2B4F7B6}">
      <formula1>"Removed,Left Inground"</formula1>
    </dataValidation>
    <dataValidation type="list" allowBlank="1" showInputMessage="1" showErrorMessage="1" sqref="C97" xr:uid="{27204D63-509F-4CE5-81DA-9B38D05B0619}">
      <formula1>"Golden Bay Cement,Holcim Cement"</formula1>
    </dataValidation>
    <dataValidation type="list" allowBlank="1" showInputMessage="1" showErrorMessage="1" sqref="C120 C110 C130" xr:uid="{364B8A35-9801-449B-86AD-E0073E032D2E}">
      <formula1>INDIRECT("WearingCourseList[WearingCourse]")</formula1>
    </dataValidation>
    <dataValidation type="list" allowBlank="1" showInputMessage="1" showErrorMessage="1" sqref="C98" xr:uid="{11126DFE-E95E-4F0A-BE4B-56BD9EE5B8CC}">
      <formula1>"Pacific Steel,Infrabuild"</formula1>
    </dataValidation>
    <dataValidation type="list" allowBlank="1" showInputMessage="1" showErrorMessage="1" sqref="C196:E196" xr:uid="{41678838-7C28-443C-B12D-3E2E0B7C3343}">
      <formula1>"True,False"</formula1>
    </dataValidation>
    <dataValidation type="list" allowBlank="1" showInputMessage="1" showErrorMessage="1" sqref="C99" xr:uid="{BA6E62CB-790D-41B9-AF99-7DD992D25140}">
      <formula1>"Liquid Fuel - Hot,Liquid Fuel - Warm,Gas - Hot,Gas - Warm"</formula1>
    </dataValidation>
    <dataValidation type="list" allowBlank="1" showInputMessage="1" showErrorMessage="1" sqref="C111 C121 C131" xr:uid="{78E05000-5CE7-495F-8A51-5A36935D4EDF}">
      <formula1>INDIRECT("WearingCourseAdditiveList[WearingCourseAdditive]")</formula1>
    </dataValidation>
    <dataValidation type="list" allowBlank="1" showInputMessage="1" showErrorMessage="1" sqref="E110:E116 C193:E193 E130:E136 E120:E126" xr:uid="{E2F4CF55-2E0F-40E4-8B48-E9659259E14B}">
      <formula1>INDIRECT("MaterialDeliveryTruckList[MaterialDeliveryTruck]")</formula1>
    </dataValidation>
    <dataValidation type="list" allowBlank="1" showInputMessage="1" showErrorMessage="1" sqref="C112 C122 C132" xr:uid="{F7684016-64C7-45E6-979D-3EF01B4A6E1E}">
      <formula1>INDIRECT("BaseCourseList[BaseCourse]")</formula1>
    </dataValidation>
    <dataValidation type="list" allowBlank="1" showInputMessage="1" showErrorMessage="1" sqref="C133 C123 C113" xr:uid="{64423E0D-2321-4209-8F66-83256E1B52BA}">
      <formula1>INDIRECT("BaseCourseAdditiveList[BaseCourseAdditive]")</formula1>
    </dataValidation>
    <dataValidation type="list" allowBlank="1" showInputMessage="1" showErrorMessage="1" sqref="C114 C124 C134" xr:uid="{4E61950D-F55C-4645-AB3F-EF09C908BEF8}">
      <formula1>INDIRECT("UpperSubBaseList[UpperSubBase]")</formula1>
    </dataValidation>
    <dataValidation type="list" allowBlank="1" showInputMessage="1" showErrorMessage="1" sqref="C115 C125 C135" xr:uid="{267218D5-783D-4177-BBCA-34B5F8354A3C}">
      <formula1>INDIRECT("SubGradeImprovementList[SubgradeImprovement]")</formula1>
    </dataValidation>
    <dataValidation type="list" allowBlank="1" showInputMessage="1" showErrorMessage="1" sqref="C116 C126 C136" xr:uid="{02A4B868-63BD-4BB0-86B4-CC0DA677FCB2}">
      <formula1>INDIRECT("SubgradeList[Subgrade]")</formula1>
    </dataValidation>
  </dataValidations>
  <pageMargins left="1" right="1" top="1" bottom="1" header="0.5" footer="0.5"/>
  <pageSetup paperSize="8" scale="82" fitToHeight="0" orientation="landscape" r:id="rId2"/>
  <drawing r:id="rId3"/>
  <tableParts count="3">
    <tablePart r:id="rId4"/>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D737-A5C7-440E-A35E-9451F5D12AFE}">
  <sheetPr codeName="Sheet7">
    <tabColor rgb="FF023A5C"/>
  </sheetPr>
  <dimension ref="A1:DB198"/>
  <sheetViews>
    <sheetView zoomScale="70" zoomScaleNormal="70" workbookViewId="0">
      <selection activeCell="I92" sqref="I92"/>
    </sheetView>
  </sheetViews>
  <sheetFormatPr defaultColWidth="8.7265625" defaultRowHeight="14.5" zeroHeight="1" x14ac:dyDescent="0.35"/>
  <cols>
    <col min="1" max="1" width="8.7265625" style="50"/>
    <col min="2" max="2" width="12" hidden="1" customWidth="1"/>
    <col min="3" max="3" width="32.81640625" customWidth="1"/>
    <col min="4" max="4" width="24" customWidth="1"/>
    <col min="5" max="5" width="28.7265625" customWidth="1"/>
    <col min="6" max="6" width="22.81640625" bestFit="1" customWidth="1"/>
    <col min="7" max="7" width="27.54296875" customWidth="1"/>
    <col min="8" max="8" width="18.81640625" customWidth="1"/>
    <col min="9" max="9" width="27.54296875" customWidth="1"/>
    <col min="10" max="10" width="19.453125" customWidth="1"/>
    <col min="11" max="11" width="29.81640625" customWidth="1"/>
    <col min="12" max="12" width="37.26953125" customWidth="1"/>
    <col min="13" max="13" width="21.453125" customWidth="1"/>
    <col min="14" max="14" width="18.1796875" customWidth="1"/>
    <col min="15" max="15" width="19.54296875" customWidth="1"/>
    <col min="16" max="16" width="20.81640625" customWidth="1"/>
    <col min="17" max="17" width="16.1796875" customWidth="1"/>
    <col min="18" max="18" width="23.54296875" customWidth="1"/>
    <col min="19" max="21" width="21.26953125" customWidth="1"/>
    <col min="22" max="22" width="22.81640625" customWidth="1"/>
    <col min="23" max="23" width="26" customWidth="1"/>
    <col min="24" max="24" width="18" customWidth="1"/>
    <col min="25" max="25" width="20.81640625" customWidth="1"/>
    <col min="26" max="26" width="11.54296875" customWidth="1"/>
    <col min="27" max="27" width="16.81640625" style="500" customWidth="1"/>
    <col min="28" max="30" width="16.1796875" style="500" customWidth="1"/>
    <col min="31" max="31" width="13.54296875" customWidth="1"/>
    <col min="32" max="32" width="15.7265625" customWidth="1"/>
    <col min="33" max="33" width="8.7265625" style="11" customWidth="1"/>
    <col min="34" max="34" width="32" customWidth="1"/>
    <col min="50" max="50" width="10" customWidth="1"/>
  </cols>
  <sheetData>
    <row r="1" spans="1:34" s="177" customFormat="1" ht="24" customHeight="1" x14ac:dyDescent="0.5">
      <c r="A1" s="128"/>
      <c r="B1" s="217" t="s">
        <v>206</v>
      </c>
    </row>
    <row r="2" spans="1:34" x14ac:dyDescent="0.35">
      <c r="B2" s="50"/>
      <c r="C2" s="50"/>
      <c r="D2" s="50"/>
      <c r="E2" s="50"/>
      <c r="F2" s="50"/>
      <c r="G2" s="50"/>
      <c r="H2" s="50"/>
      <c r="I2" s="50"/>
      <c r="J2" s="50"/>
      <c r="K2" s="98" t="s">
        <v>33</v>
      </c>
      <c r="L2" s="50"/>
      <c r="M2" s="50"/>
      <c r="N2" s="50"/>
      <c r="O2" s="50"/>
      <c r="P2" s="50"/>
      <c r="Q2" s="50"/>
      <c r="R2" s="50"/>
      <c r="S2" s="50"/>
      <c r="T2" s="50"/>
      <c r="U2" s="50"/>
      <c r="V2" s="50"/>
      <c r="W2" s="50"/>
      <c r="X2" s="50"/>
      <c r="Y2" s="50"/>
      <c r="Z2" s="50"/>
      <c r="AA2" s="50"/>
      <c r="AB2" s="50"/>
      <c r="AC2" s="50"/>
      <c r="AD2" s="50"/>
      <c r="AE2" s="50"/>
      <c r="AF2" s="50"/>
      <c r="AG2" s="50"/>
      <c r="AH2" s="50"/>
    </row>
    <row r="3" spans="1:34" x14ac:dyDescent="0.35">
      <c r="B3" s="50"/>
      <c r="C3" s="50"/>
      <c r="D3" s="50"/>
      <c r="E3" s="50"/>
      <c r="F3" s="50"/>
      <c r="G3" s="50"/>
      <c r="H3" s="50"/>
      <c r="I3" s="50"/>
      <c r="J3" s="50"/>
      <c r="K3" s="118" t="s">
        <v>34</v>
      </c>
      <c r="L3" s="192"/>
      <c r="M3" s="50"/>
      <c r="N3" s="50"/>
      <c r="O3" s="50"/>
      <c r="P3" s="50"/>
      <c r="Q3" s="50"/>
      <c r="R3" s="50"/>
      <c r="S3" s="50"/>
      <c r="T3" s="50"/>
      <c r="U3" s="50"/>
      <c r="V3" s="50"/>
      <c r="W3" s="50"/>
      <c r="X3" s="50"/>
      <c r="Y3" s="50"/>
      <c r="Z3" s="50"/>
      <c r="AA3" s="50"/>
      <c r="AB3" s="50"/>
      <c r="AC3" s="50"/>
      <c r="AD3" s="50"/>
      <c r="AE3" s="50"/>
      <c r="AF3" s="50"/>
      <c r="AG3" s="50"/>
      <c r="AH3" s="50"/>
    </row>
    <row r="4" spans="1:34" x14ac:dyDescent="0.35">
      <c r="B4" s="50"/>
      <c r="C4" s="50"/>
      <c r="D4" s="50"/>
      <c r="E4" s="50"/>
      <c r="F4" s="50"/>
      <c r="G4" s="50"/>
      <c r="H4" s="50"/>
      <c r="I4" s="50"/>
      <c r="J4" s="50"/>
      <c r="K4" s="102" t="s">
        <v>7</v>
      </c>
      <c r="L4" s="115"/>
      <c r="M4" s="50"/>
      <c r="N4" s="50"/>
      <c r="O4" s="50"/>
      <c r="P4" s="50"/>
      <c r="Q4" s="50"/>
      <c r="R4" s="50"/>
      <c r="S4" s="50"/>
      <c r="T4" s="50"/>
      <c r="U4" s="50"/>
      <c r="V4" s="50"/>
      <c r="W4" s="50"/>
      <c r="X4" s="50"/>
      <c r="Y4" s="50"/>
      <c r="Z4" s="50"/>
      <c r="AA4" s="50"/>
      <c r="AB4" s="50"/>
      <c r="AC4" s="50"/>
      <c r="AD4" s="50"/>
      <c r="AE4" s="50"/>
      <c r="AF4" s="50"/>
      <c r="AG4" s="50"/>
      <c r="AH4" s="50"/>
    </row>
    <row r="5" spans="1:34" x14ac:dyDescent="0.35">
      <c r="B5" s="50"/>
      <c r="C5" s="50"/>
      <c r="D5" s="50"/>
      <c r="E5" s="50"/>
      <c r="F5" s="50"/>
      <c r="G5" s="50"/>
      <c r="H5" s="50"/>
      <c r="I5" s="50"/>
      <c r="J5" s="50"/>
      <c r="K5" s="122" t="s">
        <v>35</v>
      </c>
      <c r="L5" s="101"/>
      <c r="M5" s="50"/>
      <c r="N5" s="50"/>
      <c r="O5" s="50"/>
      <c r="P5" s="50"/>
      <c r="Q5" s="50"/>
      <c r="R5" s="50"/>
      <c r="S5" s="50"/>
      <c r="T5" s="50"/>
      <c r="U5" s="50"/>
      <c r="V5" s="50"/>
      <c r="W5" s="50"/>
      <c r="X5" s="50"/>
      <c r="Y5" s="50"/>
      <c r="Z5" s="50"/>
      <c r="AA5" s="50"/>
      <c r="AB5" s="50"/>
      <c r="AC5" s="50"/>
      <c r="AD5" s="50"/>
      <c r="AE5" s="50"/>
      <c r="AF5" s="50"/>
      <c r="AG5" s="50"/>
      <c r="AH5" s="50"/>
    </row>
    <row r="6" spans="1:34" x14ac:dyDescent="0.35">
      <c r="B6" s="50"/>
      <c r="C6" s="50"/>
      <c r="D6" s="50"/>
      <c r="E6" s="50"/>
      <c r="F6" s="50"/>
      <c r="G6" s="50"/>
      <c r="H6" s="50"/>
      <c r="I6" s="50"/>
      <c r="J6" s="50"/>
      <c r="K6" s="486" t="s">
        <v>36</v>
      </c>
      <c r="L6" s="500"/>
      <c r="M6" s="50"/>
      <c r="N6" s="50"/>
      <c r="O6" s="50"/>
      <c r="P6" s="50"/>
      <c r="Q6" s="50"/>
      <c r="R6" s="50"/>
      <c r="S6" s="50"/>
      <c r="T6" s="50"/>
      <c r="U6" s="50"/>
      <c r="V6" s="50"/>
      <c r="W6" s="50"/>
      <c r="X6" s="50"/>
      <c r="Y6" s="50"/>
      <c r="Z6" s="50"/>
      <c r="AA6" s="50"/>
      <c r="AB6" s="50"/>
      <c r="AC6" s="50"/>
      <c r="AD6" s="50"/>
      <c r="AE6" s="50"/>
      <c r="AF6" s="50"/>
      <c r="AG6" s="50"/>
      <c r="AH6" s="50"/>
    </row>
    <row r="7" spans="1:34" x14ac:dyDescent="0.35">
      <c r="B7" s="50"/>
      <c r="C7" s="50"/>
      <c r="D7" s="50"/>
      <c r="E7" s="50"/>
      <c r="F7" s="50"/>
      <c r="G7" s="50"/>
      <c r="H7" s="50"/>
      <c r="I7" s="50"/>
      <c r="J7" s="50"/>
      <c r="K7" s="211" t="s">
        <v>37</v>
      </c>
      <c r="L7" s="567"/>
      <c r="M7" s="50"/>
      <c r="N7" s="50"/>
      <c r="O7" s="50"/>
      <c r="P7" s="50"/>
      <c r="Q7" s="50"/>
      <c r="R7" s="50"/>
      <c r="S7" s="50"/>
      <c r="T7" s="50"/>
      <c r="U7" s="50"/>
      <c r="V7" s="50"/>
      <c r="W7" s="50"/>
      <c r="X7" s="50"/>
      <c r="Y7" s="50"/>
      <c r="Z7" s="50"/>
      <c r="AA7" s="50"/>
      <c r="AB7" s="50"/>
      <c r="AC7" s="50"/>
      <c r="AD7" s="50"/>
      <c r="AE7" s="50"/>
      <c r="AF7" s="50"/>
      <c r="AG7" s="50"/>
      <c r="AH7" s="50"/>
    </row>
    <row r="8" spans="1:34" x14ac:dyDescent="0.35">
      <c r="B8" s="50"/>
      <c r="C8" s="50"/>
      <c r="D8" s="50"/>
      <c r="E8" s="50"/>
      <c r="F8" s="50"/>
      <c r="G8" s="50"/>
      <c r="H8" s="50"/>
      <c r="I8" s="50"/>
      <c r="J8" s="50"/>
      <c r="K8" s="145" t="s">
        <v>38</v>
      </c>
      <c r="L8" s="568"/>
      <c r="M8" s="50"/>
      <c r="N8" s="50"/>
      <c r="O8" s="50"/>
      <c r="P8" s="50"/>
      <c r="Q8" s="50"/>
      <c r="R8" s="50"/>
      <c r="S8" s="50"/>
      <c r="T8" s="50"/>
      <c r="U8" s="50"/>
      <c r="V8" s="50"/>
      <c r="W8" s="50"/>
      <c r="X8" s="50"/>
      <c r="Y8" s="50"/>
      <c r="Z8" s="50"/>
      <c r="AA8" s="50"/>
      <c r="AB8" s="50"/>
      <c r="AC8" s="50"/>
      <c r="AD8" s="50"/>
      <c r="AE8" s="50"/>
      <c r="AF8" s="50"/>
      <c r="AG8" s="50"/>
      <c r="AH8" s="50"/>
    </row>
    <row r="9" spans="1:34" x14ac:dyDescent="0.35">
      <c r="B9" s="50"/>
      <c r="C9" s="50"/>
      <c r="D9" s="50"/>
      <c r="E9" s="50"/>
      <c r="F9" s="50"/>
      <c r="G9" s="50"/>
      <c r="H9" s="50"/>
      <c r="I9" s="50"/>
      <c r="J9" s="50"/>
      <c r="K9" s="205" t="s">
        <v>39</v>
      </c>
      <c r="L9" s="633"/>
      <c r="M9" s="50"/>
      <c r="N9" s="50"/>
      <c r="O9" s="50"/>
      <c r="P9" s="50"/>
      <c r="Q9" s="50"/>
      <c r="R9" s="50"/>
      <c r="S9" s="50"/>
      <c r="T9" s="50"/>
      <c r="U9" s="50"/>
      <c r="V9" s="50"/>
      <c r="W9" s="50"/>
      <c r="X9" s="50"/>
      <c r="Y9" s="50"/>
      <c r="Z9" s="50"/>
      <c r="AA9" s="50"/>
      <c r="AB9" s="50"/>
      <c r="AC9" s="50"/>
      <c r="AD9" s="50"/>
      <c r="AE9" s="50"/>
      <c r="AF9" s="50"/>
      <c r="AG9" s="50"/>
      <c r="AH9" s="50"/>
    </row>
    <row r="10" spans="1:34" x14ac:dyDescent="0.35">
      <c r="B10" s="50"/>
      <c r="C10" s="50"/>
      <c r="D10" s="50"/>
      <c r="E10" s="50"/>
      <c r="F10" s="50"/>
      <c r="G10" s="98"/>
      <c r="H10" s="50"/>
      <c r="I10" s="50"/>
      <c r="J10" s="50"/>
      <c r="K10" s="634" t="s">
        <v>40</v>
      </c>
      <c r="L10" s="635"/>
      <c r="M10" s="50"/>
      <c r="N10" s="50"/>
      <c r="O10" s="50"/>
      <c r="P10" s="50"/>
      <c r="Q10" s="50"/>
      <c r="R10" s="50"/>
      <c r="S10" s="50"/>
      <c r="T10" s="50"/>
      <c r="U10" s="50"/>
      <c r="V10" s="50"/>
      <c r="W10" s="50"/>
      <c r="X10" s="50"/>
      <c r="Y10" s="50"/>
      <c r="Z10" s="50"/>
      <c r="AA10" s="50"/>
      <c r="AB10" s="50"/>
      <c r="AC10" s="50"/>
      <c r="AD10" s="50"/>
      <c r="AE10" s="50"/>
      <c r="AF10" s="50"/>
      <c r="AG10" s="50"/>
      <c r="AH10" s="50"/>
    </row>
    <row r="11" spans="1:34" x14ac:dyDescent="0.35">
      <c r="B11" s="50"/>
      <c r="C11" s="670" t="s">
        <v>207</v>
      </c>
      <c r="D11" s="671"/>
      <c r="E11" s="671"/>
      <c r="F11" s="672"/>
      <c r="G11" s="98"/>
      <c r="H11" s="50"/>
      <c r="I11" s="50"/>
      <c r="J11" s="50"/>
      <c r="K11" s="636" t="s">
        <v>41</v>
      </c>
      <c r="L11" s="637"/>
      <c r="M11" s="50"/>
      <c r="N11" s="50"/>
      <c r="O11" s="50"/>
      <c r="P11" s="50"/>
      <c r="Q11" s="50"/>
      <c r="R11" s="50"/>
      <c r="S11" s="50"/>
      <c r="T11" s="50"/>
      <c r="U11" s="50"/>
      <c r="V11" s="50"/>
      <c r="W11" s="50"/>
      <c r="X11" s="50"/>
      <c r="Y11" s="50"/>
      <c r="Z11" s="50"/>
      <c r="AA11" s="50"/>
      <c r="AB11" s="50"/>
      <c r="AC11" s="50"/>
      <c r="AD11" s="50"/>
      <c r="AE11" s="50"/>
      <c r="AF11" s="50"/>
      <c r="AG11" s="50"/>
      <c r="AH11" s="50"/>
    </row>
    <row r="12" spans="1:34" s="50" customFormat="1" x14ac:dyDescent="0.35">
      <c r="C12" s="129" t="s">
        <v>208</v>
      </c>
    </row>
    <row r="13" spans="1:34" s="50" customFormat="1" x14ac:dyDescent="0.35">
      <c r="C13" s="129" t="s">
        <v>209</v>
      </c>
    </row>
    <row r="14" spans="1:34" s="50" customFormat="1" x14ac:dyDescent="0.35">
      <c r="C14" s="129" t="s">
        <v>210</v>
      </c>
    </row>
    <row r="15" spans="1:34" s="50" customFormat="1" x14ac:dyDescent="0.35">
      <c r="C15" s="129" t="s">
        <v>211</v>
      </c>
    </row>
    <row r="16" spans="1:34" s="50" customFormat="1" x14ac:dyDescent="0.35"/>
    <row r="17" spans="1:106" s="50" customFormat="1" x14ac:dyDescent="0.35">
      <c r="C17" s="670" t="s">
        <v>212</v>
      </c>
      <c r="D17" s="671"/>
      <c r="E17" s="671"/>
      <c r="F17" s="672"/>
    </row>
    <row r="18" spans="1:106" x14ac:dyDescent="0.35">
      <c r="B18" s="50"/>
      <c r="C18" s="50" t="s">
        <v>213</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row>
    <row r="19" spans="1:106" x14ac:dyDescent="0.35">
      <c r="B19" s="50"/>
      <c r="C19" s="50" t="s">
        <v>214</v>
      </c>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CL19" s="25"/>
      <c r="CM19" s="25"/>
      <c r="CN19" s="25"/>
      <c r="CO19" s="25"/>
      <c r="CP19" s="25"/>
      <c r="CQ19" s="25"/>
      <c r="CR19" s="25"/>
      <c r="CS19" s="25"/>
      <c r="CT19" s="25"/>
      <c r="CU19" s="25"/>
      <c r="CV19" s="25"/>
      <c r="CW19" s="25"/>
      <c r="CX19" s="25"/>
      <c r="CY19" s="25"/>
      <c r="CZ19" s="25"/>
      <c r="DA19" s="25"/>
      <c r="DB19" s="25"/>
    </row>
    <row r="20" spans="1:106" s="50" customFormat="1" x14ac:dyDescent="0.35">
      <c r="G20" s="316"/>
      <c r="H20" s="316"/>
      <c r="I20" s="316"/>
      <c r="J20" s="316"/>
      <c r="K20" s="316"/>
      <c r="L20" s="316"/>
      <c r="Y20" s="316"/>
      <c r="Z20" s="316"/>
      <c r="AA20" s="316"/>
      <c r="AB20" s="316"/>
      <c r="AC20" s="316"/>
      <c r="AD20" s="316"/>
      <c r="AE20" s="316"/>
      <c r="AF20" s="316"/>
      <c r="AG20" s="316"/>
      <c r="AH20" s="316"/>
      <c r="AI20" s="316"/>
      <c r="AJ20" s="316"/>
      <c r="AK20" s="316"/>
      <c r="AL20" s="316"/>
      <c r="AM20" s="316"/>
      <c r="AN20" s="316"/>
      <c r="AO20" s="316"/>
      <c r="AP20" s="316"/>
      <c r="AQ20" s="316"/>
      <c r="AR20" s="316"/>
      <c r="AS20" s="316"/>
      <c r="AT20" s="316"/>
      <c r="AU20" s="316"/>
      <c r="AV20" s="316"/>
      <c r="AW20" s="316"/>
      <c r="AX20" s="316"/>
      <c r="AY20" s="316"/>
      <c r="AZ20" s="316"/>
      <c r="BA20" s="316"/>
      <c r="BB20" s="316"/>
      <c r="BC20" s="316"/>
      <c r="BD20" s="316"/>
      <c r="BE20" s="316"/>
      <c r="BF20" s="316"/>
      <c r="BG20" s="316"/>
      <c r="BH20" s="316"/>
      <c r="BI20" s="316"/>
      <c r="BJ20" s="316"/>
      <c r="BK20" s="316"/>
      <c r="BL20" s="316"/>
      <c r="BM20" s="316"/>
      <c r="BN20" s="316"/>
      <c r="BO20" s="316"/>
      <c r="BP20" s="316"/>
      <c r="BQ20" s="316"/>
      <c r="BR20" s="316"/>
      <c r="BS20" s="316"/>
      <c r="BT20" s="316"/>
      <c r="BU20" s="316"/>
      <c r="BV20" s="316"/>
      <c r="BW20" s="316"/>
      <c r="BX20" s="316"/>
      <c r="BY20" s="316"/>
      <c r="BZ20" s="316"/>
      <c r="CA20" s="316"/>
      <c r="CB20" s="316"/>
      <c r="CC20" s="316"/>
      <c r="CD20" s="316"/>
      <c r="CE20" s="316"/>
      <c r="CF20" s="316"/>
      <c r="CG20" s="316"/>
      <c r="CH20" s="316"/>
      <c r="CI20" s="316"/>
      <c r="CJ20" s="316"/>
      <c r="CK20" s="316"/>
      <c r="CL20" s="316"/>
      <c r="CM20" s="316"/>
      <c r="CN20" s="316"/>
      <c r="CO20" s="316"/>
      <c r="CP20" s="316"/>
      <c r="CQ20" s="316"/>
      <c r="CR20" s="316"/>
      <c r="CS20" s="316"/>
      <c r="CT20" s="316"/>
      <c r="CU20" s="316"/>
      <c r="CV20" s="316"/>
      <c r="CW20" s="316"/>
      <c r="CX20" s="316"/>
      <c r="CY20" s="316"/>
      <c r="CZ20" s="316"/>
      <c r="DA20" s="316"/>
      <c r="DB20" s="316"/>
    </row>
    <row r="21" spans="1:106" s="50" customFormat="1" x14ac:dyDescent="0.35">
      <c r="G21" s="316"/>
      <c r="H21" s="316"/>
      <c r="I21" s="316"/>
      <c r="J21" s="316"/>
      <c r="K21" s="316"/>
      <c r="L21" s="316"/>
      <c r="Y21" s="316"/>
      <c r="Z21" s="316"/>
      <c r="AA21" s="316"/>
      <c r="AB21" s="316"/>
      <c r="AC21" s="316"/>
      <c r="AD21" s="316"/>
      <c r="AE21" s="316"/>
      <c r="AF21" s="316"/>
      <c r="AG21" s="316"/>
      <c r="AH21" s="316"/>
      <c r="AI21" s="316"/>
      <c r="AJ21" s="316"/>
      <c r="AK21" s="316"/>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316"/>
      <c r="BQ21" s="316"/>
      <c r="BR21" s="316"/>
      <c r="BS21" s="316"/>
      <c r="BT21" s="316"/>
      <c r="BU21" s="316"/>
      <c r="BV21" s="316"/>
      <c r="BW21" s="316"/>
      <c r="BX21" s="316"/>
      <c r="BY21" s="316"/>
      <c r="BZ21" s="316"/>
      <c r="CA21" s="316"/>
      <c r="CB21" s="316"/>
      <c r="CC21" s="316"/>
      <c r="CD21" s="316"/>
      <c r="CE21" s="316"/>
      <c r="CF21" s="316"/>
      <c r="CG21" s="316"/>
      <c r="CH21" s="316"/>
      <c r="CI21" s="316"/>
      <c r="CJ21" s="316"/>
      <c r="CK21" s="316"/>
      <c r="CL21" s="316"/>
      <c r="CM21" s="316"/>
      <c r="CN21" s="316"/>
      <c r="CO21" s="316"/>
      <c r="CP21" s="316"/>
      <c r="CQ21" s="316"/>
      <c r="CR21" s="316"/>
      <c r="CS21" s="316"/>
      <c r="CT21" s="316"/>
      <c r="CU21" s="316"/>
      <c r="CV21" s="316"/>
      <c r="CW21" s="316"/>
      <c r="CX21" s="316"/>
      <c r="CY21" s="316"/>
      <c r="CZ21" s="316"/>
      <c r="DA21" s="316"/>
      <c r="DB21" s="316"/>
    </row>
    <row r="22" spans="1:106" s="50" customFormat="1" x14ac:dyDescent="0.35">
      <c r="A22" s="50">
        <v>7</v>
      </c>
      <c r="B22" s="50">
        <v>6</v>
      </c>
      <c r="C22" s="592" t="s">
        <v>215</v>
      </c>
      <c r="D22" s="171" t="str">
        <f>Handle_Scenario1&amp;" - Scenario 1"</f>
        <v xml:space="preserve"> - Scenario 1</v>
      </c>
      <c r="E22" s="171" t="str">
        <f>Handle_Scenario2&amp;" - Scenario 2"</f>
        <v xml:space="preserve"> - Scenario 2</v>
      </c>
      <c r="F22" s="172" t="str">
        <f>Handle_Scenario3&amp;" - Scenario 3"</f>
        <v xml:space="preserve"> - Scenario 3</v>
      </c>
      <c r="G22" s="316"/>
      <c r="H22" s="316"/>
      <c r="I22" s="316"/>
      <c r="J22" s="316"/>
      <c r="K22" s="316"/>
      <c r="L22" s="316"/>
      <c r="Y22" s="316"/>
      <c r="Z22" s="316"/>
      <c r="AA22" s="316"/>
      <c r="AB22" s="316"/>
      <c r="AC22" s="316"/>
      <c r="AD22" s="316"/>
      <c r="AE22" s="316"/>
      <c r="AF22" s="316"/>
      <c r="AG22" s="316"/>
      <c r="AH22" s="316"/>
      <c r="AI22" s="316"/>
      <c r="AJ22" s="316"/>
      <c r="AK22" s="316"/>
      <c r="AL22" s="316"/>
      <c r="AM22" s="316"/>
      <c r="AN22" s="316"/>
      <c r="AO22" s="316"/>
      <c r="AP22" s="316"/>
      <c r="AQ22" s="316"/>
      <c r="AR22" s="316"/>
      <c r="AS22" s="316"/>
      <c r="AT22" s="316"/>
      <c r="AU22" s="316"/>
      <c r="AV22" s="316"/>
      <c r="AW22" s="316"/>
      <c r="AX22" s="316"/>
      <c r="AY22" s="316"/>
      <c r="AZ22" s="316"/>
      <c r="BA22" s="316"/>
      <c r="BB22" s="316"/>
      <c r="BC22" s="316"/>
      <c r="BD22" s="316"/>
      <c r="BE22" s="316"/>
      <c r="BF22" s="316"/>
      <c r="BG22" s="316"/>
      <c r="BH22" s="316"/>
      <c r="BI22" s="316"/>
      <c r="BJ22" s="316"/>
      <c r="BK22" s="316"/>
      <c r="BL22" s="316"/>
      <c r="BM22" s="316"/>
      <c r="BN22" s="316"/>
      <c r="BO22" s="316"/>
      <c r="BP22" s="316"/>
      <c r="BQ22" s="316"/>
      <c r="BR22" s="316"/>
      <c r="BS22" s="316"/>
      <c r="BT22" s="316"/>
      <c r="BU22" s="316"/>
      <c r="BV22" s="316"/>
      <c r="BW22" s="316"/>
      <c r="BX22" s="316"/>
      <c r="BY22" s="316"/>
      <c r="BZ22" s="316"/>
      <c r="CA22" s="316"/>
      <c r="CB22" s="316"/>
      <c r="CC22" s="316"/>
      <c r="CD22" s="316"/>
      <c r="CE22" s="316"/>
      <c r="CF22" s="316"/>
      <c r="CG22" s="316"/>
      <c r="CH22" s="316"/>
      <c r="CI22" s="316"/>
      <c r="CJ22" s="316"/>
      <c r="CK22" s="316"/>
      <c r="CL22" s="316"/>
      <c r="CM22" s="316"/>
      <c r="CN22" s="316"/>
      <c r="CO22" s="316"/>
      <c r="CP22" s="316"/>
      <c r="CQ22" s="316"/>
      <c r="CR22" s="316"/>
      <c r="CS22" s="316"/>
      <c r="CT22" s="316"/>
      <c r="CU22" s="316"/>
      <c r="CV22" s="316"/>
      <c r="CW22" s="316"/>
      <c r="CX22" s="316"/>
      <c r="CY22" s="316"/>
      <c r="CZ22" s="316"/>
      <c r="DA22" s="316"/>
      <c r="DB22" s="316"/>
    </row>
    <row r="23" spans="1:106" s="50" customFormat="1" ht="29" x14ac:dyDescent="0.35">
      <c r="C23" s="106" t="s">
        <v>216</v>
      </c>
      <c r="D23" s="607" cm="1">
        <f t="array" aca="1" ref="D23" ca="1">(SUMPRODUCT(Delay_emissions_table[Consumption of Diesel (kg) - Primary Scenario],IF(Delay_emissions_table[Form of Maintenance - Primary Scenario]="Life Extension",1,0))*INDEX(Indicators,MATCH(EPD_version&amp;"GWP",Materials!$D:$D,0),MATCH("diesel combustion (vehicle)",Materials!$1:$1,0))+SUMPRODUCT(Delay_emissions_table[Consumption of Petrol (kg) - Primary Scenario],IF(Delay_emissions_table[Form of Maintenance - Primary Scenario]="Life Extension",1,0))*INDEX(Indicators,MATCH(EPD_version&amp;"GWP",Materials!$D:$D,0),MATCH("petrol combustion",Materials!$1:$1,0))+SUMPRODUCT(TRANSPOSE(INDEX(elec_project_emissions,MATCH(Elec_scenario&amp;"GWP",INDEX(Electricity_projection,0,3),0)-1,0)),Delay_emissions_table[Consumption of electricity (MJ) - Primary Scenario],IF(Delay_emissions_table[Form of Maintenance - Primary Scenario]="Life Extension",1,0)))*Area_trans*Time_adj_Prim</f>
        <v>0</v>
      </c>
      <c r="E23" s="607" cm="1">
        <f t="array" aca="1" ref="E23" ca="1">(SUMPRODUCT(Delay_emissions_table[Consumption of Diesel (kg) - Secondary Scenario],IF(Delay_emissions_table[Form of Maintenance - Secondary Scenario]="Life Extension",1,0))*INDEX(Indicators,MATCH(EPD_version&amp;"GWP",Materials!$D:$D,0),MATCH("diesel combustion (vehicle)",Materials!$1:$1,0))+SUMPRODUCT(Delay_emissions_table[Consumption of Petrol (kg) - Secondary Scenario],IF(Delay_emissions_table[Form of Maintenance - Secondary Scenario]="Life Extension",1,0))*INDEX(Indicators,MATCH(EPD_version&amp;"GWP",Materials!$D:$D,0),MATCH("petrol combustion",Materials!$1:$1,0))+SUMPRODUCT(TRANSPOSE(INDEX(elec_project_emissions,MATCH(Elec_scenario&amp;"GWP",INDEX(Electricity_projection,0,3),0)-1,0)),Delay_emissions_table[Consumption of electricity (MJ) - Secondary Scenario],IF(Delay_emissions_table[Form of Maintenance - Secondary Scenario]="Life Extension",1,0)))*Area_trans*time_adj_Sec</f>
        <v>0</v>
      </c>
      <c r="F23" s="608" cm="1">
        <f t="array" aca="1" ref="F23" ca="1">(SUMPRODUCT(Delay_emissions_table[Consumption of Diesel (kg) - Tertiary Scenario],IF(Delay_emissions_table[Form of Maintenance - Tertiary Scenario]="Life Extension",1,0))*INDEX(Indicators,MATCH(EPD_version&amp;"GWP",Materials!$D:$D,0),MATCH("diesel combustion (vehicle)",Materials!$1:$1,0))+SUMPRODUCT(Delay_emissions_table[Consumption of Petrol (kg) - Tertiary Scenario],IF(Delay_emissions_table[Form of Maintenance - Tertiary Scenario]="Life Extension",1,0))*INDEX(Indicators,MATCH(EPD_version&amp;"GWP",Materials!$D:$D,0),MATCH("petrol combustion",Materials!$1:$1,0))+SUMPRODUCT(TRANSPOSE(INDEX(elec_project_emissions,MATCH(Elec_scenario&amp;"GWP",INDEX(Electricity_projection,0,3),0)-1,0)),Delay_emissions_table[Consumption of electricity (MJ) - Tertiary Scenario],IF(Delay_emissions_table[Form of Maintenance - Tertiary Scenario]="Life Extension",1,0)))*Area_trans*time_adj_Sec</f>
        <v>0</v>
      </c>
      <c r="G23" s="316"/>
      <c r="H23" s="316"/>
      <c r="I23" s="316"/>
      <c r="J23" s="316"/>
      <c r="K23" s="316"/>
      <c r="L23" s="316"/>
      <c r="Y23" s="316"/>
      <c r="Z23" s="316"/>
      <c r="AA23" s="316"/>
      <c r="AB23" s="316"/>
      <c r="AC23" s="316"/>
      <c r="AD23" s="316"/>
      <c r="AE23" s="316"/>
      <c r="AF23" s="316"/>
      <c r="AG23" s="316"/>
      <c r="AH23" s="316"/>
      <c r="AI23" s="316"/>
      <c r="AJ23" s="316"/>
      <c r="AK23" s="316"/>
      <c r="AL23" s="316"/>
      <c r="AM23" s="316"/>
      <c r="AN23" s="316"/>
      <c r="AO23" s="316"/>
      <c r="AP23" s="316"/>
      <c r="AQ23" s="316"/>
      <c r="AR23" s="316"/>
      <c r="AS23" s="316"/>
      <c r="AT23" s="316"/>
      <c r="AU23" s="316"/>
      <c r="AV23" s="316"/>
      <c r="AW23" s="316"/>
      <c r="AX23" s="316"/>
      <c r="AY23" s="316"/>
      <c r="AZ23" s="316"/>
      <c r="BA23" s="316"/>
      <c r="BB23" s="316"/>
      <c r="BC23" s="316"/>
      <c r="BD23" s="316"/>
      <c r="BE23" s="316"/>
      <c r="BF23" s="316"/>
      <c r="BG23" s="316"/>
      <c r="BH23" s="316"/>
      <c r="BI23" s="316"/>
      <c r="BJ23" s="316"/>
      <c r="BK23" s="316"/>
      <c r="BL23" s="316"/>
      <c r="BM23" s="316"/>
      <c r="BN23" s="316"/>
      <c r="BO23" s="316"/>
      <c r="BP23" s="316"/>
      <c r="BQ23" s="316"/>
      <c r="BR23" s="316"/>
      <c r="BS23" s="316"/>
      <c r="BT23" s="316"/>
      <c r="BU23" s="316"/>
      <c r="BV23" s="316"/>
      <c r="BW23" s="316"/>
      <c r="BX23" s="316"/>
      <c r="BY23" s="316"/>
      <c r="BZ23" s="316"/>
      <c r="CA23" s="316"/>
      <c r="CB23" s="316"/>
      <c r="CC23" s="316"/>
      <c r="CD23" s="316"/>
      <c r="CE23" s="316"/>
      <c r="CF23" s="316"/>
      <c r="CG23" s="316"/>
      <c r="CH23" s="316"/>
      <c r="CI23" s="316"/>
      <c r="CJ23" s="316"/>
      <c r="CK23" s="316"/>
      <c r="CL23" s="316"/>
      <c r="CM23" s="316"/>
      <c r="CN23" s="316"/>
      <c r="CO23" s="316"/>
      <c r="CP23" s="316"/>
      <c r="CQ23" s="316"/>
      <c r="CR23" s="316"/>
      <c r="CS23" s="316"/>
      <c r="CT23" s="316"/>
      <c r="CU23" s="316"/>
      <c r="CV23" s="316"/>
      <c r="CW23" s="316"/>
      <c r="CX23" s="316"/>
      <c r="CY23" s="316"/>
      <c r="CZ23" s="316"/>
      <c r="DA23" s="316"/>
      <c r="DB23" s="316"/>
    </row>
    <row r="24" spans="1:106" s="50" customFormat="1" ht="29" x14ac:dyDescent="0.35">
      <c r="C24" s="225" t="s">
        <v>217</v>
      </c>
      <c r="D24" s="609" cm="1">
        <f t="array" aca="1" ref="D24" ca="1">(SUMPRODUCT(Delay_emissions_table[Consumption of Diesel (kg) - Primary Scenario],IF(Delay_emissions_table[Form of Maintenance - Primary Scenario]="Replacement",1,0))*INDEX(Indicators,MATCH(EPD_version&amp;"GWP",Materials!$D:$D,0),MATCH("diesel combustion (vehicle)",Materials!$1:$1,0))+SUMPRODUCT(Delay_emissions_table[Consumption of Petrol (kg) - Primary Scenario],IF(Delay_emissions_table[Form of Maintenance - Primary Scenario]="Replacement",1,0))*INDEX(Indicators,MATCH(EPD_version&amp;"GWP",Materials!$D:$D,0),MATCH("petrol combustion",Materials!$1:$1,0))+SUMPRODUCT(TRANSPOSE(INDEX(elec_project_emissions,MATCH(Elec_scenario&amp;"GWP",INDEX(Electricity_projection,0,3),0)-1,0)),Delay_emissions_table[Consumption of electricity (MJ) - Primary Scenario],IF(Delay_emissions_table[Form of Maintenance - Primary Scenario]="Replacement",1,0)))*Area_trans*Time_adj_Prim</f>
        <v>0</v>
      </c>
      <c r="E24" s="609" cm="1">
        <f t="array" aca="1" ref="E24" ca="1">(SUMPRODUCT(Delay_emissions_table[Consumption of Diesel (kg) - Secondary Scenario],IF(Delay_emissions_table[Form of Maintenance - Secondary Scenario]="Replacement",1,0))*INDEX(Indicators,MATCH(EPD_version&amp;"GWP",Materials!$D:$D,0),MATCH("diesel combustion (vehicle)",Materials!$1:$1,0))+SUMPRODUCT(Delay_emissions_table[Consumption of Petrol (kg) - Secondary Scenario],IF(Delay_emissions_table[Form of Maintenance - Secondary Scenario]="Replacement",1,0))*INDEX(Indicators,MATCH(EPD_version&amp;"GWP",Materials!$D:$D,0),MATCH("petrol combustion",Materials!$1:$1,0))+SUMPRODUCT(TRANSPOSE(INDEX(elec_project_emissions,MATCH(Elec_scenario&amp;"GWP",INDEX(Electricity_projection,0,3),0)-1,0)),Delay_emissions_table[Consumption of electricity (MJ) - Secondary Scenario],IF(Delay_emissions_table[Form of Maintenance - Secondary Scenario]="Replacement",1,0)))*Area_trans*time_adj_Sec</f>
        <v>0</v>
      </c>
      <c r="F24" s="610" cm="1">
        <f t="array" aca="1" ref="F24" ca="1">(SUMPRODUCT(Delay_emissions_table[Consumption of Diesel (kg) - Tertiary Scenario],IF(Delay_emissions_table[Form of Maintenance - Tertiary Scenario]="Replacement",1,0))*INDEX(Indicators,MATCH(EPD_version&amp;"GWP",Materials!$D:$D,0),MATCH("diesel combustion (vehicle)",Materials!$1:$1,0))+SUMPRODUCT(Delay_emissions_table[Consumption of Petrol (kg) - Tertiary Scenario],IF(Delay_emissions_table[Form of Maintenance - Tertiary Scenario]="Replacement",1,0))*INDEX(Indicators,MATCH(EPD_version&amp;"GWP",Materials!$D:$D,0),MATCH("petrol combustion",Materials!$1:$1,0))+SUMPRODUCT(TRANSPOSE(INDEX(elec_project_emissions,MATCH(Elec_scenario&amp;"GWP",INDEX(Electricity_projection,0,3),0)-1,0)),Delay_emissions_table[Consumption of electricity (MJ) - Tertiary Scenario],IF(Delay_emissions_table[Form of Maintenance - Tertiary Scenario]="Replacement",1,0)))*Area_trans*time_adj_Sec</f>
        <v>0</v>
      </c>
      <c r="G24" s="316"/>
      <c r="H24" s="316"/>
      <c r="I24" s="316"/>
      <c r="J24" s="316"/>
      <c r="K24" s="316"/>
      <c r="L24" s="316"/>
      <c r="Y24" s="316"/>
      <c r="Z24" s="316"/>
      <c r="AA24" s="316"/>
      <c r="AB24" s="316"/>
      <c r="AC24" s="316"/>
      <c r="AD24" s="316"/>
      <c r="AE24" s="316"/>
      <c r="AF24" s="316"/>
      <c r="AG24" s="316"/>
      <c r="AH24" s="316"/>
      <c r="AI24" s="316"/>
      <c r="AJ24" s="316"/>
      <c r="AK24" s="316"/>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316"/>
      <c r="BQ24" s="316"/>
      <c r="BR24" s="316"/>
      <c r="BS24" s="316"/>
      <c r="BT24" s="316"/>
      <c r="BU24" s="316"/>
      <c r="BV24" s="316"/>
      <c r="BW24" s="316"/>
      <c r="BX24" s="316"/>
      <c r="BY24" s="316"/>
      <c r="BZ24" s="316"/>
      <c r="CA24" s="316"/>
      <c r="CB24" s="316"/>
      <c r="CC24" s="316"/>
      <c r="CD24" s="316"/>
      <c r="CE24" s="316"/>
      <c r="CF24" s="316"/>
      <c r="CG24" s="316"/>
      <c r="CH24" s="316"/>
      <c r="CI24" s="316"/>
      <c r="CJ24" s="316"/>
      <c r="CK24" s="316"/>
      <c r="CL24" s="316"/>
      <c r="CM24" s="316"/>
      <c r="CN24" s="316"/>
      <c r="CO24" s="316"/>
      <c r="CP24" s="316"/>
      <c r="CQ24" s="316"/>
      <c r="CR24" s="316"/>
      <c r="CS24" s="316"/>
      <c r="CT24" s="316"/>
      <c r="CU24" s="316"/>
      <c r="CV24" s="316"/>
      <c r="CW24" s="316"/>
      <c r="CX24" s="316"/>
      <c r="CY24" s="316"/>
      <c r="CZ24" s="316"/>
      <c r="DA24" s="316"/>
      <c r="DB24" s="316"/>
    </row>
    <row r="25" spans="1:106" s="50" customFormat="1" x14ac:dyDescent="0.35">
      <c r="G25" s="316"/>
      <c r="H25" s="316"/>
      <c r="I25" s="316"/>
      <c r="J25" s="316"/>
      <c r="K25" s="316"/>
      <c r="L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6"/>
      <c r="BG25" s="316"/>
      <c r="BH25" s="316"/>
      <c r="BI25" s="316"/>
      <c r="BJ25" s="316"/>
      <c r="BK25" s="316"/>
      <c r="BL25" s="316"/>
      <c r="BM25" s="316"/>
      <c r="BN25" s="316"/>
      <c r="BO25" s="316"/>
      <c r="BP25" s="316"/>
      <c r="BQ25" s="316"/>
      <c r="BR25" s="316"/>
      <c r="BS25" s="316"/>
      <c r="BT25" s="316"/>
      <c r="BU25" s="316"/>
      <c r="BV25" s="316"/>
      <c r="BW25" s="316"/>
      <c r="BX25" s="316"/>
      <c r="BY25" s="316"/>
      <c r="BZ25" s="316"/>
      <c r="CA25" s="316"/>
      <c r="CB25" s="316"/>
      <c r="CC25" s="316"/>
      <c r="CD25" s="316"/>
      <c r="CE25" s="316"/>
      <c r="CF25" s="316"/>
      <c r="CG25" s="316"/>
      <c r="CH25" s="316"/>
      <c r="CI25" s="316"/>
      <c r="CJ25" s="316"/>
      <c r="CK25" s="316"/>
      <c r="CL25" s="316"/>
      <c r="CM25" s="316"/>
      <c r="CN25" s="316"/>
      <c r="CO25" s="316"/>
      <c r="CP25" s="316"/>
      <c r="CQ25" s="316"/>
      <c r="CR25" s="316"/>
      <c r="CS25" s="316"/>
      <c r="CT25" s="316"/>
      <c r="CU25" s="316"/>
      <c r="CV25" s="316"/>
      <c r="CW25" s="316"/>
      <c r="CX25" s="316"/>
      <c r="CY25" s="316"/>
      <c r="CZ25" s="316"/>
      <c r="DA25" s="316"/>
      <c r="DB25" s="316"/>
    </row>
    <row r="26" spans="1:106" s="50" customFormat="1" x14ac:dyDescent="0.35">
      <c r="G26" s="316"/>
      <c r="H26" s="316"/>
      <c r="I26" s="316"/>
      <c r="J26" s="316"/>
      <c r="K26" s="316"/>
      <c r="L26" s="316"/>
      <c r="Y26" s="316"/>
      <c r="Z26" s="316"/>
      <c r="AA26" s="316"/>
      <c r="AB26" s="316"/>
      <c r="AC26" s="316"/>
      <c r="AD26" s="316"/>
      <c r="AE26" s="316"/>
      <c r="AF26" s="316"/>
      <c r="AG26" s="316"/>
      <c r="AH26" s="316"/>
      <c r="AI26" s="316"/>
      <c r="AJ26" s="316"/>
      <c r="AK26" s="316"/>
      <c r="AL26" s="316"/>
      <c r="AM26" s="316"/>
      <c r="AN26" s="316"/>
      <c r="AO26" s="316"/>
      <c r="AP26" s="316"/>
      <c r="AQ26" s="316"/>
      <c r="AR26" s="316"/>
      <c r="AS26" s="316"/>
      <c r="AT26" s="316"/>
      <c r="AU26" s="316"/>
      <c r="AV26" s="316"/>
      <c r="AW26" s="316"/>
      <c r="AX26" s="316"/>
      <c r="AY26" s="316"/>
      <c r="AZ26" s="316"/>
      <c r="BA26" s="316"/>
      <c r="BB26" s="316"/>
      <c r="BC26" s="316"/>
      <c r="BD26" s="316"/>
      <c r="BE26" s="316"/>
      <c r="BF26" s="316"/>
      <c r="BG26" s="316"/>
      <c r="BH26" s="316"/>
      <c r="BI26" s="316"/>
      <c r="BJ26" s="316"/>
      <c r="BK26" s="316"/>
      <c r="BL26" s="316"/>
      <c r="BM26" s="316"/>
      <c r="BN26" s="316"/>
      <c r="BO26" s="316"/>
      <c r="BP26" s="316"/>
      <c r="BQ26" s="316"/>
      <c r="BR26" s="316"/>
      <c r="BS26" s="316"/>
      <c r="BT26" s="316"/>
      <c r="BU26" s="316"/>
      <c r="BV26" s="316"/>
      <c r="BW26" s="316"/>
      <c r="BX26" s="316"/>
      <c r="BY26" s="316"/>
      <c r="BZ26" s="316"/>
      <c r="CA26" s="316"/>
      <c r="CB26" s="316"/>
      <c r="CC26" s="316"/>
      <c r="CD26" s="316"/>
      <c r="CE26" s="316"/>
      <c r="CF26" s="316"/>
      <c r="CG26" s="316"/>
      <c r="CH26" s="316"/>
      <c r="CI26" s="316"/>
      <c r="CJ26" s="316"/>
      <c r="CK26" s="316"/>
      <c r="CL26" s="316"/>
      <c r="CM26" s="316"/>
      <c r="CN26" s="316"/>
      <c r="CO26" s="316"/>
      <c r="CP26" s="316"/>
      <c r="CQ26" s="316"/>
      <c r="CR26" s="316"/>
      <c r="CS26" s="316"/>
      <c r="CT26" s="316"/>
      <c r="CU26" s="316"/>
      <c r="CV26" s="316"/>
      <c r="CW26" s="316"/>
      <c r="CX26" s="316"/>
      <c r="CY26" s="316"/>
      <c r="CZ26" s="316"/>
      <c r="DA26" s="316"/>
      <c r="DB26" s="316"/>
    </row>
    <row r="27" spans="1:106" s="50" customFormat="1" ht="29" x14ac:dyDescent="0.35">
      <c r="C27" s="104" t="s">
        <v>218</v>
      </c>
      <c r="D27" s="606">
        <f>Traffic_flow/12</f>
        <v>0</v>
      </c>
      <c r="G27" s="316"/>
      <c r="H27" s="316"/>
      <c r="I27" s="316"/>
      <c r="J27" s="316"/>
      <c r="K27" s="316"/>
      <c r="L27" s="316"/>
      <c r="Y27" s="316"/>
      <c r="Z27" s="316"/>
      <c r="AA27" s="316"/>
      <c r="AB27" s="316"/>
      <c r="AC27" s="316"/>
      <c r="AD27" s="316"/>
      <c r="AE27" s="316"/>
      <c r="AF27" s="316"/>
      <c r="AG27" s="316"/>
      <c r="AH27" s="316"/>
      <c r="AI27" s="316"/>
      <c r="AJ27" s="316"/>
      <c r="AK27" s="316"/>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316"/>
      <c r="BQ27" s="316"/>
      <c r="BR27" s="316"/>
      <c r="BS27" s="316"/>
      <c r="BT27" s="316"/>
      <c r="BU27" s="316"/>
      <c r="BV27" s="316"/>
      <c r="BW27" s="316"/>
      <c r="BX27" s="316"/>
      <c r="BY27" s="316"/>
      <c r="BZ27" s="316"/>
      <c r="CA27" s="316"/>
      <c r="CB27" s="316"/>
      <c r="CC27" s="316"/>
      <c r="CD27" s="316"/>
      <c r="CE27" s="316"/>
      <c r="CF27" s="316"/>
      <c r="CG27" s="316"/>
      <c r="CH27" s="316"/>
      <c r="CI27" s="316"/>
      <c r="CJ27" s="316"/>
      <c r="CK27" s="316"/>
      <c r="CL27" s="316"/>
      <c r="CM27" s="316"/>
      <c r="CN27" s="316"/>
      <c r="CO27" s="316"/>
      <c r="CP27" s="316"/>
      <c r="CQ27" s="316"/>
      <c r="CR27" s="316"/>
      <c r="CS27" s="316"/>
      <c r="CT27" s="316"/>
      <c r="CU27" s="316"/>
      <c r="CV27" s="316"/>
      <c r="CW27" s="316"/>
      <c r="CX27" s="316"/>
      <c r="CY27" s="316"/>
      <c r="CZ27" s="316"/>
      <c r="DA27" s="316"/>
      <c r="DB27" s="316"/>
    </row>
    <row r="28" spans="1:106" s="50" customFormat="1" x14ac:dyDescent="0.35">
      <c r="C28" s="114" t="s">
        <v>219</v>
      </c>
      <c r="D28" s="416">
        <v>0.89400000000000002</v>
      </c>
      <c r="E28" s="22" t="s">
        <v>220</v>
      </c>
      <c r="G28" s="316"/>
      <c r="H28" s="316"/>
      <c r="I28" s="316"/>
      <c r="J28" s="316"/>
      <c r="K28" s="316"/>
      <c r="L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6"/>
      <c r="BL28" s="316"/>
      <c r="BM28" s="316"/>
      <c r="BN28" s="316"/>
      <c r="BO28" s="316"/>
      <c r="BP28" s="316"/>
      <c r="BQ28" s="316"/>
      <c r="BR28" s="316"/>
      <c r="BS28" s="316"/>
      <c r="BT28" s="316"/>
      <c r="BU28" s="316"/>
      <c r="BV28" s="316"/>
      <c r="BW28" s="316"/>
      <c r="BX28" s="316"/>
      <c r="BY28" s="316"/>
      <c r="BZ28" s="316"/>
      <c r="CA28" s="316"/>
      <c r="CB28" s="316"/>
      <c r="CC28" s="316"/>
      <c r="CD28" s="316"/>
      <c r="CE28" s="316"/>
      <c r="CF28" s="316"/>
      <c r="CG28" s="316"/>
      <c r="CH28" s="316"/>
      <c r="CI28" s="316"/>
      <c r="CJ28" s="316"/>
      <c r="CK28" s="316"/>
      <c r="CL28" s="316"/>
      <c r="CM28" s="316"/>
      <c r="CN28" s="316"/>
      <c r="CO28" s="316"/>
      <c r="CP28" s="316"/>
      <c r="CQ28" s="316"/>
      <c r="CR28" s="316"/>
      <c r="CS28" s="316"/>
      <c r="CT28" s="316"/>
      <c r="CU28" s="316"/>
      <c r="CV28" s="316"/>
      <c r="CW28" s="316"/>
      <c r="CX28" s="316"/>
      <c r="CY28" s="316"/>
      <c r="CZ28" s="316"/>
      <c r="DA28" s="316"/>
      <c r="DB28" s="316"/>
    </row>
    <row r="29" spans="1:106" s="50" customFormat="1" x14ac:dyDescent="0.35">
      <c r="G29" s="316"/>
      <c r="H29" s="316"/>
      <c r="I29" s="316"/>
      <c r="J29" s="316"/>
      <c r="K29" s="316"/>
      <c r="L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6"/>
      <c r="BL29" s="316"/>
      <c r="BM29" s="316"/>
      <c r="BN29" s="316"/>
      <c r="BO29" s="316"/>
      <c r="BP29" s="316"/>
      <c r="BQ29" s="316"/>
      <c r="BR29" s="316"/>
      <c r="BS29" s="316"/>
      <c r="BT29" s="316"/>
      <c r="BU29" s="316"/>
      <c r="BV29" s="316"/>
      <c r="BW29" s="316"/>
      <c r="BX29" s="316"/>
      <c r="BY29" s="316"/>
      <c r="BZ29" s="316"/>
      <c r="CA29" s="316"/>
      <c r="CB29" s="316"/>
      <c r="CC29" s="316"/>
      <c r="CD29" s="316"/>
      <c r="CE29" s="316"/>
      <c r="CF29" s="316"/>
      <c r="CG29" s="316"/>
      <c r="CH29" s="316"/>
      <c r="CI29" s="316"/>
      <c r="CJ29" s="316"/>
      <c r="CK29" s="316"/>
      <c r="CL29" s="316"/>
      <c r="CM29" s="316"/>
      <c r="CN29" s="316"/>
      <c r="CO29" s="316"/>
      <c r="CP29" s="316"/>
      <c r="CQ29" s="316"/>
      <c r="CR29" s="316"/>
      <c r="CS29" s="316"/>
      <c r="CT29" s="316"/>
      <c r="CU29" s="316"/>
      <c r="CV29" s="316"/>
      <c r="CW29" s="316"/>
      <c r="CX29" s="316"/>
      <c r="CY29" s="316"/>
      <c r="CZ29" s="316"/>
      <c r="DA29" s="316"/>
      <c r="DB29" s="316"/>
    </row>
    <row r="30" spans="1:106" s="50" customFormat="1" x14ac:dyDescent="0.35">
      <c r="G30" s="316"/>
      <c r="H30" s="316"/>
      <c r="I30" s="316"/>
      <c r="J30" s="316"/>
      <c r="K30" s="316"/>
      <c r="L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316"/>
      <c r="BQ30" s="316"/>
      <c r="BR30" s="316"/>
      <c r="BS30" s="316"/>
      <c r="BT30" s="316"/>
      <c r="BU30" s="316"/>
      <c r="BV30" s="316"/>
      <c r="BW30" s="316"/>
      <c r="BX30" s="316"/>
      <c r="BY30" s="316"/>
      <c r="BZ30" s="316"/>
      <c r="CA30" s="316"/>
      <c r="CB30" s="316"/>
      <c r="CC30" s="316"/>
      <c r="CD30" s="316"/>
      <c r="CE30" s="316"/>
      <c r="CF30" s="316"/>
      <c r="CG30" s="316"/>
      <c r="CH30" s="316"/>
      <c r="CI30" s="316"/>
      <c r="CJ30" s="316"/>
      <c r="CK30" s="316"/>
      <c r="CL30" s="316"/>
      <c r="CM30" s="316"/>
      <c r="CN30" s="316"/>
      <c r="CO30" s="316"/>
      <c r="CP30" s="316"/>
      <c r="CQ30" s="316"/>
      <c r="CR30" s="316"/>
      <c r="CS30" s="316"/>
      <c r="CT30" s="316"/>
      <c r="CU30" s="316"/>
      <c r="CV30" s="316"/>
      <c r="CW30" s="316"/>
      <c r="CX30" s="316"/>
      <c r="CY30" s="316"/>
      <c r="CZ30" s="316"/>
      <c r="DA30" s="316"/>
      <c r="DB30" s="316"/>
    </row>
    <row r="31" spans="1:106" s="50" customFormat="1" x14ac:dyDescent="0.35">
      <c r="A31" s="50">
        <v>7.1</v>
      </c>
      <c r="B31" s="50">
        <v>6.1</v>
      </c>
      <c r="C31" s="108" t="s">
        <v>221</v>
      </c>
      <c r="Y31" s="316"/>
      <c r="Z31" s="316"/>
      <c r="AA31" s="316"/>
      <c r="AB31" s="316"/>
      <c r="AC31" s="316"/>
      <c r="AD31" s="316"/>
      <c r="AE31" s="316"/>
      <c r="AF31" s="316"/>
      <c r="AG31" s="316"/>
      <c r="AH31" s="316"/>
      <c r="AI31" s="316"/>
      <c r="AJ31" s="316"/>
      <c r="AK31" s="316"/>
      <c r="AL31" s="316"/>
      <c r="AM31" s="316"/>
      <c r="AN31" s="316"/>
      <c r="AO31" s="316"/>
      <c r="AP31" s="316"/>
      <c r="AQ31" s="316"/>
      <c r="AR31" s="316"/>
      <c r="AS31" s="316"/>
      <c r="AT31" s="316"/>
      <c r="AU31" s="316"/>
      <c r="AV31" s="316"/>
      <c r="AW31" s="316"/>
      <c r="AX31" s="316"/>
      <c r="AY31" s="316"/>
      <c r="AZ31" s="316"/>
      <c r="BA31" s="316"/>
      <c r="BB31" s="316"/>
      <c r="BC31" s="316"/>
      <c r="BD31" s="316"/>
      <c r="BE31" s="316"/>
      <c r="BF31" s="316"/>
      <c r="BG31" s="316"/>
      <c r="BH31" s="316"/>
      <c r="BI31" s="316"/>
      <c r="BJ31" s="316"/>
      <c r="BK31" s="316"/>
      <c r="BL31" s="316"/>
      <c r="BM31" s="316"/>
      <c r="BN31" s="316"/>
      <c r="BO31" s="316"/>
      <c r="BP31" s="316"/>
      <c r="BQ31" s="316"/>
      <c r="BR31" s="316"/>
      <c r="BS31" s="316"/>
      <c r="BT31" s="316"/>
      <c r="BU31" s="316"/>
      <c r="BV31" s="316"/>
      <c r="BW31" s="316"/>
      <c r="BX31" s="316"/>
      <c r="BY31" s="316"/>
      <c r="BZ31" s="316"/>
      <c r="CA31" s="316"/>
      <c r="CB31" s="316"/>
      <c r="CC31" s="316"/>
      <c r="CD31" s="316"/>
      <c r="CE31" s="316"/>
      <c r="CF31" s="316"/>
      <c r="CG31" s="316"/>
      <c r="CH31" s="316"/>
      <c r="CI31" s="316"/>
      <c r="CJ31" s="316"/>
      <c r="CK31" s="316"/>
      <c r="CL31" s="316"/>
      <c r="CM31" s="316"/>
      <c r="CN31" s="316"/>
      <c r="CO31" s="316"/>
      <c r="CP31" s="316"/>
      <c r="CQ31" s="316"/>
      <c r="CR31" s="316"/>
      <c r="CS31" s="316"/>
      <c r="CT31" s="316"/>
      <c r="CU31" s="316"/>
      <c r="CV31" s="316"/>
      <c r="CW31" s="316"/>
      <c r="CX31" s="316"/>
      <c r="CY31" s="316"/>
      <c r="CZ31" s="316"/>
      <c r="DA31" s="316"/>
      <c r="DB31" s="316"/>
    </row>
    <row r="32" spans="1:106" ht="58" x14ac:dyDescent="0.35">
      <c r="B32" s="50"/>
      <c r="C32" s="142"/>
      <c r="D32" s="173" t="s">
        <v>222</v>
      </c>
      <c r="E32" s="173" t="s">
        <v>223</v>
      </c>
      <c r="F32" s="173" t="s">
        <v>224</v>
      </c>
      <c r="G32" s="173" t="s">
        <v>225</v>
      </c>
      <c r="H32" s="174" t="s">
        <v>226</v>
      </c>
      <c r="I32" s="316"/>
      <c r="J32" s="440" t="s">
        <v>227</v>
      </c>
      <c r="K32" s="174" t="s">
        <v>164</v>
      </c>
      <c r="L32" s="316"/>
      <c r="M32" s="316"/>
      <c r="N32" s="316"/>
      <c r="O32" s="50"/>
      <c r="P32" s="50"/>
      <c r="Q32" s="50"/>
      <c r="R32" s="50"/>
      <c r="S32" s="50"/>
      <c r="T32" s="50"/>
      <c r="U32" s="50"/>
      <c r="V32" s="50"/>
      <c r="W32" s="50"/>
      <c r="X32" s="50"/>
      <c r="Y32" s="50"/>
      <c r="Z32" s="50"/>
      <c r="AA32" s="50"/>
      <c r="AB32" s="50"/>
      <c r="AC32" s="50"/>
      <c r="AD32" s="50"/>
      <c r="AE32" s="50"/>
      <c r="AF32" s="50"/>
      <c r="AG32" s="50"/>
      <c r="AH32" s="50"/>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row>
    <row r="33" spans="2:106" x14ac:dyDescent="0.35">
      <c r="B33" s="50"/>
      <c r="C33" s="95" t="s">
        <v>228</v>
      </c>
      <c r="D33" s="492"/>
      <c r="E33" s="418"/>
      <c r="F33" s="418"/>
      <c r="G33" s="407"/>
      <c r="H33" s="662">
        <v>0.01</v>
      </c>
      <c r="I33" s="316"/>
      <c r="J33" s="666">
        <v>10</v>
      </c>
      <c r="K33" s="660" t="s">
        <v>229</v>
      </c>
      <c r="L33" s="316"/>
      <c r="M33" s="316"/>
      <c r="N33" s="316"/>
      <c r="O33" s="50"/>
      <c r="P33" s="50"/>
      <c r="Q33" s="50"/>
      <c r="R33" s="50"/>
      <c r="S33" s="50"/>
      <c r="T33" s="50"/>
      <c r="U33" s="50"/>
      <c r="V33" s="50"/>
      <c r="W33" s="50"/>
      <c r="X33" s="333"/>
      <c r="Y33" s="333"/>
      <c r="Z33" s="50"/>
      <c r="AA33" s="50"/>
      <c r="AB33" s="50"/>
      <c r="AC33" s="50"/>
      <c r="AD33" s="50"/>
      <c r="AE33" s="50"/>
      <c r="AF33" s="50"/>
      <c r="AG33" s="50"/>
      <c r="AH33" s="50"/>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row>
    <row r="34" spans="2:106" x14ac:dyDescent="0.35">
      <c r="B34" s="50"/>
      <c r="C34" s="191" t="s">
        <v>230</v>
      </c>
      <c r="D34" s="445"/>
      <c r="E34" s="419"/>
      <c r="F34" s="419"/>
      <c r="G34" s="409"/>
      <c r="H34" s="663"/>
      <c r="I34" s="316"/>
      <c r="J34" s="667"/>
      <c r="K34" s="661"/>
      <c r="L34" s="316"/>
      <c r="M34" s="316"/>
      <c r="N34" s="316"/>
      <c r="O34" s="50"/>
      <c r="P34" s="50"/>
      <c r="Q34" s="50"/>
      <c r="R34" s="50"/>
      <c r="S34" s="50"/>
      <c r="T34" s="50"/>
      <c r="U34" s="50"/>
      <c r="V34" s="50"/>
      <c r="W34" s="50"/>
      <c r="X34" s="50"/>
      <c r="Y34" s="50"/>
      <c r="Z34" s="50"/>
      <c r="AA34" s="50"/>
      <c r="AB34" s="50"/>
      <c r="AC34" s="50"/>
      <c r="AD34" s="50"/>
      <c r="AE34" s="50"/>
      <c r="AF34" s="50"/>
      <c r="AG34" s="50"/>
      <c r="AH34" s="50"/>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row>
    <row r="35" spans="2:106" x14ac:dyDescent="0.35">
      <c r="B35" s="50"/>
      <c r="C35" s="95" t="s">
        <v>231</v>
      </c>
      <c r="D35" s="493"/>
      <c r="E35" s="429"/>
      <c r="F35" s="429"/>
      <c r="G35" s="430"/>
      <c r="H35" s="662">
        <v>0.01</v>
      </c>
      <c r="I35" s="316"/>
      <c r="J35" s="666">
        <v>5</v>
      </c>
      <c r="K35" s="660" t="s">
        <v>229</v>
      </c>
      <c r="L35" s="316"/>
      <c r="M35" s="316"/>
      <c r="N35" s="316"/>
      <c r="O35" s="50"/>
      <c r="P35" s="50"/>
      <c r="Q35" s="50"/>
      <c r="R35" s="50"/>
      <c r="S35" s="50"/>
      <c r="T35" s="50"/>
      <c r="U35" s="50"/>
      <c r="V35" s="50"/>
      <c r="W35" s="50"/>
      <c r="X35" s="50"/>
      <c r="Y35" s="50"/>
      <c r="Z35" s="50"/>
      <c r="AA35" s="50"/>
      <c r="AB35" s="50"/>
      <c r="AC35" s="50"/>
      <c r="AD35" s="50"/>
      <c r="AE35" s="50"/>
      <c r="AF35" s="50"/>
      <c r="AG35" s="50"/>
      <c r="AH35" s="50"/>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row>
    <row r="36" spans="2:106" x14ac:dyDescent="0.35">
      <c r="B36" s="50"/>
      <c r="C36" s="315" t="s">
        <v>230</v>
      </c>
      <c r="D36" s="446"/>
      <c r="E36" s="420"/>
      <c r="F36" s="420"/>
      <c r="G36" s="421"/>
      <c r="H36" s="663"/>
      <c r="I36" s="316"/>
      <c r="J36" s="667"/>
      <c r="K36" s="661"/>
      <c r="L36" s="316"/>
      <c r="M36" s="316"/>
      <c r="N36" s="316"/>
      <c r="O36" s="50"/>
      <c r="P36" s="50"/>
      <c r="Q36" s="50"/>
      <c r="R36" s="50"/>
      <c r="S36" s="50"/>
      <c r="T36" s="50"/>
      <c r="U36" s="50"/>
      <c r="V36" s="50"/>
      <c r="W36" s="50"/>
      <c r="X36" s="50"/>
      <c r="Y36" s="50"/>
      <c r="Z36" s="50"/>
      <c r="AA36" s="50"/>
      <c r="AB36" s="50"/>
      <c r="AC36" s="50"/>
      <c r="AD36" s="50"/>
      <c r="AE36" s="50"/>
      <c r="AF36" s="50"/>
      <c r="AG36" s="50"/>
      <c r="AH36" s="50"/>
      <c r="AL36" s="25"/>
      <c r="AM36" s="25"/>
      <c r="AN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row>
    <row r="37" spans="2:106" x14ac:dyDescent="0.35">
      <c r="B37" s="50"/>
      <c r="C37" s="95" t="s">
        <v>232</v>
      </c>
      <c r="D37" s="493"/>
      <c r="E37" s="429"/>
      <c r="F37" s="429"/>
      <c r="G37" s="407"/>
      <c r="H37" s="662">
        <v>0.49</v>
      </c>
      <c r="I37" s="316"/>
      <c r="J37" s="666">
        <v>20</v>
      </c>
      <c r="K37" s="660" t="s">
        <v>229</v>
      </c>
      <c r="L37" s="316"/>
      <c r="M37" s="316"/>
      <c r="N37" s="316"/>
      <c r="O37" s="50"/>
      <c r="P37" s="50"/>
      <c r="Q37" s="50"/>
      <c r="R37" s="50"/>
      <c r="S37" s="50"/>
      <c r="T37" s="50"/>
      <c r="U37" s="50"/>
      <c r="V37" s="50"/>
      <c r="W37" s="50"/>
      <c r="X37" s="50"/>
      <c r="Y37" s="50"/>
      <c r="Z37" s="50"/>
      <c r="AA37" s="50"/>
      <c r="AB37" s="50"/>
      <c r="AC37" s="50"/>
      <c r="AD37" s="50"/>
      <c r="AE37" s="50"/>
      <c r="AF37" s="50"/>
      <c r="AG37" s="50"/>
      <c r="AH37" s="50"/>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row>
    <row r="38" spans="2:106" x14ac:dyDescent="0.35">
      <c r="B38" s="50"/>
      <c r="C38" s="191" t="s">
        <v>230</v>
      </c>
      <c r="D38" s="445"/>
      <c r="E38" s="419"/>
      <c r="F38" s="419"/>
      <c r="G38" s="409"/>
      <c r="H38" s="663"/>
      <c r="I38" s="316"/>
      <c r="J38" s="667"/>
      <c r="K38" s="661"/>
      <c r="L38" s="316"/>
      <c r="M38" s="316"/>
      <c r="N38" s="316"/>
      <c r="O38" s="50"/>
      <c r="P38" s="50"/>
      <c r="Q38" s="50"/>
      <c r="R38" s="50"/>
      <c r="S38" s="50"/>
      <c r="T38" s="50"/>
      <c r="U38" s="50"/>
      <c r="V38" s="50"/>
      <c r="W38" s="50"/>
      <c r="X38" s="50"/>
      <c r="Y38" s="50"/>
      <c r="Z38" s="50"/>
      <c r="AA38" s="50"/>
      <c r="AB38" s="50"/>
      <c r="AC38" s="50"/>
      <c r="AD38" s="50"/>
      <c r="AE38" s="50"/>
      <c r="AF38" s="50"/>
      <c r="AG38" s="50"/>
      <c r="AH38" s="50"/>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row>
    <row r="39" spans="2:106" x14ac:dyDescent="0.35">
      <c r="B39" s="50"/>
      <c r="C39" s="95" t="s">
        <v>233</v>
      </c>
      <c r="D39" s="493"/>
      <c r="E39" s="429"/>
      <c r="F39" s="429"/>
      <c r="G39" s="407"/>
      <c r="H39" s="662">
        <v>0.49</v>
      </c>
      <c r="I39" s="316"/>
      <c r="J39" s="666">
        <v>5</v>
      </c>
      <c r="K39" s="660" t="s">
        <v>229</v>
      </c>
      <c r="L39" s="316"/>
      <c r="M39" s="316"/>
      <c r="N39" s="316"/>
      <c r="O39" s="50"/>
      <c r="P39" s="50"/>
      <c r="Q39" s="50"/>
      <c r="R39" s="50"/>
      <c r="S39" s="50"/>
      <c r="T39" s="50"/>
      <c r="U39" s="50"/>
      <c r="V39" s="50"/>
      <c r="W39" s="50"/>
      <c r="X39" s="50"/>
      <c r="Y39" s="50"/>
      <c r="Z39" s="50"/>
      <c r="AA39" s="50"/>
      <c r="AB39" s="50"/>
      <c r="AC39" s="50"/>
      <c r="AD39" s="50"/>
      <c r="AE39" s="50"/>
      <c r="AF39" s="50"/>
      <c r="AG39" s="50"/>
      <c r="AH39" s="50"/>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row>
    <row r="40" spans="2:106" x14ac:dyDescent="0.35">
      <c r="B40" s="50"/>
      <c r="C40" s="315" t="s">
        <v>230</v>
      </c>
      <c r="D40" s="446"/>
      <c r="E40" s="420"/>
      <c r="F40" s="420"/>
      <c r="G40" s="421"/>
      <c r="H40" s="663"/>
      <c r="I40" s="316"/>
      <c r="J40" s="667"/>
      <c r="K40" s="661"/>
      <c r="L40" s="316"/>
      <c r="M40" s="316"/>
      <c r="N40" s="316"/>
      <c r="O40" s="50"/>
      <c r="P40" s="50"/>
      <c r="Q40" s="50"/>
      <c r="R40" s="50"/>
      <c r="S40" s="50"/>
      <c r="T40" s="50"/>
      <c r="U40" s="50"/>
      <c r="V40" s="50"/>
      <c r="W40" s="50"/>
      <c r="X40" s="50"/>
      <c r="Y40" s="50"/>
      <c r="Z40" s="50"/>
      <c r="AA40" s="50"/>
      <c r="AB40" s="50"/>
      <c r="AC40" s="50"/>
      <c r="AD40" s="50"/>
      <c r="AE40" s="50"/>
      <c r="AF40" s="50"/>
      <c r="AG40" s="50"/>
      <c r="AH40" s="50"/>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row>
    <row r="41" spans="2:106" x14ac:dyDescent="0.35">
      <c r="B41" s="50"/>
      <c r="C41" s="95" t="s">
        <v>234</v>
      </c>
      <c r="D41" s="493"/>
      <c r="E41" s="429"/>
      <c r="F41" s="418"/>
      <c r="G41" s="407"/>
      <c r="H41" s="662">
        <v>0.49</v>
      </c>
      <c r="I41" s="316"/>
      <c r="J41" s="666">
        <v>15</v>
      </c>
      <c r="K41" s="660" t="s">
        <v>229</v>
      </c>
      <c r="L41" s="316"/>
      <c r="M41" s="316"/>
      <c r="N41" s="316"/>
      <c r="O41" s="50"/>
      <c r="P41" s="50"/>
      <c r="Q41" s="50"/>
      <c r="R41" s="50"/>
      <c r="S41" s="50"/>
      <c r="T41" s="50"/>
      <c r="U41" s="50"/>
      <c r="V41" s="50"/>
      <c r="W41" s="50"/>
      <c r="X41" s="50"/>
      <c r="Y41" s="50"/>
      <c r="Z41" s="50"/>
      <c r="AA41" s="50"/>
      <c r="AB41" s="50"/>
      <c r="AC41" s="50"/>
      <c r="AD41" s="50"/>
      <c r="AE41" s="50"/>
      <c r="AF41" s="50"/>
      <c r="AG41" s="50"/>
      <c r="AH41" s="50"/>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row>
    <row r="42" spans="2:106" x14ac:dyDescent="0.35">
      <c r="B42" s="50"/>
      <c r="C42" s="315" t="s">
        <v>230</v>
      </c>
      <c r="D42" s="446"/>
      <c r="E42" s="420"/>
      <c r="F42" s="420"/>
      <c r="G42" s="421"/>
      <c r="H42" s="663"/>
      <c r="I42" s="316"/>
      <c r="J42" s="667"/>
      <c r="K42" s="661"/>
      <c r="L42" s="316"/>
      <c r="M42" s="316"/>
      <c r="N42" s="316"/>
      <c r="O42" s="50"/>
      <c r="P42" s="50"/>
      <c r="Q42" s="50"/>
      <c r="R42" s="50"/>
      <c r="S42" s="50"/>
      <c r="T42" s="50"/>
      <c r="U42" s="50"/>
      <c r="V42" s="50"/>
      <c r="W42" s="50"/>
      <c r="X42" s="50"/>
      <c r="Y42" s="50"/>
      <c r="Z42" s="50"/>
      <c r="AA42" s="50"/>
      <c r="AB42" s="50"/>
      <c r="AC42" s="50"/>
      <c r="AD42" s="50"/>
      <c r="AE42" s="50"/>
      <c r="AF42" s="50"/>
      <c r="AG42" s="50"/>
      <c r="AH42" s="50"/>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row>
    <row r="43" spans="2:106" x14ac:dyDescent="0.35">
      <c r="B43" s="50"/>
      <c r="C43" s="95" t="s">
        <v>235</v>
      </c>
      <c r="D43" s="493"/>
      <c r="E43" s="429"/>
      <c r="F43" s="418"/>
      <c r="G43" s="407"/>
      <c r="H43" s="664">
        <v>1.2569999999999999</v>
      </c>
      <c r="I43" s="316"/>
      <c r="J43" s="666">
        <v>10</v>
      </c>
      <c r="K43" s="660" t="s">
        <v>229</v>
      </c>
      <c r="L43" s="316"/>
      <c r="M43" s="316"/>
      <c r="N43" s="316"/>
      <c r="O43" s="50"/>
      <c r="P43" s="50"/>
      <c r="Q43" s="50"/>
      <c r="R43" s="50"/>
      <c r="S43" s="50"/>
      <c r="T43" s="50"/>
      <c r="U43" s="50"/>
      <c r="V43" s="50"/>
      <c r="W43" s="50"/>
      <c r="X43" s="50"/>
      <c r="Y43" s="316"/>
      <c r="Z43" s="316"/>
      <c r="AA43" s="316"/>
      <c r="AB43" s="316"/>
      <c r="AC43" s="316"/>
      <c r="AD43" s="316"/>
      <c r="AE43" s="316"/>
      <c r="AF43" s="316"/>
      <c r="AG43" s="316"/>
      <c r="AH43" s="316"/>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row>
    <row r="44" spans="2:106" x14ac:dyDescent="0.35">
      <c r="B44" s="50"/>
      <c r="C44" s="315" t="s">
        <v>230</v>
      </c>
      <c r="D44" s="446"/>
      <c r="E44" s="420"/>
      <c r="F44" s="420"/>
      <c r="G44" s="421"/>
      <c r="H44" s="665"/>
      <c r="I44" s="316"/>
      <c r="J44" s="667"/>
      <c r="K44" s="661"/>
      <c r="L44" s="316"/>
      <c r="M44" s="316"/>
      <c r="N44" s="316"/>
      <c r="O44" s="50"/>
      <c r="P44" s="50"/>
      <c r="Q44" s="50"/>
      <c r="R44" s="50"/>
      <c r="S44" s="50"/>
      <c r="T44" s="50"/>
      <c r="U44" s="50"/>
      <c r="V44" s="50"/>
      <c r="W44" s="50"/>
      <c r="X44" s="50"/>
      <c r="Y44" s="316"/>
      <c r="Z44" s="316"/>
      <c r="AA44" s="316"/>
      <c r="AB44" s="316"/>
      <c r="AC44" s="316"/>
      <c r="AD44" s="316"/>
      <c r="AE44" s="316"/>
      <c r="AF44" s="316"/>
      <c r="AG44" s="316"/>
      <c r="AH44" s="316"/>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row>
    <row r="45" spans="2:106" x14ac:dyDescent="0.35">
      <c r="B45" s="50"/>
      <c r="C45" s="95" t="s">
        <v>236</v>
      </c>
      <c r="D45" s="493"/>
      <c r="E45" s="429"/>
      <c r="F45" s="418"/>
      <c r="G45" s="407"/>
      <c r="H45" s="664">
        <f>2.2+0.027</f>
        <v>2.2270000000000003</v>
      </c>
      <c r="I45" s="316"/>
      <c r="J45" s="666">
        <v>5</v>
      </c>
      <c r="K45" s="660" t="s">
        <v>229</v>
      </c>
      <c r="L45" s="316"/>
      <c r="M45" s="316"/>
      <c r="N45" s="316"/>
      <c r="O45" s="50"/>
      <c r="P45" s="50"/>
      <c r="Q45" s="50"/>
      <c r="R45" s="50"/>
      <c r="S45" s="50"/>
      <c r="T45" s="50"/>
      <c r="U45" s="50"/>
      <c r="V45" s="50"/>
      <c r="W45" s="50"/>
      <c r="X45" s="50"/>
      <c r="Y45" s="316"/>
      <c r="Z45" s="316"/>
      <c r="AA45" s="316"/>
      <c r="AB45" s="316"/>
      <c r="AC45" s="316"/>
      <c r="AD45" s="316"/>
      <c r="AE45" s="316"/>
      <c r="AF45" s="316"/>
      <c r="AG45" s="316"/>
      <c r="AH45" s="316"/>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row>
    <row r="46" spans="2:106" x14ac:dyDescent="0.35">
      <c r="B46" s="50"/>
      <c r="C46" s="315" t="s">
        <v>230</v>
      </c>
      <c r="D46" s="446"/>
      <c r="E46" s="420"/>
      <c r="F46" s="420"/>
      <c r="G46" s="421"/>
      <c r="H46" s="665"/>
      <c r="I46" s="316"/>
      <c r="J46" s="667"/>
      <c r="K46" s="661"/>
      <c r="L46" s="316"/>
      <c r="M46" s="316"/>
      <c r="N46" s="316"/>
      <c r="O46" s="50"/>
      <c r="P46" s="50"/>
      <c r="Q46" s="50"/>
      <c r="R46" s="50"/>
      <c r="S46" s="50"/>
      <c r="T46" s="50"/>
      <c r="U46" s="50"/>
      <c r="V46" s="50"/>
      <c r="W46" s="50"/>
      <c r="X46" s="50"/>
      <c r="Y46" s="316"/>
      <c r="Z46" s="316"/>
      <c r="AA46" s="316"/>
      <c r="AB46" s="316"/>
      <c r="AC46" s="316"/>
      <c r="AD46" s="316"/>
      <c r="AE46" s="316"/>
      <c r="AF46" s="316"/>
      <c r="AG46" s="316"/>
      <c r="AH46" s="316"/>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row>
    <row r="47" spans="2:106" x14ac:dyDescent="0.35">
      <c r="B47" s="50"/>
      <c r="C47" s="95" t="s">
        <v>237</v>
      </c>
      <c r="D47" s="493"/>
      <c r="E47" s="429"/>
      <c r="F47" s="429"/>
      <c r="G47" s="430"/>
      <c r="H47" s="668">
        <f>Diesel_RawM_Prim+0.027</f>
        <v>2.177</v>
      </c>
      <c r="I47" s="491"/>
      <c r="J47" s="666">
        <v>10</v>
      </c>
      <c r="K47" s="660" t="s">
        <v>229</v>
      </c>
      <c r="L47" s="316"/>
      <c r="M47" s="316"/>
      <c r="N47" s="316"/>
      <c r="O47" s="50"/>
      <c r="P47" s="50"/>
      <c r="Q47" s="50"/>
      <c r="R47" s="50"/>
      <c r="S47" s="50"/>
      <c r="T47" s="50"/>
      <c r="U47" s="50"/>
      <c r="V47" s="50"/>
      <c r="W47" s="50"/>
      <c r="X47" s="50"/>
      <c r="Y47" s="316"/>
      <c r="Z47" s="316"/>
      <c r="AA47" s="316"/>
      <c r="AB47" s="316"/>
      <c r="AC47" s="316"/>
      <c r="AD47" s="316"/>
      <c r="AE47" s="316"/>
      <c r="AF47" s="316"/>
      <c r="AG47" s="316"/>
      <c r="AH47" s="316"/>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row>
    <row r="48" spans="2:106" x14ac:dyDescent="0.35">
      <c r="B48" s="50"/>
      <c r="C48" s="315" t="s">
        <v>230</v>
      </c>
      <c r="D48" s="524">
        <f>SUM('Data Entry'!$D$110:$D$115)</f>
        <v>0</v>
      </c>
      <c r="E48" s="611">
        <f>SUM('Data Entry'!$D$110:$D$115)</f>
        <v>0</v>
      </c>
      <c r="F48" s="611">
        <f>SUM('Data Entry'!$D$110:$D$115)</f>
        <v>0</v>
      </c>
      <c r="G48" s="525">
        <f>SUM('Data Entry'!$D$110:$D$115)</f>
        <v>0</v>
      </c>
      <c r="H48" s="669"/>
      <c r="I48" s="316"/>
      <c r="J48" s="667"/>
      <c r="K48" s="661"/>
      <c r="L48" s="316"/>
      <c r="M48" s="316"/>
      <c r="N48" s="316"/>
      <c r="O48" s="50"/>
      <c r="P48" s="50"/>
      <c r="Q48" s="50"/>
      <c r="R48" s="50"/>
      <c r="S48" s="50"/>
      <c r="T48" s="50"/>
      <c r="U48" s="50"/>
      <c r="V48" s="50"/>
      <c r="W48" s="50"/>
      <c r="X48" s="50"/>
      <c r="Y48" s="316"/>
      <c r="Z48" s="316"/>
      <c r="AA48" s="316"/>
      <c r="AB48" s="316"/>
      <c r="AC48" s="316"/>
      <c r="AD48" s="316"/>
      <c r="AE48" s="316"/>
      <c r="AF48" s="316"/>
      <c r="AG48" s="316"/>
      <c r="AH48" s="316"/>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row>
    <row r="49" spans="2:106" x14ac:dyDescent="0.35">
      <c r="B49" s="50"/>
      <c r="C49" s="104" t="s">
        <v>238</v>
      </c>
      <c r="D49" s="494"/>
      <c r="E49" s="428"/>
      <c r="F49" s="428"/>
      <c r="G49" s="417"/>
      <c r="H49" s="668">
        <f>Diesel_RawM_Sec+0.027</f>
        <v>1.4669999999999999</v>
      </c>
      <c r="I49" s="316"/>
      <c r="J49" s="666">
        <v>5</v>
      </c>
      <c r="K49" s="660" t="s">
        <v>229</v>
      </c>
      <c r="L49" s="316"/>
      <c r="M49" s="316"/>
      <c r="N49" s="316"/>
      <c r="O49" s="50"/>
      <c r="P49" s="50"/>
      <c r="Q49" s="50"/>
      <c r="R49" s="50"/>
      <c r="S49" s="50"/>
      <c r="T49" s="50"/>
      <c r="U49" s="50"/>
      <c r="V49" s="50"/>
      <c r="W49" s="50"/>
      <c r="X49" s="50"/>
      <c r="Y49" s="316"/>
      <c r="Z49" s="316"/>
      <c r="AA49" s="316"/>
      <c r="AB49" s="316"/>
      <c r="AC49" s="316"/>
      <c r="AD49" s="316"/>
      <c r="AE49" s="316"/>
      <c r="AF49" s="316"/>
      <c r="AG49" s="316"/>
      <c r="AH49" s="316"/>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row>
    <row r="50" spans="2:106" x14ac:dyDescent="0.35">
      <c r="B50" s="50"/>
      <c r="C50" s="315" t="s">
        <v>230</v>
      </c>
      <c r="D50" s="524">
        <f>SUM('Data Entry'!$D$120:$D$125)</f>
        <v>0</v>
      </c>
      <c r="E50" s="611">
        <f>SUM('Data Entry'!$D$120:$D$125)</f>
        <v>0</v>
      </c>
      <c r="F50" s="611">
        <f>SUM('Data Entry'!$D$120:$D$125)</f>
        <v>0</v>
      </c>
      <c r="G50" s="525">
        <f>SUM('Data Entry'!$D$120:$D$125)</f>
        <v>0</v>
      </c>
      <c r="H50" s="669"/>
      <c r="I50" s="316"/>
      <c r="J50" s="667"/>
      <c r="K50" s="661"/>
      <c r="L50" s="316"/>
      <c r="M50" s="316"/>
      <c r="N50" s="316"/>
      <c r="O50" s="50"/>
      <c r="P50" s="50"/>
      <c r="Q50" s="50"/>
      <c r="R50" s="50"/>
      <c r="S50" s="50"/>
      <c r="T50" s="50"/>
      <c r="U50" s="50"/>
      <c r="V50" s="50"/>
      <c r="W50" s="50"/>
      <c r="X50" s="50"/>
      <c r="Y50" s="316"/>
      <c r="Z50" s="316"/>
      <c r="AA50" s="316"/>
      <c r="AB50" s="316"/>
      <c r="AC50" s="316"/>
      <c r="AD50" s="316"/>
      <c r="AE50" s="316"/>
      <c r="AF50" s="316"/>
      <c r="AG50" s="316"/>
      <c r="AH50" s="316"/>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row>
    <row r="51" spans="2:106" x14ac:dyDescent="0.35">
      <c r="B51" s="50"/>
      <c r="C51" s="95" t="s">
        <v>239</v>
      </c>
      <c r="D51" s="494"/>
      <c r="E51" s="428"/>
      <c r="F51" s="428"/>
      <c r="G51" s="417"/>
      <c r="H51" s="668">
        <f>Diesel_RawM_Tert+0.027</f>
        <v>2.177</v>
      </c>
      <c r="I51" s="316"/>
      <c r="J51" s="666">
        <v>5</v>
      </c>
      <c r="K51" s="660" t="s">
        <v>229</v>
      </c>
      <c r="L51" s="316"/>
      <c r="M51" s="316"/>
      <c r="N51" s="316"/>
      <c r="O51" s="50"/>
      <c r="P51" s="50"/>
      <c r="Q51" s="50"/>
      <c r="R51" s="50"/>
      <c r="S51" s="50"/>
      <c r="T51" s="50"/>
      <c r="U51" s="50"/>
      <c r="V51" s="50"/>
      <c r="W51" s="50"/>
      <c r="X51" s="50"/>
      <c r="Y51" s="316"/>
      <c r="Z51" s="316"/>
      <c r="AA51" s="316"/>
      <c r="AB51" s="316"/>
      <c r="AC51" s="316"/>
      <c r="AD51" s="316"/>
      <c r="AE51" s="316"/>
      <c r="AF51" s="316"/>
      <c r="AG51" s="316"/>
      <c r="AH51" s="316"/>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row>
    <row r="52" spans="2:106" x14ac:dyDescent="0.35">
      <c r="B52" s="50"/>
      <c r="C52" s="315" t="s">
        <v>230</v>
      </c>
      <c r="D52" s="524">
        <f>SUM('Data Entry'!$D$130:$D$135)</f>
        <v>0</v>
      </c>
      <c r="E52" s="611">
        <f>SUM('Data Entry'!$D$130:$D$135)</f>
        <v>0</v>
      </c>
      <c r="F52" s="611">
        <f>SUM('Data Entry'!$D$130:$D$135)</f>
        <v>0</v>
      </c>
      <c r="G52" s="525">
        <f>SUM('Data Entry'!$D$130:$D$135)</f>
        <v>0</v>
      </c>
      <c r="H52" s="669"/>
      <c r="I52" s="316"/>
      <c r="J52" s="667"/>
      <c r="K52" s="661"/>
      <c r="L52" s="316"/>
      <c r="M52" s="316"/>
      <c r="N52" s="316"/>
      <c r="O52" s="50"/>
      <c r="P52" s="50"/>
      <c r="Q52" s="50"/>
      <c r="R52" s="50"/>
      <c r="S52" s="50"/>
      <c r="T52" s="50"/>
      <c r="U52" s="50"/>
      <c r="V52" s="50"/>
      <c r="W52" s="50"/>
      <c r="X52" s="50"/>
      <c r="Y52" s="316"/>
      <c r="Z52" s="316"/>
      <c r="AA52" s="316"/>
      <c r="AB52" s="316"/>
      <c r="AC52" s="316"/>
      <c r="AD52" s="316"/>
      <c r="AE52" s="316"/>
      <c r="AF52" s="316"/>
      <c r="AG52" s="316"/>
      <c r="AH52" s="316"/>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row>
    <row r="53" spans="2:106" x14ac:dyDescent="0.35">
      <c r="B53" s="50"/>
      <c r="C53" s="95" t="s">
        <v>240</v>
      </c>
      <c r="D53" s="494"/>
      <c r="E53" s="428"/>
      <c r="F53" s="428"/>
      <c r="G53" s="417"/>
      <c r="H53" s="668">
        <f>Diesel_RawM_Prim</f>
        <v>2.15</v>
      </c>
      <c r="I53" s="226"/>
      <c r="J53" s="666">
        <v>10</v>
      </c>
      <c r="K53" s="660" t="s">
        <v>229</v>
      </c>
      <c r="L53" s="316"/>
      <c r="M53" s="316"/>
      <c r="N53" s="316"/>
      <c r="O53" s="50"/>
      <c r="P53" s="50"/>
      <c r="Q53" s="50"/>
      <c r="R53" s="50"/>
      <c r="S53" s="50"/>
      <c r="T53" s="50"/>
      <c r="U53" s="50"/>
      <c r="V53" s="50"/>
      <c r="W53" s="50"/>
      <c r="X53" s="316"/>
      <c r="Y53" s="316"/>
      <c r="Z53" s="316"/>
      <c r="AA53" s="316"/>
      <c r="AB53" s="316"/>
      <c r="AC53" s="316"/>
      <c r="AD53" s="316"/>
      <c r="AE53" s="316"/>
      <c r="AF53" s="316"/>
      <c r="AG53" s="316"/>
      <c r="AH53" s="316"/>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row>
    <row r="54" spans="2:106" x14ac:dyDescent="0.35">
      <c r="B54" s="50"/>
      <c r="C54" s="315" t="s">
        <v>230</v>
      </c>
      <c r="D54" s="446"/>
      <c r="E54" s="420"/>
      <c r="F54" s="420"/>
      <c r="G54" s="421"/>
      <c r="H54" s="669"/>
      <c r="I54" s="316"/>
      <c r="J54" s="667"/>
      <c r="K54" s="661"/>
      <c r="L54" s="316"/>
      <c r="M54" s="316"/>
      <c r="N54" s="316"/>
      <c r="O54" s="50"/>
      <c r="P54" s="50"/>
      <c r="Q54" s="50"/>
      <c r="R54" s="50"/>
      <c r="S54" s="50"/>
      <c r="T54" s="50"/>
      <c r="U54" s="50"/>
      <c r="V54" s="50"/>
      <c r="W54" s="50"/>
      <c r="X54" s="316"/>
      <c r="Y54" s="316"/>
      <c r="Z54" s="316"/>
      <c r="AA54" s="316"/>
      <c r="AB54" s="316"/>
      <c r="AC54" s="316"/>
      <c r="AD54" s="316"/>
      <c r="AE54" s="316"/>
      <c r="AF54" s="316"/>
      <c r="AG54" s="316"/>
      <c r="AH54" s="316"/>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row>
    <row r="55" spans="2:106" x14ac:dyDescent="0.35">
      <c r="B55" s="50"/>
      <c r="C55" s="50"/>
      <c r="D55" s="50"/>
      <c r="E55" s="50"/>
      <c r="F55" s="50"/>
      <c r="G55" s="316"/>
      <c r="H55" s="50"/>
      <c r="I55" s="316"/>
      <c r="J55" s="316"/>
      <c r="K55" s="316"/>
      <c r="L55" s="316"/>
      <c r="M55" s="316"/>
      <c r="N55" s="316"/>
      <c r="O55" s="316"/>
      <c r="P55" s="316"/>
      <c r="Q55" s="316"/>
      <c r="R55" s="316"/>
      <c r="S55" s="316"/>
      <c r="T55" s="316"/>
      <c r="U55" s="316"/>
      <c r="V55" s="316"/>
      <c r="W55" s="316"/>
      <c r="X55" s="316"/>
      <c r="Y55" s="316"/>
      <c r="Z55" s="316"/>
      <c r="AA55" s="316"/>
      <c r="AB55" s="316"/>
      <c r="AC55" s="316"/>
      <c r="AD55" s="316"/>
      <c r="AE55" s="316"/>
      <c r="AF55" s="316"/>
      <c r="AG55" s="316"/>
      <c r="AH55" s="316"/>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row>
    <row r="56" spans="2:106" x14ac:dyDescent="0.35">
      <c r="B56" s="50"/>
      <c r="C56" s="317" t="s">
        <v>241</v>
      </c>
      <c r="D56" s="50" t="s">
        <v>242</v>
      </c>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316"/>
      <c r="AE56" s="316"/>
      <c r="AF56" s="316"/>
      <c r="AG56" s="316"/>
      <c r="AH56" s="316"/>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row>
    <row r="57" spans="2:106" ht="29" x14ac:dyDescent="0.35">
      <c r="B57" s="50"/>
      <c r="C57" s="318"/>
      <c r="D57" s="319" t="s">
        <v>222</v>
      </c>
      <c r="E57" s="320" t="s">
        <v>223</v>
      </c>
      <c r="F57" s="320" t="s">
        <v>224</v>
      </c>
      <c r="G57" s="320" t="s">
        <v>225</v>
      </c>
      <c r="H57" s="321" t="s">
        <v>243</v>
      </c>
      <c r="I57" s="322" t="s">
        <v>244</v>
      </c>
      <c r="J57" s="322" t="s">
        <v>245</v>
      </c>
      <c r="K57" s="322" t="s">
        <v>246</v>
      </c>
      <c r="L57" s="321" t="s">
        <v>247</v>
      </c>
      <c r="M57" s="316"/>
      <c r="N57" s="316"/>
      <c r="O57" s="316"/>
      <c r="P57" s="316"/>
      <c r="Q57" s="316"/>
      <c r="R57" s="316"/>
      <c r="S57" s="316"/>
      <c r="T57" s="316"/>
      <c r="U57" s="316"/>
      <c r="V57" s="316"/>
      <c r="W57" s="316"/>
      <c r="X57" s="316"/>
      <c r="Y57" s="316"/>
      <c r="Z57" s="316"/>
      <c r="AA57" s="316"/>
      <c r="AB57" s="316"/>
      <c r="AC57" s="316"/>
      <c r="AD57" s="316"/>
      <c r="AE57" s="316"/>
      <c r="AF57" s="316"/>
      <c r="AG57" s="316"/>
      <c r="AH57" s="316"/>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row>
    <row r="58" spans="2:106" x14ac:dyDescent="0.35">
      <c r="B58" s="50"/>
      <c r="C58" s="131" t="s">
        <v>248</v>
      </c>
      <c r="D58" s="323" cm="1">
        <f t="array" ref="D58:G58">(INDEX(Indicators,MATCH(EPD_version&amp;"GWP",Materials!$D:$D,0),MATCH(INDEX(Main_crack_Prim,1,0),Materials!$1:$1,0))*INDEX(Main_crack_Prim,2,0)/1000)*INDEX(Materials!$1:$2,2,MATCH(INDEX(Main_crack_Prim,1,0),Materials!$1:$1,0))</f>
        <v>0</v>
      </c>
      <c r="E58" s="324">
        <v>0</v>
      </c>
      <c r="F58" s="324">
        <v>0</v>
      </c>
      <c r="G58" s="324">
        <v>0</v>
      </c>
      <c r="H58" s="325" cm="1">
        <f t="array" ref="H58">SUM((INDEX(Main_crack_Prim,2,0)/1000)*INDEX(Materials!$1:$2,2,MATCH(INDEX(Main_crack_Prim,1,0),Materials!$1:$1,0)))</f>
        <v>0</v>
      </c>
      <c r="I58" s="50" cm="1">
        <f t="array" ref="I58">INDEX(Indicators,MATCH(EPD_version&amp;"GWP",Materials!$D:$D,0),MATCH(Main_truck_crack_Prim,Materials!$1:$1,0))*SUM((INDEX(Main_crack_Prim,2,0)/1000)*INDEX(Materials!$1:$2,2,MATCH(INDEX(Main_crack_Prim,1,0),Materials!$1:$1,0)))*Main_crack_dist_Prim</f>
        <v>0</v>
      </c>
      <c r="J58" s="326" t="e" cm="1">
        <f t="array" aca="1" ref="J58" ca="1">SUM((INDEX(Indicators,MATCH(EPD_version&amp;"GWP",Materials!$D:$D,0),MATCH(INDEX(Main_crack_Prim,1,0),Materials!$1:$1,0))*INDEX(Main_crack_Prim,2,0)/1000)*INDEX(Materials!$1:$2,2,MATCH(INDEX(Main_crack_Prim,1,0),Materials!$1:$1,0)))*SUM(--(Delay_emissions_table[Works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8" s="326" t="e" cm="1">
        <f t="array" aca="1" ref="K58" ca="1">INDEX(Indicators,MATCH(EPD_version&amp;"GWP",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8" s="129" t="e" cm="1">
        <f t="array" aca="1" ref="L58" ca="1">(Main_crack_diesel_Prim*Diesel_density)*(SUM(--(Delay_emissions_table[Works Description - Primary Scenario]="Crack Sealing")*Delay_emissions_table[Area of Works (m2) - Primary Scenario]*Delay_emissions_table[Environmental Discount (%)]))*INDEX(Indicators,MATCH(EPD_version&amp;"GWP",Materials!$D:$D,0),MATCH("Diesel Combustion",Materials!$1:$1,0))*Area_trans*Prim_Lays</f>
        <v>#DIV/0!</v>
      </c>
      <c r="M58" s="316" t="s">
        <v>228</v>
      </c>
      <c r="N58" s="316"/>
      <c r="O58" s="316"/>
      <c r="P58" s="316"/>
      <c r="Q58" s="316"/>
      <c r="R58" s="316"/>
      <c r="S58" s="316"/>
      <c r="T58" s="316"/>
      <c r="U58" s="316"/>
      <c r="V58" s="316"/>
      <c r="W58" s="316"/>
      <c r="X58" s="316"/>
      <c r="Y58" s="316"/>
      <c r="Z58" s="316"/>
      <c r="AA58" s="316"/>
      <c r="AB58" s="316"/>
      <c r="AC58" s="316"/>
      <c r="AD58" s="316"/>
      <c r="AE58" s="316"/>
      <c r="AF58" s="316"/>
      <c r="AG58" s="316"/>
      <c r="AH58" s="316"/>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row>
    <row r="59" spans="2:106" x14ac:dyDescent="0.35">
      <c r="B59" s="50"/>
      <c r="C59" s="131" t="s">
        <v>249</v>
      </c>
      <c r="D59" s="323" cm="1">
        <f t="array" ref="D59:G59">(INDEX(Indicators,MATCH(EPD_version&amp;"GWP",Materials!$D:$D,0),MATCH(INDEX(Main_Pothole_Prim,1,0),Materials!$1:$1,0))*INDEX(Main_Pothole_Prim,2,0)/1000)*INDEX(Materials!$1:$2,2,MATCH(INDEX(Main_Pothole_Prim,1,0),Materials!$1:$1,0))</f>
        <v>0</v>
      </c>
      <c r="E59" s="324">
        <v>0</v>
      </c>
      <c r="F59" s="324">
        <v>0</v>
      </c>
      <c r="G59" s="324">
        <v>0</v>
      </c>
      <c r="H59" s="325" cm="1">
        <f t="array" ref="H59">SUM((INDEX(Main_Pothole_Prim,2,0)/1000)*INDEX(Materials!$1:$2,2,MATCH(INDEX(Main_Pothole_Prim,1,0),Materials!$1:$1,0)))</f>
        <v>0</v>
      </c>
      <c r="I59" s="50" cm="1">
        <f t="array" ref="I59">INDEX(Indicators,MATCH(EPD_version&amp;"GWP",Materials!$D:$D,0),MATCH(Main_truck_pothole_prim,Materials!$1:$1,0))*SUM((INDEX(Main_Pothole_Prim,2,0)/1000)*INDEX(Materials!$1:$2,2,MATCH(INDEX(Main_Pothole_Prim,1,0),Materials!$1:$1,0)))*Main_Pothole_dist_Prim</f>
        <v>0</v>
      </c>
      <c r="J59" s="326" t="e" cm="1">
        <f t="array" aca="1" ref="J59" ca="1">SUM((INDEX(Indicators,MATCH(EPD_version&amp;"GWP",Materials!$D:$D,0),MATCH(INDEX(Main_Pothole_Prim,1,0),Materials!$1:$1,0))*INDEX(Main_Pothole_Prim,2,0)/1000)*INDEX(Materials!$1:$2,2,MATCH(INDEX(Main_Pothole_Prim,1,0),Materials!$1:$1,0)))*SUM(--(Delay_emissions_table[Works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K59" s="326" t="e" cm="1">
        <f t="array" aca="1" ref="K59" ca="1">INDEX(Indicators,MATCH(EPD_version&amp;"GWP",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L59" s="129" t="e" cm="1">
        <f t="array" aca="1" ref="L59" ca="1">(Main_pothole_diesel_Prim*Diesel_density)*(SUM(--(Delay_emissions_table[Works Description - Primary Scenario]="Fill Cracks (Potholes)")*Delay_emissions_table[Area of Works (m2) - Primary Scenario]*Delay_emissions_table[Environmental Discount (%)]))*INDEX(Indicators,MATCH(EPD_version&amp;"GWP",Materials!$D:$D,0),MATCH("Diesel Combustion",Materials!$1:$1,0))*Area_trans*Prim_Lays</f>
        <v>#DIV/0!</v>
      </c>
      <c r="M59" s="316" t="s">
        <v>231</v>
      </c>
      <c r="N59" s="316"/>
      <c r="O59" s="316"/>
      <c r="P59" s="316"/>
      <c r="Q59" s="316"/>
      <c r="R59" s="316"/>
      <c r="S59" s="316"/>
      <c r="T59" s="316"/>
      <c r="U59" s="316"/>
      <c r="V59" s="316"/>
      <c r="W59" s="316"/>
      <c r="X59" s="316"/>
      <c r="Y59" s="316"/>
      <c r="Z59" s="316"/>
      <c r="AA59" s="316"/>
      <c r="AB59" s="316"/>
      <c r="AC59" s="316"/>
      <c r="AD59" s="316"/>
      <c r="AE59" s="316"/>
      <c r="AF59" s="316"/>
      <c r="AG59" s="316"/>
      <c r="AH59" s="316"/>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row>
    <row r="60" spans="2:106" x14ac:dyDescent="0.35">
      <c r="B60" s="50"/>
      <c r="C60" s="131" t="s">
        <v>250</v>
      </c>
      <c r="D60" s="323" cm="1">
        <f t="array" ref="D60:G60">(INDEX(Indicators,MATCH(EPD_version&amp;"GWP",Materials!$D:$D,0),MATCH(INDEX(Main_Surface_Prim,1,0),Materials!$1:$1,0))*INDEX(Main_Surface_Prim,2,0)/1000)*INDEX(Materials!$1:$2,2,MATCH(INDEX(Main_Surface_Prim,1,0),Materials!$1:$1,0))</f>
        <v>0</v>
      </c>
      <c r="E60" s="324">
        <v>0</v>
      </c>
      <c r="F60" s="324">
        <v>0</v>
      </c>
      <c r="G60" s="324">
        <v>0</v>
      </c>
      <c r="H60" s="325" cm="1">
        <f t="array" ref="H60">SUM((INDEX(Main_Surface_Prim,2,0)/1000)*INDEX(Materials!$1:$2,2,MATCH(INDEX(Main_Surface_Prim,1,0),Materials!$1:$1,0)))</f>
        <v>0</v>
      </c>
      <c r="I60" s="50" cm="1">
        <f t="array" ref="I60">INDEX(Indicators,MATCH(EPD_version&amp;"GWP",Materials!$D:$D,0),MATCH(Main_truck_Surface_Prim,Materials!$1:$1,0))*SUM((INDEX(Main_Surface_Prim,2,0)/1000)*INDEX(Materials!$1:$2,2,MATCH(INDEX(Main_Surface_Prim,1,0),Materials!$1:$1,0)))*Main_Surface_dist_Prim</f>
        <v>0</v>
      </c>
      <c r="J60" s="326" t="e" cm="1">
        <f t="array" aca="1" ref="J60" ca="1">SUM((INDEX(Indicators,MATCH(EPD_version&amp;"GWP",Materials!$D:$D,0),MATCH(INDEX(Main_Surface_Prim,1,0),Materials!$1:$1,0))*INDEX(Main_Surface_Prim,2,0)/1000)*INDEX(Materials!$1:$2,2,MATCH(INDEX(Main_Surface_Prim,1,0),Materials!$1:$1,0)))*SUM(--(Delay_emissions_table[Works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K60" s="326" t="e" cm="1">
        <f t="array" aca="1" ref="K60" ca="1">INDEX(Indicators,MATCH(EPD_version&amp;"GWP",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L60" s="129" t="e" cm="1">
        <f t="array" aca="1" ref="L60" ca="1">(Main_Surface_diesel_Prim*Diesel_density)*(SUM(--(Delay_emissions_table[Works Description - Primary Scenario]="Surface Defect Repair")*Delay_emissions_table[Area of Works (m2) - Primary Scenario]*Delay_emissions_table[Environmental Discount (%)]))*INDEX(Indicators,MATCH(EPD_version&amp;"GWP",Materials!$D:$D,0),MATCH("Diesel Combustion",Materials!$1:$1,0))*Area_trans*Prim_Lays</f>
        <v>#DIV/0!</v>
      </c>
      <c r="M60" s="316" t="s">
        <v>232</v>
      </c>
      <c r="N60" s="316"/>
      <c r="O60" s="316"/>
      <c r="P60" s="316"/>
      <c r="Q60" s="316"/>
      <c r="R60" s="316"/>
      <c r="S60" s="316"/>
      <c r="T60" s="316"/>
      <c r="U60" s="316"/>
      <c r="V60" s="316"/>
      <c r="W60" s="316"/>
      <c r="X60" s="316"/>
      <c r="Y60" s="316"/>
      <c r="Z60" s="316"/>
      <c r="AA60" s="316"/>
      <c r="AB60" s="316"/>
      <c r="AC60" s="316"/>
      <c r="AD60" s="316"/>
      <c r="AE60" s="316"/>
      <c r="AF60" s="316"/>
      <c r="AG60" s="316"/>
      <c r="AH60" s="316"/>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row>
    <row r="61" spans="2:106" x14ac:dyDescent="0.35">
      <c r="B61" s="50"/>
      <c r="C61" s="131" t="s">
        <v>251</v>
      </c>
      <c r="D61" s="323" cm="1">
        <f t="array" ref="D61:G61">(INDEX(Indicators,MATCH(EPD_version&amp;"GWP",Materials!$D:$D,0),MATCH(INDEX(Main_Shoulder_Prim,1,0),Materials!$1:$1,0))*INDEX(Main_Shoulder_Prim,2,0)/1000)*INDEX(Materials!$1:$2,2,MATCH(INDEX(Main_Shoulder_Prim,1,0),Materials!$1:$1,0))</f>
        <v>0</v>
      </c>
      <c r="E61" s="324">
        <v>0</v>
      </c>
      <c r="F61" s="324">
        <v>0</v>
      </c>
      <c r="G61" s="324">
        <v>0</v>
      </c>
      <c r="H61" s="325" cm="1">
        <f t="array" ref="H61">SUM((INDEX(Main_Shoulder_Prim,2,0)/1000)*INDEX(Materials!$1:$2,2,MATCH(INDEX(Main_Shoulder_Prim,1,0),Materials!$1:$1,0)))</f>
        <v>0</v>
      </c>
      <c r="I61" s="50" cm="1">
        <f t="array" ref="I61">INDEX(Indicators,MATCH(EPD_version&amp;"GWP",Materials!$D:$D,0),MATCH(Main_truck_Shoulder_Prim,Materials!$1:$1,0))*SUM((INDEX(Main_Shoulder_Prim,2,0)/1000)*INDEX(Materials!$1:$2,2,MATCH(INDEX(Main_Shoulder_Prim,1,0),Materials!$1:$1,0)))*Main_Shoulder_dist_Prim</f>
        <v>0</v>
      </c>
      <c r="J61" s="326" t="e" cm="1">
        <f t="array" aca="1" ref="J61" ca="1">SUM((INDEX(Indicators,MATCH(EPD_version&amp;"GWP",Materials!$D:$D,0),MATCH(INDEX(Main_Shoulder_Prim,1,0),Materials!$1:$1,0))*INDEX(Main_crack_Prim,2,0)/1000)*INDEX(Materials!$1:$2,2,MATCH(INDEX(Main_crack_Prim,1,0),Materials!$1:$1,0)))*SUM(--(Delay_emissions_table[Works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K61" s="326" t="e" cm="1">
        <f t="array" aca="1" ref="K61" ca="1">INDEX(Indicators,MATCH(EPD_version&amp;"GWP",Materials!$D:$D,0),MATCH(Main_truck_Shoulder_Prim,Materials!$1:$1,0))*SUM((INDEX(Main_Shoulder_Prim,2,0)/1000)*INDEX(Materials!$1:$2,2,MATCH(INDEX(Main_Shoulder_Prim,1,0),Materials!$1:$1,0)))*Main_Shoulder_dist_Prim*SUM(--(Delay_emissions_table[Works Description - Primary Scenario]="Shoulder Maintenance")*Delay_emissions_table[Area of Works (m2) - Primary Scenario]*Delay_emissions_table[Environmental Discount (%)])*Area_trans*Prim_Lays</f>
        <v>#DIV/0!</v>
      </c>
      <c r="L61" s="129" t="e" cm="1">
        <f t="array" aca="1" ref="L61" ca="1">(Main_Shoulder_diesel_Prim*Diesel_density)*(SUM(--(Delay_emissions_table[Works Description - Primary Scenario]="Shoulder Maintenance")*Delay_emissions_table[Area of Works (m2) - Primary Scenario]*Delay_emissions_table[Environmental Discount (%)]))*INDEX(Indicators,MATCH(EPD_version&amp;"GWP",Materials!$D:$D,0),MATCH("Diesel Combustion",Materials!$1:$1,0))*Area_trans*Prim_Lays</f>
        <v>#DIV/0!</v>
      </c>
      <c r="M61" s="316" t="s">
        <v>233</v>
      </c>
      <c r="N61" s="316"/>
      <c r="O61" s="316"/>
      <c r="P61" s="316"/>
      <c r="Q61" s="316"/>
      <c r="R61" s="316"/>
      <c r="S61" s="316"/>
      <c r="T61" s="316"/>
      <c r="U61" s="316"/>
      <c r="V61" s="316"/>
      <c r="W61" s="316"/>
      <c r="X61" s="316"/>
      <c r="Y61" s="316"/>
      <c r="Z61" s="316"/>
      <c r="AA61" s="316"/>
      <c r="AB61" s="316"/>
      <c r="AC61" s="316"/>
      <c r="AD61" s="316"/>
      <c r="AE61" s="316"/>
      <c r="AF61" s="316"/>
      <c r="AG61" s="316"/>
      <c r="AH61" s="316"/>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row>
    <row r="62" spans="2:106" x14ac:dyDescent="0.35">
      <c r="B62" s="50"/>
      <c r="C62" s="131" t="s">
        <v>252</v>
      </c>
      <c r="D62" s="323" cm="1">
        <f t="array" ref="D62:G62">(INDEX(Indicators,MATCH(EPD_version&amp;"GWP",Materials!$D:$D,0),MATCH(INDEX(Main_Patch_Prim,1,0),Materials!$1:$1,0))*INDEX(Main_Patch_Prim,2,0)/1000)*INDEX(Materials!$1:$2,2,MATCH(INDEX(Main_Patch_Prim,1,0),Materials!$1:$1,0))</f>
        <v>0</v>
      </c>
      <c r="E62" s="324">
        <v>0</v>
      </c>
      <c r="F62" s="324">
        <v>0</v>
      </c>
      <c r="G62" s="324">
        <v>0</v>
      </c>
      <c r="H62" s="325" cm="1">
        <f t="array" ref="H62">SUM((INDEX(Main_Patch_Prim,2,0)/1000)*INDEX(Materials!$1:$2,2,MATCH(INDEX(Main_Patch_Prim,1,0),Materials!$1:$1,0)))</f>
        <v>0</v>
      </c>
      <c r="I62" s="50" cm="1">
        <f t="array" ref="I62">INDEX(Indicators,MATCH(EPD_version&amp;"GWP",Materials!$D:$D,0),MATCH(Main_truck_Patch_Prim,Materials!$1:$1,0))*SUM((INDEX(Main_Patch_Prim,2,0)/1000)*INDEX(Materials!$1:$2,2,MATCH(INDEX(Main_Patch_Prim,1,0),Materials!$1:$1,0)))*Main_Patch_dist_Prim</f>
        <v>0</v>
      </c>
      <c r="J62" s="326" t="e" cm="1">
        <f t="array" aca="1" ref="J62" ca="1">SUM((INDEX(Indicators,MATCH(EPD_version&amp;"GWP",Materials!$D:$D,0),MATCH(INDEX(Main_Patch_Prim,1,0),Materials!$1:$1,0))*INDEX(Main_Patch_Prim,2,0)/1000)*INDEX(Materials!$1:$2,2,MATCH(INDEX(Main_Patch_Prim,1,0),Materials!$1:$1,0)))*SUM(--(Delay_emissions_table[Works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K62" s="326" t="e" cm="1">
        <f t="array" aca="1" ref="K62" ca="1">INDEX(Indicators,MATCH(EPD_version&amp;"GWP",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L62" s="129" t="e" cm="1">
        <f t="array" aca="1" ref="L62" ca="1">(Main_patch_diesel_Prim*Diesel_density)*(SUM(--(Delay_emissions_table[Works Description - Primary Scenario]="Patch Stabilisation")*Delay_emissions_table[Area of Works (m2) - Primary Scenario]*Delay_emissions_table[Environmental Discount (%)]))*INDEX(Indicators,MATCH(EPD_version&amp;"GWP",Materials!$D:$D,0),MATCH("Diesel Combustion",Materials!$1:$1,0))*Area_trans*Prim_Lays</f>
        <v>#DIV/0!</v>
      </c>
      <c r="M62" s="316" t="s">
        <v>234</v>
      </c>
      <c r="N62" s="316"/>
      <c r="O62" s="316"/>
      <c r="P62" s="316"/>
      <c r="Q62" s="316"/>
      <c r="R62" s="316"/>
      <c r="S62" s="316"/>
      <c r="T62" s="316"/>
      <c r="U62" s="316"/>
      <c r="V62" s="316"/>
      <c r="W62" s="316"/>
      <c r="X62" s="316"/>
      <c r="Y62" s="316"/>
      <c r="Z62" s="316"/>
      <c r="AA62" s="316"/>
      <c r="AB62" s="316"/>
      <c r="AC62" s="316"/>
      <c r="AD62" s="316"/>
      <c r="AE62" s="316"/>
      <c r="AF62" s="316"/>
      <c r="AG62" s="316"/>
      <c r="AH62" s="316"/>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row>
    <row r="63" spans="2:106" x14ac:dyDescent="0.35">
      <c r="B63" s="50"/>
      <c r="C63" s="131" t="s">
        <v>253</v>
      </c>
      <c r="D63" s="323" cm="1">
        <f t="array" ref="D63:G63">(INDEX(Indicators,MATCH(EPD_version&amp;"GWP",Materials!$D:$D,0),MATCH(INDEX(Main_Mill_Prim,1,0),Materials!$1:$1,0))*INDEX(Main_Mill_Prim,2,0)/1000)*INDEX(Materials!$1:$2,2,MATCH(INDEX(Main_Mill_Prim,1,0),Materials!$1:$1,0))</f>
        <v>0</v>
      </c>
      <c r="E63" s="324">
        <v>0</v>
      </c>
      <c r="F63" s="324">
        <v>0</v>
      </c>
      <c r="G63" s="324">
        <v>0</v>
      </c>
      <c r="H63" s="325" cm="1">
        <f t="array" ref="H63">SUM((INDEX(Main_Mill_Prim,2,0)/1000)*INDEX(Materials!$1:$2,2,MATCH(INDEX(Main_Mill_Prim,1,0),Materials!$1:$1,0)))</f>
        <v>0</v>
      </c>
      <c r="I63" s="50" cm="1">
        <f t="array" ref="I63">INDEX(Indicators,MATCH(EPD_version&amp;"GWP",Materials!$D:$D,0),MATCH(Main_truck_Mill_Prim,Materials!$1:$1,0))*SUM((INDEX(Main_Mill_Prim,2,0)/1000)*INDEX(Materials!$1:$2,2,MATCH(INDEX(Main_Mill_Prim,1,0),Materials!$1:$1,0)))*Main_Mill_dist_Prim</f>
        <v>0</v>
      </c>
      <c r="J63" s="326" t="e" cm="1">
        <f t="array" aca="1" ref="J63" ca="1">SUM((INDEX(Indicators,MATCH(EPD_version&amp;"GWP",Materials!$D:$D,0),MATCH(INDEX(Main_Mill_Prim,1,0),Materials!$1:$1,0))*INDEX(Main_Mill_Prim,2,0)/1000)*INDEX(Materials!$1:$2,2,MATCH(INDEX(Main_Mill_Prim,1,0),Materials!$1:$1,0)))*SUM(--(Delay_emissions_table[Works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K63" s="326" t="e" cm="1">
        <f t="array" aca="1" ref="K63" ca="1">INDEX(Indicators,MATCH(EPD_version&amp;"GWP",Materials!$D:$D,0),MATCH(Main_truck_Mill_Prim,Materials!$1:$1,0))*SUM((INDEX(Main_Mill_Prim,2,0)/1000)*INDEX(Materials!$1:$2,2,MATCH(INDEX(Main_Mill_Prim,1,0),Materials!$1:$1,0)))*Main_Mill_dist_Prim*SUM(--(Delay_emissions_table[Works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L63" s="129" t="e" cm="1">
        <f t="array" aca="1" ref="L63" ca="1">(Main_Mill_diesel_Prim*Diesel_density)*(SUM(--(Delay_emissions_table[Works Description - Primary Scenario]="Mill and Fill")*Delay_emissions_table[Area of Works (m2) - Primary Scenario]*Delay_emissions_table[Environmental Discount (%)]))*INDEX(Indicators,MATCH(EPD_version&amp;"GWP",Materials!$D:$D,0),MATCH("Diesel Combustion",Materials!$1:$1,0))*Area_trans*Prim_Lays</f>
        <v>#DIV/0!</v>
      </c>
      <c r="M63" s="316" t="s">
        <v>235</v>
      </c>
      <c r="N63" s="316"/>
      <c r="O63" s="316"/>
      <c r="P63" s="316"/>
      <c r="Q63" s="316"/>
      <c r="R63" s="316"/>
      <c r="S63" s="316"/>
      <c r="T63" s="316"/>
      <c r="U63" s="316"/>
      <c r="V63" s="316"/>
      <c r="W63" s="316"/>
      <c r="X63" s="316"/>
      <c r="Y63" s="316"/>
      <c r="Z63" s="316"/>
      <c r="AA63" s="316"/>
      <c r="AB63" s="316"/>
      <c r="AC63" s="316"/>
      <c r="AD63" s="316"/>
      <c r="AE63" s="316"/>
      <c r="AF63" s="316"/>
      <c r="AG63" s="316"/>
      <c r="AH63" s="316"/>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row>
    <row r="64" spans="2:106" x14ac:dyDescent="0.35">
      <c r="B64" s="50"/>
      <c r="C64" s="131" t="s">
        <v>254</v>
      </c>
      <c r="D64" s="323" cm="1">
        <f t="array" ref="D64:G64">(INDEX(Indicators,MATCH(EPD_version&amp;"GWP",Materials!$D:$D,0),MATCH(INDEX(Main_Rip_Prim,1,0),Materials!$1:$1,0))*INDEX(Main_Rip_Prim,2,0)/1000)*INDEX(Materials!$1:$2,2,MATCH(INDEX(Main_Rip_Prim,1,0),Materials!$1:$1,0))</f>
        <v>0</v>
      </c>
      <c r="E64" s="324">
        <v>0</v>
      </c>
      <c r="F64" s="324">
        <v>0</v>
      </c>
      <c r="G64" s="324">
        <v>0</v>
      </c>
      <c r="H64" s="325" cm="1">
        <f t="array" ref="H64">SUM((INDEX(Main_Rip_Prim,2,0)/1000)*INDEX(Materials!$1:$2,2,MATCH(INDEX(Main_Rip_Prim,1,0),Materials!$1:$1,0)))</f>
        <v>0</v>
      </c>
      <c r="I64" s="50" cm="1">
        <f t="array" ref="I64">INDEX(Indicators,MATCH(EPD_version&amp;"GWP",Materials!$D:$D,0),MATCH(Main_truck_Rip_Prim,Materials!$1:$1,0))*SUM((INDEX(Main_Rip_Prim,2,0)/1000)*INDEX(Materials!$1:$2,2,MATCH(INDEX(Main_Rip_Prim,1,0),Materials!$1:$1,0)))*Main_Rip_dist_Prim</f>
        <v>0</v>
      </c>
      <c r="J64" s="326" t="e" cm="1">
        <f t="array" aca="1" ref="J64" ca="1">SUM((INDEX(Indicators,MATCH(EPD_version&amp;"GWP",Materials!$D:$D,0),MATCH(INDEX(Main_Rip_Prim,1,0),Materials!$1:$1,0))*INDEX(Main_Rip_Prim,2,0)/1000)*INDEX(Materials!$1:$2,2,MATCH(INDEX(Main_Rip_Prim,1,0),Materials!$1:$1,0)))*SUM(--(Delay_emissions_table[Works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K64" s="326" t="e" cm="1">
        <f t="array" aca="1" ref="K64" ca="1">INDEX(Indicators,MATCH(EPD_version&amp;"GWP",Materials!$D:$D,0),MATCH(Main_truck_Rip_Prim,Materials!$1:$1,0))*SUM((INDEX(Main_Rip_Prim,2,0)/1000)*INDEX(Materials!$1:$2,2,MATCH(INDEX(Main_Rip_Prim,1,0),Materials!$1:$1,0)))*Main_Rip_dist_Prim*SUM(--(Delay_emissions_table[Works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L64" s="129" t="e" cm="1">
        <f t="array" aca="1" ref="L64" ca="1">(Main_Rip_diesel_Prim*Diesel_density)*(SUM(--(Delay_emissions_table[Works Description - Primary Scenario]="Rip and Remake")*Delay_emissions_table[Area of Works (m2) - Primary Scenario]*Delay_emissions_table[Environmental Discount (%)]))*INDEX(Indicators,MATCH(EPD_version&amp;"GWP",Materials!$D:$D,0),MATCH("Diesel Combustion",Materials!$1:$1,0))*Area_trans*Prim_Lays</f>
        <v>#DIV/0!</v>
      </c>
      <c r="M64" s="316" t="s">
        <v>236</v>
      </c>
      <c r="N64" s="316"/>
      <c r="O64" s="316"/>
      <c r="P64" s="316"/>
      <c r="Q64" s="316"/>
      <c r="R64" s="316"/>
      <c r="S64" s="316"/>
      <c r="T64" s="316"/>
      <c r="U64" s="316"/>
      <c r="V64" s="316"/>
      <c r="W64" s="316"/>
      <c r="X64" s="316"/>
      <c r="Y64" s="316"/>
      <c r="Z64" s="316"/>
      <c r="AA64" s="316"/>
      <c r="AB64" s="316"/>
      <c r="AC64" s="316"/>
      <c r="AD64" s="316"/>
      <c r="AE64" s="316"/>
      <c r="AF64" s="316"/>
      <c r="AG64" s="316"/>
      <c r="AH64" s="316"/>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row>
    <row r="65" spans="1:106" x14ac:dyDescent="0.35">
      <c r="B65" s="50"/>
      <c r="C65" s="131" t="s">
        <v>255</v>
      </c>
      <c r="D65" s="323" cm="1">
        <f t="array" ref="D65:G65">(INDEX(Indicators,MATCH(EPD_version&amp;"GWP",Materials!$D:$D,0),MATCH(INDEX(Main_Dig_Prim,1,0),Materials!$1:$1,0))*INDEX(Main_Dig_Prim,2,0)/1000)*INDEX(Materials!$1:$2,2,MATCH(INDEX(Main_Dig_Prim,1,0),Materials!$1:$1,0))</f>
        <v>0</v>
      </c>
      <c r="E65" s="324">
        <v>0</v>
      </c>
      <c r="F65" s="324">
        <v>0</v>
      </c>
      <c r="G65" s="324">
        <v>0</v>
      </c>
      <c r="H65" s="325" cm="1">
        <f t="array" ref="H65">SUM((INDEX(Main_Dig_Prim,2,0)/1000)*INDEX(Materials!$1:$2,2,MATCH(INDEX(Main_Dig_Prim,1,0),Materials!$1:$1,0)))</f>
        <v>0</v>
      </c>
      <c r="I65" s="50" cm="1">
        <f t="array" ref="I65">INDEX(Indicators,MATCH(EPD_version&amp;"GWP",Materials!$D:$D,0),MATCH(Main_truck_Dig_Prim,Materials!$1:$1,0))*SUM((INDEX(Main_Dig_Prim,2,0)/1000)*INDEX(Materials!$1:$2,2,MATCH(INDEX(Main_Dig_Prim,1,0),Materials!$1:$1,0)))*Main_Dig_dist_Prim</f>
        <v>0</v>
      </c>
      <c r="J65" s="326" t="e" cm="1">
        <f t="array" aca="1" ref="J65" ca="1">(SUM((INDEX(Indicators,MATCH(EPD_version&amp;"GWP",Materials!$D:$D,0),MATCH(INDEX(Main_Dig_Prim,1,0),Materials!$1:$1,0))*INDEX(Main_Dig_Prim,2,0)/1000)*INDEX(Materials!$1:$2,2,MATCH(INDEX(Main_Dig_Prim,1,0),Materials!$1:$1,0)))*SUM(--(Delay_emissions_table[Works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K65" s="326" t="e" cm="1">
        <f t="array" aca="1" ref="K65" ca="1">(INDEX(Indicators,MATCH(EPD_version&amp;"GWP",Materials!$D:$D,0),MATCH(Main_truck_Dig_Prim,Materials!$1:$1,0))*SUM((INDEX(Main_Dig_Prim,2,0)/1000)*INDEX(Materials!$1:$2,2,MATCH(INDEX(Main_Dig_Prim,1,0),Materials!$1:$1,0)))*Main_Dig_dist_Prim*SUM(--(Delay_emissions_table[Works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L65" s="129" t="e" cm="1">
        <f t="array" aca="1" ref="L65" ca="1">(Main_dig_diesel_Prim*Diesel_density)*(SUM(--(Delay_emissions_table[Works Description - Primary Scenario]="Dig Out")*Delay_emissions_table[Area of Works (m2) - Primary Scenario]*Delay_emissions_table[Environmental Discount (%)]))*INDEX(Indicators,MATCH(EPD_version&amp;"GWP",Materials!$D:$D,0),MATCH("Diesel Combustion",Materials!$1:$1,0))*Area_trans*Prim_Lays</f>
        <v>#DIV/0!</v>
      </c>
      <c r="M65" s="316" t="s">
        <v>256</v>
      </c>
      <c r="N65" s="316"/>
      <c r="O65" s="316"/>
      <c r="P65" s="316"/>
      <c r="Q65" s="316"/>
      <c r="R65" s="316"/>
      <c r="S65" s="316"/>
      <c r="T65" s="316"/>
      <c r="U65" s="316"/>
      <c r="V65" s="316"/>
      <c r="W65" s="316"/>
      <c r="X65" s="316"/>
      <c r="Y65" s="316"/>
      <c r="Z65" s="316"/>
      <c r="AA65" s="316"/>
      <c r="AB65" s="316"/>
      <c r="AC65" s="316"/>
      <c r="AD65" s="316"/>
      <c r="AE65" s="316"/>
      <c r="AF65" s="316"/>
      <c r="AG65" s="316"/>
      <c r="AH65" s="316"/>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row>
    <row r="66" spans="1:106" x14ac:dyDescent="0.35">
      <c r="B66" s="50"/>
      <c r="C66" s="327" t="s">
        <v>257</v>
      </c>
      <c r="D66" s="328" cm="1">
        <f t="array" ref="D66:G66">(INDEX(Indicators,MATCH(EPD_version&amp;"GWP",Materials!$D:$D,0),MATCH(INDEX(Main_Lay_Prim,1,0),Materials!$1:$1,0))*INDEX(Main_Lay_Prim,2,0)/1000)*INDEX(Materials!$1:$2,2,MATCH(INDEX(Main_Lay_Prim,1,0),Materials!$1:$1,0))</f>
        <v>0</v>
      </c>
      <c r="E66" s="329">
        <v>0</v>
      </c>
      <c r="F66" s="329">
        <v>0</v>
      </c>
      <c r="G66" s="329">
        <v>0</v>
      </c>
      <c r="H66" s="330" cm="1">
        <f t="array" ref="H66">SUM((INDEX(Main_Lay_Prim,2,0)/1000)*INDEX(Materials!$1:$2,2,MATCH(INDEX(Main_Lay_Prim,1,0),Materials!$1:$1,0)))</f>
        <v>0</v>
      </c>
      <c r="I66" s="128" cm="1">
        <f t="array" ref="I66">INDEX(Indicators,MATCH(EPD_version&amp;"GWP",Materials!$D:$D,0),MATCH(Main_truck_Lay_Prim,Materials!$1:$1,0))*SUM((INDEX(Main_Lay_Prim,2,0)/1000)*INDEX(Materials!$1:$2,2,MATCH(INDEX(Main_Lay_Prim,1,0),Materials!$1:$1,0)))*Main_Lay_dist_Prim</f>
        <v>0</v>
      </c>
      <c r="J66" s="331" t="e" cm="1">
        <f t="array" aca="1" ref="J66" ca="1">SUM((INDEX(Indicators,MATCH(EPD_version&amp;"GWP",Materials!$D:$D,0),MATCH(INDEX(Main_Lay_Prim,1,0),Materials!$1:$1,0))*INDEX(Main_Lay_Prim,2,0)/1000)*INDEX(Materials!$1:$2,2,MATCH(INDEX(Main_Lay_Prim,1,0),Materials!$1:$1,0)))*SUM(--(Delay_emissions_table[Works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K66" s="331" t="e" cm="1">
        <f t="array" aca="1" ref="K66" ca="1">INDEX(Indicators,MATCH(EPD_version&amp;"GWP",Materials!$D:$D,0),MATCH(Main_truck_Lay_Prim,Materials!$1:$1,0))*SUM((INDEX(Main_Lay_Prim,2,0)/1000)*INDEX(Materials!$1:$2,2,MATCH(INDEX(Main_Lay_Prim,1,0),Materials!$1:$1,0)))*Main_Lay_dist_Prim*SUM(--(Delay_emissions_table[Works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L66" s="183" t="e" cm="1">
        <f t="array" aca="1" ref="L66" ca="1">(Main_lay_diesel_Prim*Diesel_density)*(SUM(--(Delay_emissions_table[Works Description - Primary Scenario]="Lay over")*Delay_emissions_table[Area of Works (m2) - Primary Scenario]*Delay_emissions_table[Environmental Discount (%)]))*INDEX(Indicators,MATCH(EPD_version&amp;"GWP",Materials!$D:$D,0),MATCH("Diesel Combustion",Materials!$1:$1,0))*Area_trans*Prim_Lays</f>
        <v>#DIV/0!</v>
      </c>
      <c r="M66" s="316" t="s">
        <v>240</v>
      </c>
      <c r="N66" s="316"/>
      <c r="O66" s="316"/>
      <c r="P66" s="316"/>
      <c r="Q66" s="316"/>
      <c r="R66" s="316"/>
      <c r="S66" s="316"/>
      <c r="T66" s="316"/>
      <c r="U66" s="316"/>
      <c r="V66" s="316"/>
      <c r="W66" s="316"/>
      <c r="X66" s="316"/>
      <c r="Y66" s="316"/>
      <c r="Z66" s="316"/>
      <c r="AA66" s="316"/>
      <c r="AB66" s="316"/>
      <c r="AC66" s="316"/>
      <c r="AD66" s="316"/>
      <c r="AE66" s="316"/>
      <c r="AF66" s="316"/>
      <c r="AG66" s="316"/>
      <c r="AH66" s="316"/>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row>
    <row r="67" spans="1:106" x14ac:dyDescent="0.35">
      <c r="B67" s="50"/>
      <c r="C67" s="50"/>
      <c r="D67" s="50"/>
      <c r="E67" s="50"/>
      <c r="F67" s="50"/>
      <c r="G67" s="50"/>
      <c r="H67" s="50"/>
      <c r="I67" s="50"/>
      <c r="J67" s="50"/>
      <c r="K67" s="50"/>
      <c r="L67" s="50"/>
      <c r="M67" s="50"/>
      <c r="N67" s="316"/>
      <c r="O67" s="316"/>
      <c r="P67" s="316"/>
      <c r="Q67" s="316"/>
      <c r="R67" s="316"/>
      <c r="S67" s="316"/>
      <c r="T67" s="316"/>
      <c r="U67" s="316"/>
      <c r="V67" s="316"/>
      <c r="W67" s="316"/>
      <c r="X67" s="316"/>
      <c r="Y67" s="316"/>
      <c r="Z67" s="316"/>
      <c r="AA67" s="316"/>
      <c r="AB67" s="316"/>
      <c r="AC67" s="316"/>
      <c r="AD67" s="316"/>
      <c r="AE67" s="316"/>
      <c r="AF67" s="316"/>
      <c r="AG67" s="316"/>
      <c r="AH67" s="316"/>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row>
    <row r="68" spans="1:106" x14ac:dyDescent="0.35">
      <c r="B68" s="50"/>
      <c r="C68" s="317" t="s">
        <v>258</v>
      </c>
      <c r="D68" s="50" t="s">
        <v>242</v>
      </c>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6"/>
      <c r="AG68" s="316"/>
      <c r="AH68" s="316"/>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row>
    <row r="69" spans="1:106" s="2" customFormat="1" ht="29" x14ac:dyDescent="0.35">
      <c r="A69" s="333"/>
      <c r="B69" s="333"/>
      <c r="C69" s="318"/>
      <c r="D69" s="319" t="s">
        <v>222</v>
      </c>
      <c r="E69" s="320" t="s">
        <v>223</v>
      </c>
      <c r="F69" s="320" t="s">
        <v>224</v>
      </c>
      <c r="G69" s="320" t="s">
        <v>225</v>
      </c>
      <c r="H69" s="321" t="s">
        <v>243</v>
      </c>
      <c r="I69" s="322" t="s">
        <v>244</v>
      </c>
      <c r="J69" s="322" t="s">
        <v>245</v>
      </c>
      <c r="K69" s="322" t="s">
        <v>246</v>
      </c>
      <c r="L69" s="321" t="s">
        <v>247</v>
      </c>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7"/>
      <c r="AJ69" s="587"/>
      <c r="AK69" s="587"/>
      <c r="AL69" s="587"/>
      <c r="AM69" s="587"/>
      <c r="AN69" s="587"/>
      <c r="AO69" s="587"/>
      <c r="AP69" s="587"/>
      <c r="AQ69" s="587"/>
      <c r="AR69" s="587"/>
      <c r="AS69" s="587"/>
      <c r="AT69" s="587"/>
      <c r="AU69" s="587"/>
      <c r="AV69" s="587"/>
      <c r="AW69" s="587"/>
      <c r="AX69" s="587"/>
      <c r="AY69" s="587"/>
      <c r="AZ69" s="587"/>
      <c r="BA69" s="587"/>
      <c r="BB69" s="587"/>
      <c r="BC69" s="587"/>
      <c r="BD69" s="587"/>
      <c r="BE69" s="587"/>
      <c r="BF69" s="587"/>
      <c r="BG69" s="587"/>
      <c r="BH69" s="587"/>
      <c r="BI69" s="587"/>
      <c r="BJ69" s="587"/>
      <c r="BK69" s="587"/>
      <c r="BL69" s="587"/>
      <c r="BM69" s="587"/>
      <c r="BN69" s="587"/>
      <c r="BO69" s="587"/>
      <c r="BP69" s="587"/>
      <c r="BQ69" s="587"/>
      <c r="BR69" s="587"/>
      <c r="BS69" s="587"/>
      <c r="BT69" s="587"/>
      <c r="BU69" s="587"/>
      <c r="BV69" s="587"/>
      <c r="BW69" s="587"/>
      <c r="BX69" s="587"/>
      <c r="BY69" s="587"/>
      <c r="BZ69" s="587"/>
      <c r="CA69" s="587"/>
      <c r="CB69" s="587"/>
      <c r="CC69" s="587"/>
      <c r="CD69" s="587"/>
      <c r="CE69" s="587"/>
      <c r="CF69" s="587"/>
      <c r="CG69" s="587"/>
      <c r="CH69" s="587"/>
      <c r="CI69" s="587"/>
      <c r="CJ69" s="587"/>
      <c r="CK69" s="587"/>
      <c r="CL69" s="587"/>
      <c r="CM69" s="587"/>
      <c r="CN69" s="587"/>
      <c r="CO69" s="587"/>
      <c r="CP69" s="587"/>
      <c r="CQ69" s="587"/>
      <c r="CR69" s="587"/>
      <c r="CS69" s="587"/>
      <c r="CT69" s="587"/>
      <c r="CU69" s="587"/>
      <c r="CV69" s="587"/>
      <c r="CW69" s="587"/>
      <c r="CX69" s="587"/>
      <c r="CY69" s="587"/>
      <c r="CZ69" s="587"/>
      <c r="DA69" s="587"/>
      <c r="DB69" s="587"/>
    </row>
    <row r="70" spans="1:106" x14ac:dyDescent="0.35">
      <c r="B70" s="50"/>
      <c r="C70" s="131" t="s">
        <v>248</v>
      </c>
      <c r="D70" s="323" cm="1">
        <f t="array" ref="D70:G70">(INDEX(Indicators,MATCH(EPD_version&amp;"GWP",Materials!$D:$D,0),MATCH(INDEX(Main_crack_Prim,1,0),Materials!$1:$1,0))*INDEX(Main_crack_Prim,2,0)/1000)*INDEX(Materials!$1:$2,2,MATCH(INDEX(Main_crack_Prim,1,0),Materials!$1:$1,0))</f>
        <v>0</v>
      </c>
      <c r="E70" s="324">
        <v>0</v>
      </c>
      <c r="F70" s="324">
        <v>0</v>
      </c>
      <c r="G70" s="324">
        <v>0</v>
      </c>
      <c r="H70" s="325" cm="1">
        <f t="array" ref="H70">SUM((INDEX(Main_crack_Prim,2,0)/1000)*INDEX(Materials!$1:$2,2,MATCH(INDEX(Main_crack_Prim,1,0),Materials!$1:$1,0)))</f>
        <v>0</v>
      </c>
      <c r="I70" s="324" cm="1">
        <f t="array" ref="I70">INDEX(Indicators,MATCH(EPD_version&amp;"GWP",Materials!$D:$D,0),MATCH(Main_truck_crack_Prim,Materials!$1:$1,0))*SUM((INDEX(Main_crack_Prim,2,0)/1000)*INDEX(Materials!$1:$2,2,MATCH(INDEX(Main_crack_Prim,1,0),Materials!$1:$1,0)))*Main_crack_dist_Prim</f>
        <v>0</v>
      </c>
      <c r="J70" s="324" t="e" cm="1">
        <f t="array" aca="1" ref="J70" ca="1">SUM((INDEX(Indicators,MATCH(EPD_version&amp;"GWP",Materials!$D:$D,0),MATCH(INDEX(Main_crack_Prim,1,0),Materials!$1:$1,0))*INDEX(Main_crack_Prim,2,0)/1000)*INDEX(Materials!$1:$2,2,MATCH(INDEX(Main_crack_Prim,1,0),Materials!$1:$1,0)))*SUM(--(Delay_emissions_table[Works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K70" s="324" t="e" cm="1">
        <f t="array" aca="1" ref="K70" ca="1">INDEX(Indicators,MATCH(EPD_version&amp;"GWP",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L70" s="325" t="e" cm="1">
        <f t="array" aca="1" ref="L70" ca="1">(Main_crack_diesel_Prim*Diesel_density)*(SUM(--(Delay_emissions_table[Works Description - Secondary Scenario]="Crack Sealing")*Delay_emissions_table[Area of Works (m2) - Secondary Scenario]*Delay_emissions_table[Environmental Discount (%)]))*INDEX(Indicators,MATCH(EPD_version&amp;"GWP",Materials!$D:$D,0),MATCH("Diesel Combustion",Materials!$1:$1,0))*Area_trans*Prim_Lays</f>
        <v>#DIV/0!</v>
      </c>
      <c r="M70" s="316" t="s">
        <v>228</v>
      </c>
      <c r="N70" s="316"/>
      <c r="O70" s="316"/>
      <c r="P70" s="316"/>
      <c r="Q70" s="316"/>
      <c r="R70" s="316"/>
      <c r="S70" s="316"/>
      <c r="T70" s="316"/>
      <c r="U70" s="316"/>
      <c r="V70" s="316"/>
      <c r="W70" s="316"/>
      <c r="X70" s="316"/>
      <c r="Y70" s="316"/>
      <c r="Z70" s="316"/>
      <c r="AA70" s="316"/>
      <c r="AB70" s="316"/>
      <c r="AC70" s="316"/>
      <c r="AD70" s="316"/>
      <c r="AE70" s="316"/>
      <c r="AF70" s="316"/>
      <c r="AG70" s="316"/>
      <c r="AH70" s="316"/>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row>
    <row r="71" spans="1:106" x14ac:dyDescent="0.35">
      <c r="B71" s="50"/>
      <c r="C71" s="131" t="s">
        <v>249</v>
      </c>
      <c r="D71" s="323" cm="1">
        <f t="array" ref="D71:G71">(INDEX(Indicators,MATCH(EPD_version&amp;"GWP",Materials!$D:$D,0),MATCH(INDEX(Main_Pothole_Prim,1,0),Materials!$1:$1,0))*INDEX(Main_Pothole_Prim,2,0)/1000)*INDEX(Materials!$1:$2,2,MATCH(INDEX(Main_Pothole_Prim,1,0),Materials!$1:$1,0))</f>
        <v>0</v>
      </c>
      <c r="E71" s="324">
        <v>0</v>
      </c>
      <c r="F71" s="324">
        <v>0</v>
      </c>
      <c r="G71" s="324">
        <v>0</v>
      </c>
      <c r="H71" s="325" cm="1">
        <f t="array" ref="H71">SUM((INDEX(Main_Pothole_Prim,2,0)/1000)*INDEX(Materials!$1:$2,2,MATCH(INDEX(Main_Pothole_Prim,1,0),Materials!$1:$1,0)))</f>
        <v>0</v>
      </c>
      <c r="I71" s="324" cm="1">
        <f t="array" ref="I71">INDEX(Indicators,MATCH(EPD_version&amp;"GWP",Materials!$D:$D,0),MATCH(Main_truck_pothole_prim,Materials!$1:$1,0))*SUM((INDEX(Main_Pothole_Prim,2,0)/1000)*INDEX(Materials!$1:$2,2,MATCH(INDEX(Main_Pothole_Prim,1,0),Materials!$1:$1,0)))*Main_Pothole_dist_Prim</f>
        <v>0</v>
      </c>
      <c r="J71" s="324" t="e" cm="1">
        <f t="array" aca="1" ref="J71" ca="1">SUM((INDEX(Indicators,MATCH(EPD_version&amp;"GWP",Materials!$D:$D,0),MATCH(INDEX(Main_Pothole_Prim,1,0),Materials!$1:$1,0))*INDEX(Main_Pothole_Prim,2,0)/1000)*INDEX(Materials!$1:$2,2,MATCH(INDEX(Main_Pothole_Prim,1,0),Materials!$1:$1,0)))*SUM(--(Delay_emissions_table[Works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K71" s="324" t="e" cm="1">
        <f t="array" aca="1" ref="K71" ca="1">INDEX(Indicators,MATCH(EPD_version&amp;"GWP",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L71" s="325" t="e" cm="1">
        <f t="array" aca="1" ref="L71" ca="1">(Main_pothole_diesel_Prim*Diesel_density)*(SUM(--(Delay_emissions_table[Works Description - Secondary Scenario]="Fill Cracks (Potholes)")*Delay_emissions_table[Area of Works (m2) - Secondary Scenario]*Delay_emissions_table[Environmental Discount (%)]))*INDEX(Indicators,MATCH(EPD_version&amp;"GWP",Materials!$D:$D,0),MATCH("Diesel Combustion",Materials!$1:$1,0))*Area_trans*Prim_Lays</f>
        <v>#DIV/0!</v>
      </c>
      <c r="M71" s="316" t="s">
        <v>231</v>
      </c>
      <c r="N71" s="316"/>
      <c r="O71" s="316"/>
      <c r="P71" s="316"/>
      <c r="Q71" s="316"/>
      <c r="R71" s="316"/>
      <c r="S71" s="316"/>
      <c r="T71" s="316"/>
      <c r="U71" s="316"/>
      <c r="V71" s="316"/>
      <c r="W71" s="316"/>
      <c r="X71" s="316"/>
      <c r="Y71" s="316"/>
      <c r="Z71" s="316"/>
      <c r="AA71" s="316"/>
      <c r="AB71" s="316"/>
      <c r="AC71" s="316"/>
      <c r="AD71" s="316"/>
      <c r="AE71" s="316"/>
      <c r="AF71" s="316"/>
      <c r="AG71" s="316"/>
      <c r="AH71" s="316"/>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row>
    <row r="72" spans="1:106" x14ac:dyDescent="0.35">
      <c r="B72" s="50"/>
      <c r="C72" s="131" t="s">
        <v>250</v>
      </c>
      <c r="D72" s="323" cm="1">
        <f t="array" ref="D72:G72">(INDEX(Indicators,MATCH(EPD_version&amp;"GWP",Materials!$D:$D,0),MATCH(INDEX(Main_Surface_Prim,1,0),Materials!$1:$1,0))*INDEX(Main_Surface_Prim,2,0)/1000)*INDEX(Materials!$1:$2,2,MATCH(INDEX(Main_Surface_Prim,1,0),Materials!$1:$1,0))</f>
        <v>0</v>
      </c>
      <c r="E72" s="324">
        <v>0</v>
      </c>
      <c r="F72" s="324">
        <v>0</v>
      </c>
      <c r="G72" s="324">
        <v>0</v>
      </c>
      <c r="H72" s="325" cm="1">
        <f t="array" ref="H72">SUM((INDEX(Main_Surface_Prim,2,0)/1000)*INDEX(Materials!$1:$2,2,MATCH(INDEX(Main_Surface_Prim,1,0),Materials!$1:$1,0)))</f>
        <v>0</v>
      </c>
      <c r="I72" s="324" cm="1">
        <f t="array" ref="I72">INDEX(Indicators,MATCH(EPD_version&amp;"GWP",Materials!$D:$D,0),MATCH(Main_truck_Surface_Prim,Materials!$1:$1,0))*SUM((INDEX(Main_Surface_Prim,2,0)/1000)*INDEX(Materials!$1:$2,2,MATCH(INDEX(Main_Surface_Prim,1,0),Materials!$1:$1,0)))*Main_Surface_dist_Prim</f>
        <v>0</v>
      </c>
      <c r="J72" s="324" t="e" cm="1">
        <f t="array" aca="1" ref="J72" ca="1">SUM((INDEX(Indicators,MATCH(EPD_version&amp;"GWP",Materials!$D:$D,0),MATCH(INDEX(Main_Surface_Prim,1,0),Materials!$1:$1,0))*INDEX(Main_Surface_Prim,2,0)/1000)*INDEX(Materials!$1:$2,2,MATCH(INDEX(Main_Surface_Prim,1,0),Materials!$1:$1,0)))*SUM(--(Delay_emissions_table[Works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K72" s="324" t="e" cm="1">
        <f t="array" aca="1" ref="K72" ca="1">INDEX(Indicators,MATCH(EPD_version&amp;"GWP",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L72" s="325" t="e" cm="1">
        <f t="array" aca="1" ref="L72" ca="1">(Main_Surface_diesel_Prim*Diesel_density)*(SUM(--(Delay_emissions_table[Works Description - Secondary Scenario]="Surface Defect Repair")*Delay_emissions_table[Area of Works (m2) - Secondary Scenario]*Delay_emissions_table[Environmental Discount (%)]))*INDEX(Indicators,MATCH(EPD_version&amp;"GWP",Materials!$D:$D,0),MATCH("Diesel Combustion",Materials!$1:$1,0))*Area_trans*Prim_Lays</f>
        <v>#DIV/0!</v>
      </c>
      <c r="M72" s="316" t="s">
        <v>232</v>
      </c>
      <c r="N72" s="316"/>
      <c r="O72" s="316"/>
      <c r="P72" s="316"/>
      <c r="Q72" s="316"/>
      <c r="R72" s="316"/>
      <c r="S72" s="316"/>
      <c r="T72" s="316"/>
      <c r="U72" s="316"/>
      <c r="V72" s="316"/>
      <c r="W72" s="316"/>
      <c r="X72" s="316"/>
      <c r="Y72" s="316"/>
      <c r="Z72" s="316"/>
      <c r="AA72" s="316"/>
      <c r="AB72" s="316"/>
      <c r="AC72" s="316"/>
      <c r="AD72" s="316"/>
      <c r="AE72" s="316"/>
      <c r="AF72" s="316"/>
      <c r="AG72" s="316"/>
      <c r="AH72" s="316"/>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row>
    <row r="73" spans="1:106" x14ac:dyDescent="0.35">
      <c r="B73" s="50"/>
      <c r="C73" s="131" t="s">
        <v>251</v>
      </c>
      <c r="D73" s="323" cm="1">
        <f t="array" ref="D73:G73">(INDEX(Indicators,MATCH(EPD_version&amp;"GWP",Materials!$D:$D,0),MATCH(INDEX(Main_Shoulder_Prim,1,0),Materials!$1:$1,0))*INDEX(Main_Shoulder_Prim,2,0)/1000)*INDEX(Materials!$1:$2,2,MATCH(INDEX(Main_Shoulder_Prim,1,0),Materials!$1:$1,0))</f>
        <v>0</v>
      </c>
      <c r="E73" s="324">
        <v>0</v>
      </c>
      <c r="F73" s="324">
        <v>0</v>
      </c>
      <c r="G73" s="324">
        <v>0</v>
      </c>
      <c r="H73" s="325" cm="1">
        <f t="array" ref="H73">SUM((INDEX(Main_Shoulder_Prim,2,0)/1000)*INDEX(Materials!$1:$2,2,MATCH(INDEX(Main_Shoulder_Prim,1,0),Materials!$1:$1,0)))</f>
        <v>0</v>
      </c>
      <c r="I73" s="324" cm="1">
        <f t="array" ref="I73">INDEX(Indicators,MATCH(EPD_version&amp;"GWP",Materials!$D:$D,0),MATCH(Main_truck_Shoulder_Prim,Materials!$1:$1,0))*SUM((INDEX(Main_Shoulder_Prim,2,0)/1000)*INDEX(Materials!$1:$2,2,MATCH(INDEX(Main_Shoulder_Prim,1,0),Materials!$1:$1,0)))*Main_Shoulder_dist_Prim</f>
        <v>0</v>
      </c>
      <c r="J73" s="324" t="e" cm="1">
        <f t="array" aca="1" ref="J73" ca="1">SUM((INDEX(Indicators,MATCH(EPD_version&amp;"GWP",Materials!$D:$D,0),MATCH(INDEX(Main_crack_Prim,1,0),Materials!$1:$1,0))*INDEX(Main_crack_Prim,2,0)/1000)*INDEX(Materials!$1:$2,2,MATCH(INDEX(Main_crack_Prim,1,0),Materials!$1:$1,0)))*SUM(--(Delay_emissions_table[Works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K73" s="324" t="e" cm="1">
        <f t="array" aca="1" ref="K73" ca="1">INDEX(Indicators,MATCH(EPD_version&amp;"GWP",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L73" s="325" t="e" cm="1">
        <f t="array" aca="1" ref="L73" ca="1">(Main_Shoulder_diesel_Prim*Diesel_density)*(SUM(--(Delay_emissions_table[Works Description - Secondary Scenario]="Shoulder Maintenance")*Delay_emissions_table[Area of Works (m2) - Secondary Scenario]*Delay_emissions_table[Environmental Discount (%)]))*INDEX(Indicators,MATCH(EPD_version&amp;"GWP",Materials!$D:$D,0),MATCH("Diesel Combustion",Materials!$1:$1,0))*Area_trans*Prim_Lays</f>
        <v>#DIV/0!</v>
      </c>
      <c r="M73" s="316" t="s">
        <v>233</v>
      </c>
      <c r="N73" s="316"/>
      <c r="O73" s="316"/>
      <c r="P73" s="316"/>
      <c r="Q73" s="316"/>
      <c r="R73" s="316"/>
      <c r="S73" s="316"/>
      <c r="T73" s="316"/>
      <c r="U73" s="316"/>
      <c r="V73" s="316"/>
      <c r="W73" s="316"/>
      <c r="X73" s="316"/>
      <c r="Y73" s="316"/>
      <c r="Z73" s="316"/>
      <c r="AA73" s="316"/>
      <c r="AB73" s="316"/>
      <c r="AC73" s="316"/>
      <c r="AD73" s="316"/>
      <c r="AE73" s="316"/>
      <c r="AF73" s="316"/>
      <c r="AG73" s="316"/>
      <c r="AH73" s="316"/>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row>
    <row r="74" spans="1:106" x14ac:dyDescent="0.35">
      <c r="B74" s="50"/>
      <c r="C74" s="131" t="s">
        <v>252</v>
      </c>
      <c r="D74" s="323" cm="1">
        <f t="array" ref="D74:G74">(INDEX(Indicators,MATCH(EPD_version&amp;"GWP",Materials!$D:$D,0),MATCH(INDEX(Main_Patch_Prim,1,0),Materials!$1:$1,0))*INDEX(Main_Patch_Prim,2,0)/1000)*INDEX(Materials!$1:$2,2,MATCH(INDEX(Main_Patch_Prim,1,0),Materials!$1:$1,0))</f>
        <v>0</v>
      </c>
      <c r="E74" s="324">
        <v>0</v>
      </c>
      <c r="F74" s="324">
        <v>0</v>
      </c>
      <c r="G74" s="324">
        <v>0</v>
      </c>
      <c r="H74" s="325" cm="1">
        <f t="array" ref="H74">SUM((INDEX(Main_Patch_Prim,2,0)/1000)*INDEX(Materials!$1:$2,2,MATCH(INDEX(Main_Patch_Prim,1,0),Materials!$1:$1,0)))</f>
        <v>0</v>
      </c>
      <c r="I74" s="324" cm="1">
        <f t="array" ref="I74">INDEX(Indicators,MATCH(EPD_version&amp;"GWP",Materials!$D:$D,0),MATCH(Main_truck_Patch_Prim,Materials!$1:$1,0))*SUM((INDEX(Main_Patch_Prim,2,0)/1000)*INDEX(Materials!$1:$2,2,MATCH(INDEX(Main_Patch_Prim,1,0),Materials!$1:$1,0)))*Main_Patch_dist_Prim</f>
        <v>0</v>
      </c>
      <c r="J74" s="324" t="e" cm="1">
        <f t="array" aca="1" ref="J74" ca="1">SUM((INDEX(Indicators,MATCH(EPD_version&amp;"GWP",Materials!$D:$D,0),MATCH(INDEX(Main_Patch_Prim,1,0),Materials!$1:$1,0))*INDEX(Main_Patch_Prim,2,0)/1000)*INDEX(Materials!$1:$2,2,MATCH(INDEX(Main_Patch_Prim,1,0),Materials!$1:$1,0)))*SUM(--(Delay_emissions_table[Works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K74" s="324" t="e" cm="1">
        <f t="array" aca="1" ref="K74" ca="1">INDEX(Indicators,MATCH(EPD_version&amp;"GWP",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L74" s="325" t="e" cm="1">
        <f t="array" aca="1" ref="L74" ca="1">(Main_patch_diesel_Prim*Diesel_density)*(SUM(--(Delay_emissions_table[Works Description - Secondary Scenario]="Patch Stabilisation")*Delay_emissions_table[Area of Works (m2) - Secondary Scenario]*Delay_emissions_table[Environmental Discount (%)]))*INDEX(Indicators,MATCH(EPD_version&amp;"GWP",Materials!$D:$D,0),MATCH("Diesel Combustion",Materials!$1:$1,0))*Area_trans*Prim_Lays</f>
        <v>#DIV/0!</v>
      </c>
      <c r="M74" s="316" t="s">
        <v>234</v>
      </c>
      <c r="N74" s="316"/>
      <c r="O74" s="316"/>
      <c r="P74" s="316"/>
      <c r="Q74" s="316"/>
      <c r="R74" s="316"/>
      <c r="S74" s="316"/>
      <c r="T74" s="316"/>
      <c r="U74" s="316"/>
      <c r="V74" s="316"/>
      <c r="W74" s="316"/>
      <c r="X74" s="316"/>
      <c r="Y74" s="316"/>
      <c r="Z74" s="316"/>
      <c r="AA74" s="316"/>
      <c r="AB74" s="316"/>
      <c r="AC74" s="316"/>
      <c r="AD74" s="316"/>
      <c r="AE74" s="316"/>
      <c r="AF74" s="316"/>
      <c r="AG74" s="316"/>
      <c r="AH74" s="316"/>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row>
    <row r="75" spans="1:106" x14ac:dyDescent="0.35">
      <c r="B75" s="50"/>
      <c r="C75" s="131" t="s">
        <v>253</v>
      </c>
      <c r="D75" s="323" cm="1">
        <f t="array" ref="D75:G75">(INDEX(Indicators,MATCH(EPD_version&amp;"GWP",Materials!$D:$D,0),MATCH(INDEX(Main_Mill_Prim,1,0),Materials!$1:$1,0))*INDEX(Main_Mill_Prim,2,0)/1000)*INDEX(Materials!$1:$2,2,MATCH(INDEX(Main_Mill_Prim,1,0),Materials!$1:$1,0))</f>
        <v>0</v>
      </c>
      <c r="E75" s="324">
        <v>0</v>
      </c>
      <c r="F75" s="324">
        <v>0</v>
      </c>
      <c r="G75" s="324">
        <v>0</v>
      </c>
      <c r="H75" s="325" cm="1">
        <f t="array" ref="H75">SUM((INDEX(Main_Mill_Prim,2,0)/1000)*INDEX(Materials!$1:$2,2,MATCH(INDEX(Main_Mill_Prim,1,0),Materials!$1:$1,0)))</f>
        <v>0</v>
      </c>
      <c r="I75" s="324" cm="1">
        <f t="array" ref="I75">INDEX(Indicators,MATCH(EPD_version&amp;"GWP",Materials!$D:$D,0),MATCH(Main_truck_Mill_Prim,Materials!$1:$1,0))*SUM((INDEX(Main_Mill_Prim,2,0)/1000)*INDEX(Materials!$1:$2,2,MATCH(INDEX(Main_Mill_Prim,1,0),Materials!$1:$1,0)))*Main_Mill_dist_Prim</f>
        <v>0</v>
      </c>
      <c r="J75" s="324" t="e" cm="1">
        <f t="array" aca="1" ref="J75" ca="1">SUM((INDEX(Indicators,MATCH(EPD_version&amp;"GWP",Materials!$D:$D,0),MATCH(INDEX(Main_Mill_Prim,1,0),Materials!$1:$1,0))*INDEX(Main_Mill_Prim,2,0)/1000)*INDEX(Materials!$1:$2,2,MATCH(INDEX(Main_Mill_Prim,1,0),Materials!$1:$1,0)))*SUM(--(Delay_emissions_table[Works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K75" s="324" t="e" cm="1">
        <f t="array" aca="1" ref="K75" ca="1">INDEX(Indicators,MATCH(EPD_version&amp;"GWP",Materials!$D:$D,0),MATCH(Main_truck_Mill_Prim,Materials!$1:$1,0))*SUM((INDEX(Main_Mill_Prim,2,0)/1000)*INDEX(Materials!$1:$2,2,MATCH(INDEX(Main_Mill_Prim,1,0),Materials!$1:$1,0)))*Main_Mill_dist_Prim*SUM(--(Delay_emissions_table[Works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L75" s="325" t="e" cm="1">
        <f t="array" aca="1" ref="L75" ca="1">(Main_Mill_diesel_Prim*Diesel_density)*(SUM(--(Delay_emissions_table[Works Description - Secondary Scenario]="Mill and Fill")*Delay_emissions_table[Area of Works (m2) - Secondary Scenario]*Delay_emissions_table[Environmental Discount (%)]))*INDEX(Indicators,MATCH(EPD_version&amp;"GWP",Materials!$D:$D,0),MATCH("Diesel Combustion",Materials!$1:$1,0))*Area_trans*Prim_Lays</f>
        <v>#DIV/0!</v>
      </c>
      <c r="M75" s="316" t="s">
        <v>235</v>
      </c>
      <c r="N75" s="316"/>
      <c r="O75" s="316"/>
      <c r="P75" s="316"/>
      <c r="Q75" s="316"/>
      <c r="R75" s="316"/>
      <c r="S75" s="316"/>
      <c r="T75" s="316"/>
      <c r="U75" s="316"/>
      <c r="V75" s="316"/>
      <c r="W75" s="316"/>
      <c r="X75" s="316"/>
      <c r="Y75" s="316"/>
      <c r="Z75" s="316"/>
      <c r="AA75" s="316"/>
      <c r="AB75" s="316"/>
      <c r="AC75" s="316"/>
      <c r="AD75" s="316"/>
      <c r="AE75" s="316"/>
      <c r="AF75" s="316"/>
      <c r="AG75" s="316"/>
      <c r="AH75" s="316"/>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row>
    <row r="76" spans="1:106" x14ac:dyDescent="0.35">
      <c r="B76" s="50"/>
      <c r="C76" s="131" t="s">
        <v>254</v>
      </c>
      <c r="D76" s="323" cm="1">
        <f t="array" ref="D76:G76">(INDEX(Indicators,MATCH(EPD_version&amp;"GWP",Materials!$D:$D,0),MATCH(INDEX(Main_Rip_Prim,1,0),Materials!$1:$1,0))*INDEX(Main_Rip_Prim,2,0)/1000)*INDEX(Materials!$1:$2,2,MATCH(INDEX(Main_Rip_Prim,1,0),Materials!$1:$1,0))</f>
        <v>0</v>
      </c>
      <c r="E76" s="324">
        <v>0</v>
      </c>
      <c r="F76" s="324">
        <v>0</v>
      </c>
      <c r="G76" s="324">
        <v>0</v>
      </c>
      <c r="H76" s="325" cm="1">
        <f t="array" ref="H76">SUM((INDEX(Main_Rip_Prim,2,0)/1000)*INDEX(Materials!$1:$2,2,MATCH(INDEX(Main_Rip_Prim,1,0),Materials!$1:$1,0)))</f>
        <v>0</v>
      </c>
      <c r="I76" s="324" cm="1">
        <f t="array" ref="I76">INDEX(Indicators,MATCH(EPD_version&amp;"GWP",Materials!$D:$D,0),MATCH(Main_truck_Rip_Prim,Materials!$1:$1,0))*SUM((INDEX(Main_Rip_Prim,2,0)/1000)*INDEX(Materials!$1:$2,2,MATCH(INDEX(Main_Rip_Prim,1,0),Materials!$1:$1,0)))*Main_Rip_dist_Prim</f>
        <v>0</v>
      </c>
      <c r="J76" s="324" t="e" cm="1">
        <f t="array" aca="1" ref="J76" ca="1">SUM((INDEX(Indicators,MATCH(EPD_version&amp;"GWP",Materials!$D:$D,0),MATCH(INDEX(Main_Rip_Prim,1,0),Materials!$1:$1,0))*INDEX(Main_Rip_Prim,2,0)/1000)*INDEX(Materials!$1:$2,2,MATCH(INDEX(Main_Rip_Prim,1,0),Materials!$1:$1,0)))*SUM(--(Delay_emissions_table[Works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K76" s="324" t="e" cm="1">
        <f t="array" aca="1" ref="K76" ca="1">INDEX(Indicators,MATCH(EPD_version&amp;"GWP",Materials!$D:$D,0),MATCH(Main_truck_Rip_Prim,Materials!$1:$1,0))*SUM((INDEX(Main_Rip_Prim,2,0)/1000)*INDEX(Materials!$1:$2,2,MATCH(INDEX(Main_Rip_Prim,1,0),Materials!$1:$1,0)))*Main_Rip_dist_Prim*SUM(--(Delay_emissions_table[Works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L76" s="325" t="e" cm="1">
        <f t="array" aca="1" ref="L76" ca="1">(Main_Rip_diesel_Prim*Diesel_density)*(SUM(--(Delay_emissions_table[Works Description - Secondary Scenario]="Rip and Remake")*Delay_emissions_table[Area of Works (m2) - Secondary Scenario]*Delay_emissions_table[Environmental Discount (%)]))*INDEX(Indicators,MATCH(EPD_version&amp;"GWP",Materials!$D:$D,0),MATCH("Diesel Combustion",Materials!$1:$1,0))*Area_trans*Prim_Lays</f>
        <v>#DIV/0!</v>
      </c>
      <c r="M76" s="316" t="s">
        <v>236</v>
      </c>
      <c r="N76" s="316"/>
      <c r="O76" s="316"/>
      <c r="P76" s="316"/>
      <c r="Q76" s="316"/>
      <c r="R76" s="316"/>
      <c r="S76" s="316"/>
      <c r="T76" s="316"/>
      <c r="U76" s="316"/>
      <c r="V76" s="316"/>
      <c r="W76" s="316"/>
      <c r="X76" s="316"/>
      <c r="Y76" s="316"/>
      <c r="Z76" s="316"/>
      <c r="AA76" s="316"/>
      <c r="AB76" s="316"/>
      <c r="AC76" s="316"/>
      <c r="AD76" s="316"/>
      <c r="AE76" s="316"/>
      <c r="AF76" s="316"/>
      <c r="AG76" s="316"/>
      <c r="AH76" s="316"/>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row>
    <row r="77" spans="1:106" x14ac:dyDescent="0.35">
      <c r="C77" s="11" t="s">
        <v>255</v>
      </c>
      <c r="D77" s="324" cm="1">
        <f t="array" ref="D77:G77">(INDEX(Indicators,MATCH(EPD_version&amp;"GWP",Materials!$D:$D,0),MATCH(INDEX(Main_Dig_Sec,1,0),Materials!$1:$1,0))*INDEX(Main_Dig_Sec,2,0)/1000)*INDEX(Materials!$1:$2,2,MATCH(INDEX(Main_Dig_Sec,1,0),Materials!$1:$1,0))</f>
        <v>0</v>
      </c>
      <c r="E77" s="324">
        <v>0</v>
      </c>
      <c r="F77" s="324">
        <v>0</v>
      </c>
      <c r="G77" s="324">
        <v>0</v>
      </c>
      <c r="H77" s="325" cm="1">
        <f t="array" ref="H77">SUM((INDEX(Main_Dig_Sec,2,0)/1000)*INDEX(Materials!$1:$2,2,MATCH(INDEX(Main_Dig_Sec,1,0),Materials!$1:$1,0)))</f>
        <v>0</v>
      </c>
      <c r="I77" s="324" cm="1">
        <f t="array" ref="I77">(INDEX(Indicators,MATCH(EPD_version&amp;"GWP",Materials!$D:$D,0),MATCH(Main_Truck_Dig_Sec,Materials!$1:$1,0))*SUM((INDEX(Main_Dig_Sec,2,0)/1000)*INDEX(Materials!$1:$2,2,MATCH(INDEX(Main_Dig_Sec,1,0),Materials!$1:$1,0)))*Main_Dig_dist_Sec)</f>
        <v>0</v>
      </c>
      <c r="J77" s="324" t="e" cm="1">
        <f t="array" aca="1" ref="J77" ca="1">(SUM((INDEX(Indicators,MATCH(EPD_version&amp;"GWP",Materials!$D:$D,0),MATCH(INDEX(Main_Dig_Prim,1,0),Materials!$1:$1,0))*INDEX(Main_Dig_Prim,2,0)/1000)*INDEX(Materials!$1:$2,2,MATCH(INDEX(Main_Dig_Prim,1,0),Materials!$1:$1,0)))*SUM(--(Delay_emissions_table[Works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K77" s="324" t="e" cm="1">
        <f t="array" aca="1" ref="K77" ca="1">(INDEX(Indicators,MATCH(EPD_version&amp;"GWP",Materials!$D:$D,0),MATCH(Main_truck_Dig_Prim,Materials!$1:$1,0))*SUM((INDEX(Main_Dig_Prim,2,0)/1000)*INDEX(Materials!$1:$2,2,MATCH(INDEX(Main_Dig_Prim,1,0),Materials!$1:$1,0)))*Main_Dig_dist_Prim*SUM(--(Delay_emissions_table[Works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L77" s="325" t="e" cm="1">
        <f t="array" aca="1" ref="L77" ca="1">(Main_dig_diesel_Prim*Diesel_density)*(SUM(--(Delay_emissions_table[Works Description - Secondary Scenario]="Dig Out")*Delay_emissions_table[Area of Works (m2) - Secondary Scenario]*Delay_emissions_table[Environmental Discount (%)]))*INDEX(Indicators,MATCH(EPD_version&amp;"GWP",Materials!$D:$D,0),MATCH("Diesel Combustion",Materials!$1:$1,0))*Area_trans*Prim_Lays</f>
        <v>#DIV/0!</v>
      </c>
      <c r="M77" s="25" t="s">
        <v>256</v>
      </c>
      <c r="N77" s="316"/>
      <c r="O77" s="316"/>
      <c r="P77" s="316"/>
      <c r="Q77" s="316"/>
      <c r="R77" s="316"/>
      <c r="S77" s="316"/>
      <c r="T77" s="316"/>
      <c r="U77" s="316"/>
      <c r="V77" s="316"/>
      <c r="W77" s="316"/>
      <c r="X77" s="316"/>
      <c r="Y77" s="316"/>
      <c r="Z77" s="316"/>
      <c r="AA77" s="316"/>
      <c r="AB77" s="316"/>
      <c r="AC77" s="316"/>
      <c r="AD77" s="316"/>
      <c r="AE77" s="316"/>
      <c r="AF77" s="316"/>
      <c r="AG77" s="316"/>
      <c r="AH77" s="316"/>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row>
    <row r="78" spans="1:106" x14ac:dyDescent="0.35">
      <c r="B78" s="50"/>
      <c r="C78" s="327" t="s">
        <v>257</v>
      </c>
      <c r="D78" s="328" cm="1">
        <f t="array" ref="D78:G78">(INDEX(Indicators,MATCH(EPD_version&amp;"GWP",Materials!$D:$D,0),MATCH(INDEX(Main_Lay_Prim,1,0),Materials!$1:$1,0))*INDEX(Main_Lay_Prim,2,0)/1000)*INDEX(Materials!$1:$2,2,MATCH(INDEX(Main_Lay_Prim,1,0),Materials!$1:$1,0))</f>
        <v>0</v>
      </c>
      <c r="E78" s="329">
        <v>0</v>
      </c>
      <c r="F78" s="329">
        <v>0</v>
      </c>
      <c r="G78" s="329">
        <v>0</v>
      </c>
      <c r="H78" s="330" cm="1">
        <f t="array" ref="H78">SUM((INDEX(Main_Lay_Prim,2,0)/1000)*INDEX(Materials!$1:$2,2,MATCH(INDEX(Main_Lay_Prim,1,0),Materials!$1:$1,0)))</f>
        <v>0</v>
      </c>
      <c r="I78" s="329" cm="1">
        <f t="array" ref="I78">INDEX(Indicators,MATCH(EPD_version&amp;"GWP",Materials!$D:$D,0),MATCH(Main_truck_Lay_Prim,Materials!$1:$1,0))*SUM((INDEX(Main_Lay_Prim,2,0)/1000)*INDEX(Materials!$1:$2,2,MATCH(INDEX(Main_Lay_Prim,1,0),Materials!$1:$1,0)))*Main_Lay_dist_Prim</f>
        <v>0</v>
      </c>
      <c r="J78" s="329" t="e" cm="1">
        <f t="array" aca="1" ref="J78" ca="1">SUM((INDEX(Indicators,MATCH(EPD_version&amp;"GWP",Materials!$D:$D,0),MATCH(INDEX(Main_Lay_Prim,1,0),Materials!$1:$1,0))*INDEX(Main_Lay_Prim,2,0)/1000)*INDEX(Materials!$1:$2,2,MATCH(INDEX(Main_Lay_Prim,1,0),Materials!$1:$1,0)))*SUM(--(Delay_emissions_table[Works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K78" s="329" t="e" cm="1">
        <f t="array" aca="1" ref="K78" ca="1">INDEX(Indicators,MATCH(EPD_version&amp;"GWP",Materials!$D:$D,0),MATCH(Main_truck_Lay_Prim,Materials!$1:$1,0))*SUM((INDEX(Main_Lay_Prim,2,0)/1000)*INDEX(Materials!$1:$2,2,MATCH(INDEX(Main_Lay_Prim,1,0),Materials!$1:$1,0)))*Main_Lay_dist_Prim*SUM(--(Delay_emissions_table[Works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L78" s="330" t="e" cm="1">
        <f t="array" aca="1" ref="L78" ca="1">(Main_lay_diesel_Prim*Diesel_density)*(SUM(--(Delay_emissions_table[Works Description - Secondary Scenario]="Lay over")*Delay_emissions_table[Area of Works (m2) - Secondary Scenario]*Delay_emissions_table[Environmental Discount (%)]))*INDEX(Indicators,MATCH(EPD_version&amp;"GWP",Materials!$D:$D,0),MATCH("Diesel Combustion",Materials!$1:$1,0))*Area_trans*Prim_Lays</f>
        <v>#DIV/0!</v>
      </c>
      <c r="M78" s="316" t="s">
        <v>240</v>
      </c>
      <c r="N78" s="316"/>
      <c r="O78" s="316"/>
      <c r="P78" s="316"/>
      <c r="Q78" s="316"/>
      <c r="R78" s="316"/>
      <c r="S78" s="316"/>
      <c r="T78" s="316"/>
      <c r="U78" s="316"/>
      <c r="V78" s="316"/>
      <c r="W78" s="316"/>
      <c r="X78" s="316"/>
      <c r="Y78" s="316"/>
      <c r="Z78" s="316"/>
      <c r="AA78" s="316"/>
      <c r="AB78" s="316"/>
      <c r="AC78" s="316"/>
      <c r="AD78" s="316"/>
      <c r="AE78" s="316"/>
      <c r="AF78" s="316"/>
      <c r="AG78" s="316"/>
      <c r="AH78" s="316"/>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row>
    <row r="79" spans="1:106" x14ac:dyDescent="0.35">
      <c r="B79" s="50"/>
      <c r="C79" s="50"/>
      <c r="D79" s="50"/>
      <c r="E79" s="50"/>
      <c r="F79" s="50"/>
      <c r="G79" s="50"/>
      <c r="H79" s="50"/>
      <c r="I79" s="50"/>
      <c r="J79" s="50"/>
      <c r="K79" s="316"/>
      <c r="L79" s="316"/>
      <c r="M79" s="316"/>
      <c r="N79" s="316"/>
      <c r="O79" s="316"/>
      <c r="P79" s="316"/>
      <c r="Q79" s="316"/>
      <c r="R79" s="316"/>
      <c r="S79" s="316"/>
      <c r="T79" s="316"/>
      <c r="U79" s="316"/>
      <c r="V79" s="316"/>
      <c r="W79" s="316"/>
      <c r="X79" s="316"/>
      <c r="Y79" s="316"/>
      <c r="Z79" s="316"/>
      <c r="AA79" s="316"/>
      <c r="AB79" s="316"/>
      <c r="AC79" s="316"/>
      <c r="AD79" s="316"/>
      <c r="AE79" s="316"/>
      <c r="AF79" s="316"/>
      <c r="AG79" s="316"/>
      <c r="AH79" s="316"/>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row>
    <row r="80" spans="1:106" x14ac:dyDescent="0.35">
      <c r="B80" s="50"/>
      <c r="C80" s="317" t="s">
        <v>259</v>
      </c>
      <c r="D80" s="50" t="s">
        <v>242</v>
      </c>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316"/>
      <c r="AE80" s="316"/>
      <c r="AF80" s="316"/>
      <c r="AG80" s="316"/>
      <c r="AH80" s="316"/>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row>
    <row r="81" spans="1:106" s="2" customFormat="1" ht="29" x14ac:dyDescent="0.35">
      <c r="A81" s="333"/>
      <c r="B81" s="333"/>
      <c r="C81" s="318"/>
      <c r="D81" s="319" t="s">
        <v>222</v>
      </c>
      <c r="E81" s="320" t="s">
        <v>223</v>
      </c>
      <c r="F81" s="320" t="s">
        <v>224</v>
      </c>
      <c r="G81" s="320" t="s">
        <v>225</v>
      </c>
      <c r="H81" s="321" t="s">
        <v>243</v>
      </c>
      <c r="I81" s="322" t="s">
        <v>244</v>
      </c>
      <c r="J81" s="322" t="s">
        <v>245</v>
      </c>
      <c r="K81" s="322" t="s">
        <v>246</v>
      </c>
      <c r="L81" s="321" t="s">
        <v>247</v>
      </c>
      <c r="M81" s="586"/>
      <c r="N81" s="586"/>
      <c r="O81" s="586"/>
      <c r="P81" s="586"/>
      <c r="Q81" s="586"/>
      <c r="R81" s="586"/>
      <c r="S81" s="586"/>
      <c r="T81" s="586"/>
      <c r="U81" s="586"/>
      <c r="V81" s="586"/>
      <c r="W81" s="586"/>
      <c r="X81" s="586"/>
      <c r="Y81" s="586"/>
      <c r="Z81" s="586"/>
      <c r="AA81" s="586"/>
      <c r="AB81" s="586"/>
      <c r="AC81" s="586"/>
      <c r="AD81" s="586"/>
      <c r="AE81" s="586"/>
      <c r="AF81" s="586"/>
      <c r="AG81" s="586"/>
      <c r="AH81" s="586"/>
      <c r="AJ81" s="587"/>
      <c r="AK81" s="587"/>
      <c r="AL81" s="587"/>
      <c r="AM81" s="587"/>
      <c r="AN81" s="587"/>
      <c r="AO81" s="587"/>
      <c r="AP81" s="587"/>
      <c r="AQ81" s="587"/>
      <c r="AR81" s="587"/>
      <c r="AS81" s="587"/>
      <c r="AT81" s="587"/>
      <c r="AU81" s="587"/>
      <c r="AV81" s="587"/>
      <c r="AW81" s="587"/>
      <c r="AX81" s="587"/>
      <c r="AY81" s="587"/>
      <c r="AZ81" s="587"/>
      <c r="BA81" s="587"/>
      <c r="BB81" s="587"/>
      <c r="BC81" s="587"/>
      <c r="BD81" s="587"/>
      <c r="BE81" s="587"/>
      <c r="BF81" s="587"/>
      <c r="BG81" s="587"/>
      <c r="BH81" s="587"/>
      <c r="BI81" s="587"/>
      <c r="BJ81" s="587"/>
      <c r="BK81" s="587"/>
      <c r="BL81" s="587"/>
      <c r="BM81" s="587"/>
      <c r="BN81" s="587"/>
      <c r="BO81" s="587"/>
      <c r="BP81" s="587"/>
      <c r="BQ81" s="587"/>
      <c r="BR81" s="587"/>
      <c r="BS81" s="587"/>
      <c r="BT81" s="587"/>
      <c r="BU81" s="587"/>
      <c r="BV81" s="587"/>
      <c r="BW81" s="587"/>
      <c r="BX81" s="587"/>
      <c r="BY81" s="587"/>
      <c r="BZ81" s="587"/>
      <c r="CA81" s="587"/>
      <c r="CB81" s="587"/>
      <c r="CC81" s="587"/>
      <c r="CD81" s="587"/>
      <c r="CE81" s="587"/>
      <c r="CF81" s="587"/>
      <c r="CG81" s="587"/>
      <c r="CH81" s="587"/>
      <c r="CI81" s="587"/>
      <c r="CJ81" s="587"/>
      <c r="CK81" s="587"/>
      <c r="CL81" s="587"/>
      <c r="CM81" s="587"/>
      <c r="CN81" s="587"/>
      <c r="CO81" s="587"/>
      <c r="CP81" s="587"/>
      <c r="CQ81" s="587"/>
      <c r="CR81" s="587"/>
      <c r="CS81" s="587"/>
      <c r="CT81" s="587"/>
      <c r="CU81" s="587"/>
      <c r="CV81" s="587"/>
      <c r="CW81" s="587"/>
      <c r="CX81" s="587"/>
      <c r="CY81" s="587"/>
      <c r="CZ81" s="587"/>
      <c r="DA81" s="587"/>
      <c r="DB81" s="587"/>
    </row>
    <row r="82" spans="1:106" x14ac:dyDescent="0.35">
      <c r="B82" s="50"/>
      <c r="C82" s="131" t="s">
        <v>248</v>
      </c>
      <c r="D82" s="323" cm="1">
        <f t="array" ref="D82:G82">(INDEX(Indicators,MATCH(EPD_version&amp;"GWP",Materials!$D:$D,0),MATCH(INDEX(Main_crack_Prim,1,0),Materials!$1:$1,0))*INDEX(Main_crack_Prim,2,0)/1000)*INDEX(Materials!$1:$2,2,MATCH(INDEX(Main_crack_Prim,1,0),Materials!$1:$1,0))</f>
        <v>0</v>
      </c>
      <c r="E82" s="324">
        <v>0</v>
      </c>
      <c r="F82" s="324">
        <v>0</v>
      </c>
      <c r="G82" s="324">
        <v>0</v>
      </c>
      <c r="H82" s="325" cm="1">
        <f t="array" ref="H82">SUM((INDEX(Main_crack_Prim,2,0)/1000)*INDEX(Materials!$1:$2,2,MATCH(INDEX(Main_crack_Prim,1,0),Materials!$1:$1,0)))</f>
        <v>0</v>
      </c>
      <c r="I82" s="50" cm="1">
        <f t="array" ref="I82">INDEX(Indicators,MATCH(EPD_version&amp;"GWP",Materials!$D:$D,0),MATCH(Main_truck_crack_Prim,Materials!$1:$1,0))*SUM((INDEX(Main_crack_Prim,2,0)/1000)*INDEX(Materials!$1:$2,2,MATCH(INDEX(Main_crack_Prim,1,0),Materials!$1:$1,0)))*Main_crack_dist_Prim</f>
        <v>0</v>
      </c>
      <c r="J82" s="326" t="e" cm="1">
        <f t="array" aca="1" ref="J82" ca="1">SUM((INDEX(Indicators,MATCH(EPD_version&amp;"GWP",Materials!$D:$D,0),MATCH(INDEX(Main_crack_Prim,1,0),Materials!$1:$1,0))*INDEX(Main_crack_Prim,2,0)/1000)*INDEX(Materials!$1:$2,2,MATCH(INDEX(Main_crack_Prim,1,0),Materials!$1:$1,0)))*SUM(--(Delay_emissions_table[Works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K82" s="326" t="e" cm="1">
        <f t="array" aca="1" ref="K82" ca="1">INDEX(Indicators,MATCH(EPD_version&amp;"GWP",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L82" s="129" t="e" cm="1">
        <f t="array" aca="1" ref="L82" ca="1">(Main_crack_diesel_Prim*Diesel_density)*(SUM(--(Delay_emissions_table[Works Description - Tertiary Scenario]="Crack Sealing")*Delay_emissions_table[Area of Works (m2) - Tertiary Scenario]*Delay_emissions_table[Environmental Discount (%)]))*INDEX(Indicators,MATCH(EPD_version&amp;"GWP",Materials!$D:$D,0),MATCH("Diesel Combustion",Materials!$1:$1,0))*Area_trans*Prim_Lays</f>
        <v>#DIV/0!</v>
      </c>
      <c r="M82" s="316" t="s">
        <v>228</v>
      </c>
      <c r="N82" s="316"/>
      <c r="O82" s="316"/>
      <c r="P82" s="316"/>
      <c r="Q82" s="316"/>
      <c r="R82" s="316"/>
      <c r="S82" s="316"/>
      <c r="T82" s="316"/>
      <c r="U82" s="316"/>
      <c r="V82" s="316"/>
      <c r="W82" s="316"/>
      <c r="X82" s="316"/>
      <c r="Y82" s="316"/>
      <c r="Z82" s="316"/>
      <c r="AA82" s="316"/>
      <c r="AB82" s="316"/>
      <c r="AC82" s="316"/>
      <c r="AD82" s="316"/>
      <c r="AE82" s="316"/>
      <c r="AF82" s="316"/>
      <c r="AG82" s="316"/>
      <c r="AH82" s="316"/>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row>
    <row r="83" spans="1:106" x14ac:dyDescent="0.35">
      <c r="B83" s="50"/>
      <c r="C83" s="131" t="s">
        <v>249</v>
      </c>
      <c r="D83" s="323" cm="1">
        <f t="array" ref="D83:G83">(INDEX(Indicators,MATCH(EPD_version&amp;"GWP",Materials!$D:$D,0),MATCH(INDEX(Main_Pothole_Prim,1,0),Materials!$1:$1,0))*INDEX(Main_Pothole_Prim,2,0)/1000)*INDEX(Materials!$1:$2,2,MATCH(INDEX(Main_Pothole_Prim,1,0),Materials!$1:$1,0))</f>
        <v>0</v>
      </c>
      <c r="E83" s="324">
        <v>0</v>
      </c>
      <c r="F83" s="324">
        <v>0</v>
      </c>
      <c r="G83" s="324">
        <v>0</v>
      </c>
      <c r="H83" s="325" cm="1">
        <f t="array" ref="H83">SUM((INDEX(Main_Pothole_Prim,2,0)/1000)*INDEX(Materials!$1:$2,2,MATCH(INDEX(Main_Pothole_Prim,1,0),Materials!$1:$1,0)))</f>
        <v>0</v>
      </c>
      <c r="I83" s="50" cm="1">
        <f t="array" ref="I83">INDEX(Indicators,MATCH(EPD_version&amp;"GWP",Materials!$D:$D,0),MATCH(Main_truck_pothole_prim,Materials!$1:$1,0))*SUM((INDEX(Main_Pothole_Prim,2,0)/1000)*INDEX(Materials!$1:$2,2,MATCH(INDEX(Main_Pothole_Prim,1,0),Materials!$1:$1,0)))*Main_Pothole_dist_Prim</f>
        <v>0</v>
      </c>
      <c r="J83" s="326" t="e" cm="1">
        <f t="array" aca="1" ref="J83" ca="1">SUM((INDEX(Indicators,MATCH(EPD_version&amp;"GWP",Materials!$D:$D,0),MATCH(INDEX(Main_Pothole_Prim,1,0),Materials!$1:$1,0))*INDEX(Main_Pothole_Prim,2,0)/1000)*INDEX(Materials!$1:$2,2,MATCH(INDEX(Main_Pothole_Prim,1,0),Materials!$1:$1,0)))*SUM(--(Delay_emissions_table[Works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K83" s="326" t="e" cm="1">
        <f t="array" aca="1" ref="K83" ca="1">INDEX(Indicators,MATCH(EPD_version&amp;"GWP",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L83" s="129" t="e" cm="1">
        <f t="array" aca="1" ref="L83" ca="1">(Main_pothole_diesel_Prim*Diesel_density)*(SUM(--(Delay_emissions_table[Works Description - Tertiary Scenario]="Fill Cracks (Potholes)")*Delay_emissions_table[Area of Works (m2) - Tertiary Scenario]*Delay_emissions_table[Environmental Discount (%)]))*INDEX(Indicators,MATCH(EPD_version&amp;"GWP",Materials!$D:$D,0),MATCH("Diesel Combustion",Materials!$1:$1,0))*Area_trans*Prim_Lays</f>
        <v>#DIV/0!</v>
      </c>
      <c r="M83" s="316" t="s">
        <v>231</v>
      </c>
      <c r="N83" s="316"/>
      <c r="O83" s="316"/>
      <c r="P83" s="316"/>
      <c r="Q83" s="316"/>
      <c r="R83" s="316"/>
      <c r="S83" s="316"/>
      <c r="T83" s="316"/>
      <c r="U83" s="316"/>
      <c r="V83" s="316"/>
      <c r="W83" s="316"/>
      <c r="X83" s="316"/>
      <c r="Y83" s="316"/>
      <c r="Z83" s="316"/>
      <c r="AA83" s="316"/>
      <c r="AB83" s="316"/>
      <c r="AC83" s="316"/>
      <c r="AD83" s="316"/>
      <c r="AE83" s="316"/>
      <c r="AF83" s="316"/>
      <c r="AG83" s="316"/>
      <c r="AH83" s="316"/>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row>
    <row r="84" spans="1:106" x14ac:dyDescent="0.35">
      <c r="B84" s="50"/>
      <c r="C84" s="131" t="s">
        <v>250</v>
      </c>
      <c r="D84" s="323" cm="1">
        <f t="array" ref="D84:G84">(INDEX(Indicators,MATCH(EPD_version&amp;"GWP",Materials!$D:$D,0),MATCH(INDEX(Main_Surface_Prim,1,0),Materials!$1:$1,0))*INDEX(Main_Surface_Prim,2,0)/1000)*INDEX(Materials!$1:$2,2,MATCH(INDEX(Main_Surface_Prim,1,0),Materials!$1:$1,0))</f>
        <v>0</v>
      </c>
      <c r="E84" s="324">
        <v>0</v>
      </c>
      <c r="F84" s="324">
        <v>0</v>
      </c>
      <c r="G84" s="324">
        <v>0</v>
      </c>
      <c r="H84" s="325" cm="1">
        <f t="array" ref="H84">SUM((INDEX(Main_Surface_Prim,2,0)/1000)*INDEX(Materials!$1:$2,2,MATCH(INDEX(Main_Surface_Prim,1,0),Materials!$1:$1,0)))</f>
        <v>0</v>
      </c>
      <c r="I84" s="50" cm="1">
        <f t="array" ref="I84">INDEX(Indicators,MATCH(EPD_version&amp;"GWP",Materials!$D:$D,0),MATCH(Main_truck_Surface_Prim,Materials!$1:$1,0))*SUM((INDEX(Main_Surface_Prim,2,0)/1000)*INDEX(Materials!$1:$2,2,MATCH(INDEX(Main_Surface_Prim,1,0),Materials!$1:$1,0)))*Main_Surface_dist_Prim</f>
        <v>0</v>
      </c>
      <c r="J84" s="326" t="e" cm="1">
        <f t="array" aca="1" ref="J84" ca="1">SUM((INDEX(Indicators,MATCH(EPD_version&amp;"GWP",Materials!$D:$D,0),MATCH(INDEX(Main_Surface_Prim,1,0),Materials!$1:$1,0))*INDEX(Main_Surface_Prim,2,0)/1000)*INDEX(Materials!$1:$2,2,MATCH(INDEX(Main_Surface_Prim,1,0),Materials!$1:$1,0)))*SUM(--(Delay_emissions_table[Works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K84" s="326" t="e" cm="1">
        <f t="array" aca="1" ref="K84" ca="1">INDEX(Indicators,MATCH(EPD_version&amp;"GWP",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L84" s="129" t="e" cm="1">
        <f t="array" aca="1" ref="L84" ca="1">(Main_Surface_diesel_Prim*Diesel_density)*(SUM(--(Delay_emissions_table[Works Description - Tertiary Scenario]="Surface Defect Repair")*Delay_emissions_table[Area of Works (m2) - Tertiary Scenario]*Delay_emissions_table[Environmental Discount (%)]))*INDEX(Indicators,MATCH(EPD_version&amp;"GWP",Materials!$D:$D,0),MATCH("Diesel Combustion",Materials!$1:$1,0))*Area_trans*Prim_Lays</f>
        <v>#DIV/0!</v>
      </c>
      <c r="M84" s="316" t="s">
        <v>232</v>
      </c>
      <c r="N84" s="316"/>
      <c r="O84" s="316"/>
      <c r="P84" s="316"/>
      <c r="Q84" s="316"/>
      <c r="R84" s="316"/>
      <c r="S84" s="316"/>
      <c r="T84" s="316"/>
      <c r="U84" s="316"/>
      <c r="V84" s="316"/>
      <c r="W84" s="316"/>
      <c r="X84" s="316"/>
      <c r="Y84" s="316"/>
      <c r="Z84" s="316"/>
      <c r="AA84" s="316"/>
      <c r="AB84" s="316"/>
      <c r="AC84" s="316"/>
      <c r="AD84" s="316"/>
      <c r="AE84" s="316"/>
      <c r="AF84" s="316"/>
      <c r="AG84" s="316"/>
      <c r="AH84" s="316"/>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row>
    <row r="85" spans="1:106" x14ac:dyDescent="0.35">
      <c r="B85" s="50"/>
      <c r="C85" s="131" t="s">
        <v>251</v>
      </c>
      <c r="D85" s="323" cm="1">
        <f t="array" ref="D85:G85">(INDEX(Indicators,MATCH(EPD_version&amp;"GWP",Materials!$D:$D,0),MATCH(INDEX(Main_Shoulder_Prim,1,0),Materials!$1:$1,0))*INDEX(Main_Shoulder_Prim,2,0)/1000)*INDEX(Materials!$1:$2,2,MATCH(INDEX(Main_Shoulder_Prim,1,0),Materials!$1:$1,0))</f>
        <v>0</v>
      </c>
      <c r="E85" s="324">
        <v>0</v>
      </c>
      <c r="F85" s="324">
        <v>0</v>
      </c>
      <c r="G85" s="324">
        <v>0</v>
      </c>
      <c r="H85" s="325" cm="1">
        <f t="array" ref="H85">SUM((INDEX(Main_Shoulder_Prim,2,0)/1000)*INDEX(Materials!$1:$2,2,MATCH(INDEX(Main_Shoulder_Prim,1,0),Materials!$1:$1,0)))</f>
        <v>0</v>
      </c>
      <c r="I85" s="50" cm="1">
        <f t="array" ref="I85">INDEX(Indicators,MATCH(EPD_version&amp;"GWP",Materials!$D:$D,0),MATCH(Main_truck_Shoulder_Prim,Materials!$1:$1,0))*SUM((INDEX(Main_Shoulder_Prim,2,0)/1000)*INDEX(Materials!$1:$2,2,MATCH(INDEX(Main_Shoulder_Prim,1,0),Materials!$1:$1,0)))*Main_Shoulder_dist_Prim</f>
        <v>0</v>
      </c>
      <c r="J85" s="326" t="e" cm="1">
        <f t="array" aca="1" ref="J85" ca="1">SUM((INDEX(Indicators,MATCH(EPD_version&amp;"GWP",Materials!$D:$D,0),MATCH(INDEX(Main_Shoulder_Prim,1,0),Materials!$1:$1,0))*INDEX(Main_Shoulder_Prim,2,0)/1000)*INDEX(Materials!$1:$2,2,MATCH(INDEX(Main_Shoulder_Prim,1,0),Materials!$1:$1,0)))*SUM(--(Delay_emissions_table[Works Description - Tertiary Scenario]="Shoulder Maintenance")*Delay_emissions_table[Area of Works (m2) - Tertiary Scenario]*Delay_emissions_table[Environmental Discount (%)])*Area_trans*Prim_Lays</f>
        <v>#DIV/0!</v>
      </c>
      <c r="K85" s="326" t="e" cm="1">
        <f t="array" aca="1" ref="K85" ca="1">INDEX(Indicators,MATCH(EPD_version&amp;"GWP",Materials!$D:$D,0),MATCH(Main_truck_Shoulder_Prim,Materials!$1:$1,0))*SUM((INDEX(Main_Shoulder_Prim,2,0)/1000)*INDEX(Materials!$1:$2,2,MATCH(INDEX(Main_Shoulder_Prim,1,0),Materials!$1:$1,0)))*Main_Shoulder_dist_Prim*SUM(--(Delay_emissions_table[Works Description - Tertiary Scenario]="Shoulder Maintenance")*Delay_emissions_table[Area of Works (m2) - Tertiary Scenario]*Delay_emissions_table[Environmental Discount (%)])*Area_trans*Prim_Lays</f>
        <v>#DIV/0!</v>
      </c>
      <c r="L85" s="129" t="e" cm="1">
        <f t="array" aca="1" ref="L85" ca="1">(Main_crack_diesel_Prim*Diesel_density)*(SUM(--(Delay_emissions_table[Works Description - Tertiary Scenario]="Shoulder Maintenance")*Delay_emissions_table[Area of Works (m2) - Tertiary Scenario]*Delay_emissions_table[Environmental Discount (%)]))*INDEX(Indicators,MATCH(EPD_version&amp;"GWP",Materials!$D:$D,0),MATCH("Diesel Combustion",Materials!$1:$1,0))*Area_trans*Prim_Lays</f>
        <v>#DIV/0!</v>
      </c>
      <c r="M85" s="316" t="s">
        <v>233</v>
      </c>
      <c r="N85" s="316"/>
      <c r="O85" s="316"/>
      <c r="P85" s="316"/>
      <c r="Q85" s="316"/>
      <c r="R85" s="316"/>
      <c r="S85" s="316"/>
      <c r="T85" s="316"/>
      <c r="U85" s="316"/>
      <c r="V85" s="316"/>
      <c r="W85" s="316"/>
      <c r="X85" s="316"/>
      <c r="Y85" s="316"/>
      <c r="Z85" s="316"/>
      <c r="AA85" s="316"/>
      <c r="AB85" s="316"/>
      <c r="AC85" s="316"/>
      <c r="AD85" s="316"/>
      <c r="AE85" s="316"/>
      <c r="AF85" s="316"/>
      <c r="AG85" s="316"/>
      <c r="AH85" s="316"/>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row>
    <row r="86" spans="1:106" x14ac:dyDescent="0.35">
      <c r="B86" s="50"/>
      <c r="C86" s="131" t="s">
        <v>252</v>
      </c>
      <c r="D86" s="323" cm="1">
        <f t="array" ref="D86:G86">(INDEX(Indicators,MATCH(EPD_version&amp;"GWP",Materials!$D:$D,0),MATCH(INDEX(Main_Patch_Prim,1,0),Materials!$1:$1,0))*INDEX(Main_Patch_Prim,2,0)/1000)*INDEX(Materials!$1:$2,2,MATCH(INDEX(Main_Patch_Prim,1,0),Materials!$1:$1,0))</f>
        <v>0</v>
      </c>
      <c r="E86" s="324">
        <v>0</v>
      </c>
      <c r="F86" s="324">
        <v>0</v>
      </c>
      <c r="G86" s="324">
        <v>0</v>
      </c>
      <c r="H86" s="325" cm="1">
        <f t="array" ref="H86">SUM((INDEX(Main_Patch_Prim,2,0)/1000)*INDEX(Materials!$1:$2,2,MATCH(INDEX(Main_Patch_Prim,1,0),Materials!$1:$1,0)))</f>
        <v>0</v>
      </c>
      <c r="I86" s="50" cm="1">
        <f t="array" ref="I86">INDEX(Indicators,MATCH(EPD_version&amp;"GWP",Materials!$D:$D,0),MATCH(Main_truck_Patch_Prim,Materials!$1:$1,0))*SUM((INDEX(Main_Patch_Prim,2,0)/1000)*INDEX(Materials!$1:$2,2,MATCH(INDEX(Main_Patch_Prim,1,0),Materials!$1:$1,0)))*Main_Patch_dist_Prim</f>
        <v>0</v>
      </c>
      <c r="J86" s="326" t="e" cm="1">
        <f t="array" aca="1" ref="J86" ca="1">SUM((INDEX(Indicators,MATCH(EPD_version&amp;"GWP",Materials!$D:$D,0),MATCH(INDEX(Main_Patch_Prim,1,0),Materials!$1:$1,0))*INDEX(Main_Patch_Prim,2,0)/1000)*INDEX(Materials!$1:$2,2,MATCH(INDEX(Main_Patch_Prim,1,0),Materials!$1:$1,0)))*SUM(--(Delay_emissions_table[Works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K86" s="326" t="e" cm="1">
        <f t="array" aca="1" ref="K86" ca="1">INDEX(Indicators,MATCH(EPD_version&amp;"GWP",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L86" s="129" t="e" cm="1">
        <f t="array" aca="1" ref="L86" ca="1">(Main_patch_diesel_Prim*Diesel_density)*(SUM(--(Delay_emissions_table[Works Description - Tertiary Scenario]="Patch Stabilisation")*Delay_emissions_table[Area of Works (m2) - Tertiary Scenario]*Delay_emissions_table[Environmental Discount (%)]))*INDEX(Indicators,MATCH(EPD_version&amp;"GWP",Materials!$D:$D,0),MATCH("Diesel Combustion",Materials!$1:$1,0))*Area_trans*Prim_Lays</f>
        <v>#DIV/0!</v>
      </c>
      <c r="M86" s="316" t="s">
        <v>234</v>
      </c>
      <c r="N86" s="316"/>
      <c r="O86" s="316"/>
      <c r="P86" s="316"/>
      <c r="Q86" s="316"/>
      <c r="R86" s="316"/>
      <c r="S86" s="316"/>
      <c r="T86" s="316"/>
      <c r="U86" s="316"/>
      <c r="V86" s="316"/>
      <c r="W86" s="316"/>
      <c r="X86" s="316"/>
      <c r="Y86" s="316"/>
      <c r="Z86" s="316"/>
      <c r="AA86" s="316"/>
      <c r="AB86" s="316"/>
      <c r="AC86" s="316"/>
      <c r="AD86" s="316"/>
      <c r="AE86" s="316"/>
      <c r="AF86" s="316"/>
      <c r="AG86" s="316"/>
      <c r="AH86" s="316"/>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row>
    <row r="87" spans="1:106" x14ac:dyDescent="0.35">
      <c r="B87" s="50"/>
      <c r="C87" s="131" t="s">
        <v>253</v>
      </c>
      <c r="D87" s="323" cm="1">
        <f t="array" ref="D87:G87">(INDEX(Indicators,MATCH(EPD_version&amp;"GWP",Materials!$D:$D,0),MATCH(INDEX(Main_Mill_Prim,1,0),Materials!$1:$1,0))*INDEX(Main_Mill_Prim,2,0)/1000)*INDEX(Materials!$1:$2,2,MATCH(INDEX(Main_Mill_Prim,1,0),Materials!$1:$1,0))</f>
        <v>0</v>
      </c>
      <c r="E87" s="324">
        <v>0</v>
      </c>
      <c r="F87" s="324">
        <v>0</v>
      </c>
      <c r="G87" s="324">
        <v>0</v>
      </c>
      <c r="H87" s="325" cm="1">
        <f t="array" ref="H87">SUM((INDEX(Main_Mill_Prim,2,0)/1000)*INDEX(Materials!$1:$2,2,MATCH(INDEX(Main_Mill_Prim,1,0),Materials!$1:$1,0)))</f>
        <v>0</v>
      </c>
      <c r="I87" s="50" cm="1">
        <f t="array" ref="I87">INDEX(Indicators,MATCH(EPD_version&amp;"GWP",Materials!$D:$D,0),MATCH(Main_truck_Mill_Prim,Materials!$1:$1,0))*SUM((INDEX(Main_Mill_Prim,2,0)/1000)*INDEX(Materials!$1:$2,2,MATCH(INDEX(Main_Mill_Prim,1,0),Materials!$1:$1,0)))*Main_Mill_dist_Prim</f>
        <v>0</v>
      </c>
      <c r="J87" s="326" t="e" cm="1">
        <f t="array" aca="1" ref="J87" ca="1">SUM((INDEX(Indicators,MATCH(EPD_version&amp;"GWP",Materials!$D:$D,0),MATCH(INDEX(Main_Mill_Prim,1,0),Materials!$1:$1,0))*INDEX(Main_Mill_Prim,2,0)/1000)*INDEX(Materials!$1:$2,2,MATCH(INDEX(Main_Mill_Prim,1,0),Materials!$1:$1,0)))*SUM(--(Delay_emissions_table[Works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K87" s="326" t="e" cm="1">
        <f t="array" aca="1" ref="K87" ca="1">INDEX(Indicators,MATCH(EPD_version&amp;"GWP",Materials!$D:$D,0),MATCH(Main_truck_Mill_Prim,Materials!$1:$1,0))*SUM((INDEX(Main_Mill_Prim,2,0)/1000)*INDEX(Materials!$1:$2,2,MATCH(INDEX(Main_Mill_Prim,1,0),Materials!$1:$1,0)))*Main_Mill_dist_Prim*SUM(--(Delay_emissions_table[Works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L87" s="129" t="e" cm="1">
        <f t="array" aca="1" ref="L87" ca="1">(Main_Mill_diesel_Prim*Diesel_density)*(SUM(--(Delay_emissions_table[Works Description - Tertiary Scenario]="Mill and Fill")*Delay_emissions_table[Area of Works (m2) - Tertiary Scenario]*Delay_emissions_table[Environmental Discount (%)]))*INDEX(Indicators,MATCH(EPD_version&amp;"GWP",Materials!$D:$D,0),MATCH("Diesel Combustion",Materials!$1:$1,0))*Area_trans*Prim_Lays</f>
        <v>#DIV/0!</v>
      </c>
      <c r="M87" s="316" t="s">
        <v>235</v>
      </c>
      <c r="N87" s="316"/>
      <c r="O87" s="316"/>
      <c r="P87" s="316"/>
      <c r="Q87" s="316"/>
      <c r="R87" s="316"/>
      <c r="S87" s="316"/>
      <c r="T87" s="316"/>
      <c r="U87" s="316"/>
      <c r="V87" s="316"/>
      <c r="W87" s="316"/>
      <c r="X87" s="316"/>
      <c r="Y87" s="316"/>
      <c r="Z87" s="316"/>
      <c r="AA87" s="316"/>
      <c r="AB87" s="316"/>
      <c r="AC87" s="316"/>
      <c r="AD87" s="316"/>
      <c r="AE87" s="316"/>
      <c r="AF87" s="316"/>
      <c r="AG87" s="316"/>
      <c r="AH87" s="316"/>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row>
    <row r="88" spans="1:106" x14ac:dyDescent="0.35">
      <c r="B88" s="50"/>
      <c r="C88" s="131" t="s">
        <v>254</v>
      </c>
      <c r="D88" s="323" cm="1">
        <f t="array" ref="D88:G88">(INDEX(Indicators,MATCH(EPD_version&amp;"GWP",Materials!$D:$D,0),MATCH(INDEX(Main_Rip_Prim,1,0),Materials!$1:$1,0))*INDEX(Main_Rip_Prim,2,0)/1000)*INDEX(Materials!$1:$2,2,MATCH(INDEX(Main_Rip_Prim,1,0),Materials!$1:$1,0))</f>
        <v>0</v>
      </c>
      <c r="E88" s="324">
        <v>0</v>
      </c>
      <c r="F88" s="324">
        <v>0</v>
      </c>
      <c r="G88" s="324">
        <v>0</v>
      </c>
      <c r="H88" s="325" cm="1">
        <f t="array" ref="H88">SUM((INDEX(Main_Rip_Prim,2,0)/1000)*INDEX(Materials!$1:$2,2,MATCH(INDEX(Main_Rip_Prim,1,0),Materials!$1:$1,0)))</f>
        <v>0</v>
      </c>
      <c r="I88" s="50" cm="1">
        <f t="array" ref="I88">INDEX(Indicators,MATCH(EPD_version&amp;"GWP",Materials!$D:$D,0),MATCH(Main_truck_Rip_Prim,Materials!$1:$1,0))*SUM((INDEX(Main_Rip_Prim,2,0)/1000)*INDEX(Materials!$1:$2,2,MATCH(INDEX(Main_Rip_Prim,1,0),Materials!$1:$1,0)))*Main_Rip_dist_Prim</f>
        <v>0</v>
      </c>
      <c r="J88" s="326" t="e" cm="1">
        <f t="array" aca="1" ref="J88" ca="1">SUM((INDEX(Indicators,MATCH(EPD_version&amp;"GWP",Materials!$D:$D,0),MATCH(INDEX(Main_Rip_Prim,1,0),Materials!$1:$1,0))*INDEX(Main_Rip_Prim,2,0)/1000)*INDEX(Materials!$1:$2,2,MATCH(INDEX(Main_Rip_Prim,1,0),Materials!$1:$1,0)))*SUM(--(Delay_emissions_table[Works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K88" s="326" t="e" cm="1">
        <f t="array" aca="1" ref="K88" ca="1">INDEX(Indicators,MATCH(EPD_version&amp;"GWP",Materials!$D:$D,0),MATCH(Main_truck_Rip_Prim,Materials!$1:$1,0))*SUM((INDEX(Main_Rip_Prim,2,0)/1000)*INDEX(Materials!$1:$2,2,MATCH(INDEX(Main_Rip_Prim,1,0),Materials!$1:$1,0)))*Main_Rip_dist_Prim*SUM(--(Delay_emissions_table[Works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L88" s="129" t="e" cm="1">
        <f t="array" aca="1" ref="L88" ca="1">(Main_Rip_diesel_Prim*Diesel_density)*(SUM(--(Delay_emissions_table[Works Description - Tertiary Scenario]="Rip and Remake")*Delay_emissions_table[Area of Works (m2) - Tertiary Scenario]*Delay_emissions_table[Environmental Discount (%)]))*INDEX(Indicators,MATCH(EPD_version&amp;"GWP",Materials!$D:$D,0),MATCH("Diesel Combustion",Materials!$1:$1,0))*Area_trans*Prim_Lays</f>
        <v>#DIV/0!</v>
      </c>
      <c r="M88" s="316" t="s">
        <v>236</v>
      </c>
      <c r="N88" s="316"/>
      <c r="O88" s="316"/>
      <c r="P88" s="316"/>
      <c r="Q88" s="316"/>
      <c r="R88" s="316"/>
      <c r="S88" s="316"/>
      <c r="T88" s="316"/>
      <c r="U88" s="316"/>
      <c r="V88" s="316"/>
      <c r="W88" s="316"/>
      <c r="X88" s="316"/>
      <c r="Y88" s="316"/>
      <c r="Z88" s="316"/>
      <c r="AA88" s="316"/>
      <c r="AB88" s="316"/>
      <c r="AC88" s="316"/>
      <c r="AD88" s="316"/>
      <c r="AE88" s="316"/>
      <c r="AF88" s="316"/>
      <c r="AG88" s="316"/>
      <c r="AH88" s="316"/>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row>
    <row r="89" spans="1:106" x14ac:dyDescent="0.35">
      <c r="B89" s="50"/>
      <c r="C89" s="131" t="s">
        <v>255</v>
      </c>
      <c r="D89" s="323" cm="1">
        <f t="array" ref="D89:G89">(INDEX(Indicators,MATCH(EPD_version&amp;"GWP",Materials!$D:$D,0),MATCH(INDEX(Main_Dig_Tert,1,0),Materials!$1:$1,0))*INDEX(Main_Dig_Tert,2,0)/1000)*INDEX(Materials!$1:$2,2,MATCH(INDEX(Main_Dig_Tert,1,0),Materials!$1:$1,0))</f>
        <v>0</v>
      </c>
      <c r="E89" s="324">
        <v>0</v>
      </c>
      <c r="F89" s="324">
        <v>0</v>
      </c>
      <c r="G89" s="324">
        <v>0</v>
      </c>
      <c r="H89" s="325" cm="1">
        <f t="array" ref="H89">SUM((INDEX(Main_Dig_Tert,2,0)/1000)*INDEX(Materials!$1:$2,2,MATCH(INDEX(Main_Dig_Tert,1,0),Materials!$1:$1,0)))</f>
        <v>0</v>
      </c>
      <c r="I89" s="50" cm="1">
        <f t="array" ref="I89">INDEX(Indicators,MATCH(EPD_version&amp;"GWP",Materials!$D:$D,0),MATCH(Main_Truck_Dig_Tert,Materials!$1:$1,0))*SUM((INDEX(Main_Dig_Tert,2,0)/1000)*INDEX(Materials!$1:$2,2,MATCH(INDEX(Main_Dig_Tert,1,0),Materials!$1:$1,0)))*Main_Dig_dist_Tert</f>
        <v>0</v>
      </c>
      <c r="J89" s="326" t="e" cm="1">
        <f t="array" aca="1" ref="J89" ca="1">SUM((INDEX(Indicators,MATCH(EPD_version&amp;"GWP",Materials!$D:$D,0),MATCH(INDEX(Main_Dig_Prim,1,0),Materials!$1:$1,0))*INDEX(Main_Dig_Prim,2,0)/1000)*INDEX(Materials!$1:$2,2,MATCH(INDEX(Main_Dig_Prim,1,0),Materials!$1:$1,0)))*SUM(--(Delay_emissions_table[Works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K89" s="326" t="e" cm="1">
        <f t="array" aca="1" ref="K89" ca="1">INDEX(Indicators,MATCH(EPD_version&amp;"GWP",Materials!$D:$D,0),MATCH(Main_truck_Dig_Prim,Materials!$1:$1,0))*SUM((INDEX(Main_Dig_Prim,2,0)/1000)*INDEX(Materials!$1:$2,2,MATCH(INDEX(Main_Dig_Prim,1,0),Materials!$1:$1,0)))*Main_Dig_dist_Prim*SUM(--(Delay_emissions_table[Works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L89" s="129" t="e" cm="1">
        <f t="array" aca="1" ref="L89" ca="1">(Main_dig_diesel_Prim*Diesel_density)*(SUM(--(Delay_emissions_table[Works Description - Tertiary Scenario]="Dig Out")*Delay_emissions_table[Area of Works (m2) - Tertiary Scenario]*Delay_emissions_table[Environmental Discount (%)]))*INDEX(Indicators,MATCH(EPD_version&amp;"GWP",Materials!$D:$D,0),MATCH("Diesel Combustion",Materials!$1:$1,0))*Area_trans*Prim_Lays</f>
        <v>#DIV/0!</v>
      </c>
      <c r="M89" s="316" t="s">
        <v>256</v>
      </c>
      <c r="N89" s="316"/>
      <c r="O89" s="316"/>
      <c r="P89" s="316"/>
      <c r="Q89" s="316"/>
      <c r="R89" s="316"/>
      <c r="S89" s="316"/>
      <c r="T89" s="316"/>
      <c r="U89" s="316"/>
      <c r="V89" s="316"/>
      <c r="W89" s="316"/>
      <c r="X89" s="316"/>
      <c r="Y89" s="316"/>
      <c r="Z89" s="316"/>
      <c r="AA89" s="316"/>
      <c r="AB89" s="316"/>
      <c r="AC89" s="316"/>
      <c r="AD89" s="316"/>
      <c r="AE89" s="316"/>
      <c r="AF89" s="316"/>
      <c r="AG89" s="316"/>
      <c r="AH89" s="316"/>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row>
    <row r="90" spans="1:106" x14ac:dyDescent="0.35">
      <c r="B90" s="50"/>
      <c r="C90" s="327" t="s">
        <v>257</v>
      </c>
      <c r="D90" s="328" cm="1">
        <f t="array" ref="D90:G90">(INDEX(Indicators,MATCH(EPD_version&amp;"GWP",Materials!$D:$D,0),MATCH(INDEX(Main_Lay_Prim,1,0),Materials!$1:$1,0))*INDEX(Main_Lay_Prim,2,0)/1000)*INDEX(Materials!$1:$2,2,MATCH(INDEX(Main_Lay_Prim,1,0),Materials!$1:$1,0))</f>
        <v>0</v>
      </c>
      <c r="E90" s="329">
        <v>0</v>
      </c>
      <c r="F90" s="329">
        <v>0</v>
      </c>
      <c r="G90" s="329">
        <v>0</v>
      </c>
      <c r="H90" s="330" cm="1">
        <f t="array" ref="H90">SUM((INDEX(Main_Lay_Prim,2,0)/1000)*INDEX(Materials!$1:$2,2,MATCH(INDEX(Main_Lay_Prim,1,0),Materials!$1:$1,0)))</f>
        <v>0</v>
      </c>
      <c r="I90" s="128" cm="1">
        <f t="array" ref="I90">INDEX(Indicators,MATCH(EPD_version&amp;"GWP",Materials!$D:$D,0),MATCH(Main_truck_Lay_Prim,Materials!$1:$1,0))*SUM((INDEX(Main_Lay_Prim,2,0)/1000)*INDEX(Materials!$1:$2,2,MATCH(INDEX(Main_Lay_Prim,1,0),Materials!$1:$1,0)))*Main_Lay_dist_Prim</f>
        <v>0</v>
      </c>
      <c r="J90" s="331" t="e" cm="1">
        <f t="array" aca="1" ref="J90" ca="1">SUM((INDEX(Indicators,MATCH(EPD_version&amp;"GWP",Materials!$D:$D,0),MATCH(INDEX(Main_Lay_Prim,1,0),Materials!$1:$1,0))*INDEX(Main_Lay_Prim,2,0)/1000)*INDEX(Materials!$1:$2,2,MATCH(INDEX(Main_Lay_Prim,1,0),Materials!$1:$1,0)))*SUM(--(Delay_emissions_table[Works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K90" s="331" t="e" cm="1">
        <f t="array" aca="1" ref="K90" ca="1">INDEX(Indicators,MATCH(EPD_version&amp;"GWP",Materials!$D:$D,0),MATCH(Main_truck_Lay_Prim,Materials!$1:$1,0))*SUM((INDEX(Main_Lay_Prim,2,0)/1000)*INDEX(Materials!$1:$2,2,MATCH(INDEX(Main_Lay_Prim,1,0),Materials!$1:$1,0)))*Main_Lay_dist_Prim*SUM(--(Delay_emissions_table[Works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L90" s="183" t="e" cm="1">
        <f t="array" aca="1" ref="L90" ca="1">(Main_lay_diesel_Prim*Diesel_density)*(SUM(--(Delay_emissions_table[Works Description - Tertiary Scenario]="Lay over")*Delay_emissions_table[Area of Works (m2) - Tertiary Scenario]*Delay_emissions_table[Environmental Discount (%)]))*INDEX(Indicators,MATCH(EPD_version&amp;"GWP",Materials!$D:$D,0),MATCH("Diesel Combustion",Materials!$1:$1,0))*Area_trans*Prim_Lays</f>
        <v>#DIV/0!</v>
      </c>
      <c r="M90" s="316" t="s">
        <v>240</v>
      </c>
      <c r="N90" s="316"/>
      <c r="O90" s="316"/>
      <c r="P90" s="316"/>
      <c r="Q90" s="316"/>
      <c r="R90" s="316"/>
      <c r="S90" s="316"/>
      <c r="T90" s="316"/>
      <c r="U90" s="316"/>
      <c r="V90" s="316"/>
      <c r="W90" s="316"/>
      <c r="X90" s="316"/>
      <c r="Y90" s="316"/>
      <c r="Z90" s="316"/>
      <c r="AA90" s="316"/>
      <c r="AB90" s="316"/>
      <c r="AC90" s="316"/>
      <c r="AD90" s="316"/>
      <c r="AE90" s="316"/>
      <c r="AF90" s="316"/>
      <c r="AG90" s="316"/>
      <c r="AH90" s="316"/>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row>
    <row r="91" spans="1:106" x14ac:dyDescent="0.35">
      <c r="B91" s="50"/>
      <c r="C91" s="50"/>
      <c r="D91" s="50"/>
      <c r="E91" s="50"/>
      <c r="F91" s="50"/>
      <c r="G91" s="50"/>
      <c r="H91" s="50"/>
      <c r="I91" s="50"/>
      <c r="J91" s="316"/>
      <c r="K91" s="50"/>
      <c r="L91" s="316"/>
      <c r="M91" s="316"/>
      <c r="N91" s="316"/>
      <c r="O91" s="316"/>
      <c r="P91" s="50"/>
      <c r="Q91" s="316"/>
      <c r="R91" s="316"/>
      <c r="S91" s="316"/>
      <c r="T91" s="316"/>
      <c r="U91" s="316"/>
      <c r="V91" s="316"/>
      <c r="W91" s="316"/>
      <c r="X91" s="316"/>
      <c r="Y91" s="316"/>
      <c r="Z91" s="316"/>
      <c r="AA91" s="316"/>
      <c r="AB91" s="316"/>
      <c r="AC91" s="316"/>
      <c r="AD91" s="316"/>
      <c r="AE91" s="316"/>
      <c r="AF91" s="316"/>
      <c r="AG91" s="316"/>
      <c r="AH91" s="316"/>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row>
    <row r="92" spans="1:106" ht="72.5" x14ac:dyDescent="0.35">
      <c r="A92" s="50">
        <v>7.2</v>
      </c>
      <c r="B92" s="3" t="s">
        <v>260</v>
      </c>
      <c r="C92" s="108" t="s">
        <v>261</v>
      </c>
      <c r="D92" s="50"/>
      <c r="E92" s="638" t="str">
        <f>Handle_Scenario1&amp;" - Scenario 1"</f>
        <v xml:space="preserve"> - Scenario 1</v>
      </c>
      <c r="F92" s="639" t="s">
        <v>262</v>
      </c>
      <c r="G92" s="639" t="s">
        <v>263</v>
      </c>
      <c r="H92" s="50"/>
      <c r="I92" s="50"/>
      <c r="J92" s="50"/>
      <c r="K92" s="100"/>
      <c r="L92" s="50"/>
      <c r="M92" s="50"/>
      <c r="N92" s="98" t="str">
        <f>Handle_Scenario2&amp;" - Scenario 2"</f>
        <v xml:space="preserve"> - Scenario 2</v>
      </c>
      <c r="O92" s="332" t="s">
        <v>262</v>
      </c>
      <c r="P92" s="332" t="s">
        <v>263</v>
      </c>
      <c r="Q92" s="50"/>
      <c r="R92" s="50"/>
      <c r="S92" s="50"/>
      <c r="T92" s="50"/>
      <c r="U92" s="50"/>
      <c r="V92" s="50"/>
      <c r="W92" s="98" t="str">
        <f>Handle_Scenario3&amp;" - Scenario 3"</f>
        <v xml:space="preserve"> - Scenario 3</v>
      </c>
      <c r="X92" s="332" t="s">
        <v>262</v>
      </c>
      <c r="Y92" s="332" t="s">
        <v>263</v>
      </c>
      <c r="Z92" s="50"/>
      <c r="AA92" s="50"/>
      <c r="AB92" s="50"/>
      <c r="AC92" s="50"/>
      <c r="AD92" s="50"/>
      <c r="AE92" s="50"/>
      <c r="AF92" s="50"/>
      <c r="AG92" s="50"/>
      <c r="AH92" s="50"/>
      <c r="AI92" s="20"/>
    </row>
    <row r="93" spans="1:106" s="2" customFormat="1" ht="87" x14ac:dyDescent="0.35">
      <c r="A93" s="333"/>
      <c r="B93" s="149" t="s">
        <v>264</v>
      </c>
      <c r="C93" s="149" t="s">
        <v>265</v>
      </c>
      <c r="D93" s="144" t="s">
        <v>266</v>
      </c>
      <c r="E93" s="143" t="s">
        <v>267</v>
      </c>
      <c r="F93" s="143" t="s">
        <v>268</v>
      </c>
      <c r="G93" s="143" t="s">
        <v>269</v>
      </c>
      <c r="H93" s="150" t="s">
        <v>270</v>
      </c>
      <c r="I93" s="149" t="s">
        <v>271</v>
      </c>
      <c r="J93" s="149" t="s">
        <v>272</v>
      </c>
      <c r="K93" s="149" t="s">
        <v>273</v>
      </c>
      <c r="L93" s="149" t="s">
        <v>274</v>
      </c>
      <c r="M93" s="144" t="s">
        <v>275</v>
      </c>
      <c r="N93" s="143" t="s">
        <v>276</v>
      </c>
      <c r="O93" s="143" t="s">
        <v>277</v>
      </c>
      <c r="P93" s="143" t="s">
        <v>278</v>
      </c>
      <c r="Q93" s="150" t="s">
        <v>279</v>
      </c>
      <c r="R93" s="149" t="s">
        <v>280</v>
      </c>
      <c r="S93" s="149" t="s">
        <v>281</v>
      </c>
      <c r="T93" s="149" t="s">
        <v>282</v>
      </c>
      <c r="U93" s="151" t="s">
        <v>283</v>
      </c>
      <c r="V93" s="144" t="s">
        <v>284</v>
      </c>
      <c r="W93" s="143" t="s">
        <v>285</v>
      </c>
      <c r="X93" s="143" t="s">
        <v>286</v>
      </c>
      <c r="Y93" s="143" t="s">
        <v>287</v>
      </c>
      <c r="Z93" s="150" t="s">
        <v>288</v>
      </c>
      <c r="AA93" s="149" t="s">
        <v>289</v>
      </c>
      <c r="AB93" s="149" t="s">
        <v>290</v>
      </c>
      <c r="AC93" s="149" t="s">
        <v>291</v>
      </c>
      <c r="AD93" s="151" t="s">
        <v>292</v>
      </c>
      <c r="AE93" s="149" t="s">
        <v>293</v>
      </c>
      <c r="AF93" s="149" t="s">
        <v>294</v>
      </c>
      <c r="AG93" s="504" t="s">
        <v>295</v>
      </c>
      <c r="AH93" s="50"/>
      <c r="AJ93" s="372"/>
    </row>
    <row r="94" spans="1:106" x14ac:dyDescent="0.35">
      <c r="B94" s="115">
        <f ca="1">YEAR(TODAY())</f>
        <v>2024</v>
      </c>
      <c r="C94" s="115">
        <f>0</f>
        <v>0</v>
      </c>
      <c r="D94" s="444"/>
      <c r="E94" s="419"/>
      <c r="F94" s="419"/>
      <c r="G94" s="419"/>
      <c r="H94" s="409"/>
      <c r="I94"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94"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94"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94"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94" s="444"/>
      <c r="N94" s="419"/>
      <c r="O94" s="419"/>
      <c r="P94" s="419"/>
      <c r="Q94" s="409"/>
      <c r="R94"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94"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94"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94"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94" s="444"/>
      <c r="W94" s="419"/>
      <c r="X94" s="419"/>
      <c r="Y94" s="419"/>
      <c r="Z94" s="409"/>
      <c r="AA94"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94"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94"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94"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94" s="153">
        <f>aver_hourly_veh_flow</f>
        <v>0</v>
      </c>
      <c r="AF94" s="539">
        <f ca="1">IFERROR(((1-enviro_disc)^(Delay_emissions_table[[#This Row],[Year]]-YEAR(TODAY())))*IF(Delay_emissions_table[[#This Row],[Year]]&gt;=YEAR(TODAY()),1,0),0)</f>
        <v>1</v>
      </c>
      <c r="AG94" s="505">
        <f>Traffic_flow</f>
        <v>0</v>
      </c>
      <c r="AH94" s="50"/>
      <c r="AI94" s="20"/>
    </row>
    <row r="95" spans="1:106" x14ac:dyDescent="0.35">
      <c r="B95" s="115">
        <f ca="1">IFERROR(IF(B94+1&lt;=YEAR(NOW())+IF('Impact Analysis'!$C$14="Indefinite",MAX('Data Entry'!$C$39:$D$39),'Impact Analysis'!$C$14),B94+1,""),"")</f>
        <v>2025</v>
      </c>
      <c r="C95" s="115">
        <f ca="1">IF(Delay_emissions_table[[#This Row],[Year]]="","",C94+1)</f>
        <v>1</v>
      </c>
      <c r="D95" s="445"/>
      <c r="E95" s="419"/>
      <c r="F95" s="419"/>
      <c r="G95" s="419"/>
      <c r="H95" s="409"/>
      <c r="I95"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95"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95"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95"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95" s="445"/>
      <c r="N95" s="419"/>
      <c r="O95" s="419"/>
      <c r="P95" s="419"/>
      <c r="Q95" s="409"/>
      <c r="R95"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95"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95"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95"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95" s="445"/>
      <c r="W95" s="419"/>
      <c r="X95" s="419"/>
      <c r="Y95" s="419"/>
      <c r="Z95" s="409"/>
      <c r="AA95"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95"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95"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95"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95" s="153">
        <f ca="1">IF(Delay_emissions_table[[#This Row],[Year]]="","",AE94*(1+Traffic_growth_rate))</f>
        <v>0</v>
      </c>
      <c r="AF95" s="539">
        <f ca="1">IF(Delay_emissions_table[[#This Row],[Year]]="","",IFERROR(((1-enviro_disc)^(Delay_emissions_table[[#This Row],[Year]]-YEAR(TODAY())))*IF(Delay_emissions_table[[#This Row],[Year]]&gt;=YEAR(TODAY()),1,0),0))</f>
        <v>0.99</v>
      </c>
      <c r="AG95" s="505">
        <f ca="1">IF(Delay_emissions_table[[#This Row],[Year]]="","",AG94*(1+Traffic_growth_rate))</f>
        <v>0</v>
      </c>
      <c r="AH95" s="50"/>
    </row>
    <row r="96" spans="1:106" x14ac:dyDescent="0.35">
      <c r="B96" s="115">
        <f ca="1">IFERROR(IF(B95+1&lt;=YEAR(NOW())+IF('Impact Analysis'!$C$14="Indefinite",MAX('Data Entry'!$C$39:$D$39),'Impact Analysis'!$C$14),B95+1,""),"")</f>
        <v>2026</v>
      </c>
      <c r="C96" s="115">
        <f ca="1">IF(Delay_emissions_table[[#This Row],[Year]]="","",C95+1)</f>
        <v>2</v>
      </c>
      <c r="D96" s="444"/>
      <c r="E96" s="419"/>
      <c r="F96" s="419"/>
      <c r="G96" s="419"/>
      <c r="H96" s="409"/>
      <c r="I96"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96"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96"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96"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96" s="444"/>
      <c r="N96" s="419"/>
      <c r="O96" s="419"/>
      <c r="P96" s="419"/>
      <c r="Q96" s="409"/>
      <c r="R96"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96"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96"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96"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96" s="444"/>
      <c r="W96" s="419"/>
      <c r="X96" s="419"/>
      <c r="Y96" s="419"/>
      <c r="Z96" s="409"/>
      <c r="AA96"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96"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96"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96"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96" s="153">
        <f ca="1">IF(Delay_emissions_table[[#This Row],[Year]]="","",AE95*(1+Traffic_growth_rate))</f>
        <v>0</v>
      </c>
      <c r="AF96" s="539">
        <f ca="1">IFERROR(((1-enviro_disc)^(Delay_emissions_table[[#This Row],[Year]]-YEAR(TODAY())))*IF(Delay_emissions_table[[#This Row],[Year]]&gt;=YEAR(TODAY()),1,0),0)</f>
        <v>0.98009999999999997</v>
      </c>
      <c r="AG96" s="505">
        <f ca="1">IF(Delay_emissions_table[[#This Row],[Year]]="","",AG95*(1+Traffic_growth_rate))</f>
        <v>0</v>
      </c>
      <c r="AH96" s="50"/>
    </row>
    <row r="97" spans="2:34" x14ac:dyDescent="0.35">
      <c r="B97" s="115">
        <f ca="1">IFERROR(IF(B96+1&lt;=YEAR(NOW())+IF('Impact Analysis'!$C$14="Indefinite",MAX('Data Entry'!$C$39:$D$39),'Impact Analysis'!$C$14),B96+1,""),"")</f>
        <v>2027</v>
      </c>
      <c r="C97" s="115">
        <f ca="1">IF(Delay_emissions_table[[#This Row],[Year]]="","",C96+1)</f>
        <v>3</v>
      </c>
      <c r="D97" s="444"/>
      <c r="E97" s="419"/>
      <c r="F97" s="419"/>
      <c r="G97" s="419"/>
      <c r="H97" s="409"/>
      <c r="I97"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97"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97"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97"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97" s="445"/>
      <c r="N97" s="419"/>
      <c r="O97" s="419"/>
      <c r="P97" s="419"/>
      <c r="Q97" s="409"/>
      <c r="R97"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97"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97"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97"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97" s="445"/>
      <c r="W97" s="419"/>
      <c r="X97" s="419"/>
      <c r="Y97" s="419"/>
      <c r="Z97" s="409"/>
      <c r="AA97"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97"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97"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97"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97" s="153">
        <f ca="1">IF(Delay_emissions_table[[#This Row],[Year]]="","",AE96*(1+Traffic_growth_rate))</f>
        <v>0</v>
      </c>
      <c r="AF97" s="539">
        <f ca="1">IFERROR(((1-enviro_disc)^(Delay_emissions_table[[#This Row],[Year]]-YEAR(TODAY())))*IF(Delay_emissions_table[[#This Row],[Year]]&gt;=YEAR(TODAY()),1,0),0)</f>
        <v>0.97029899999999991</v>
      </c>
      <c r="AG97" s="505">
        <f ca="1">IF(Delay_emissions_table[[#This Row],[Year]]="","",AG96*(1+Traffic_growth_rate))</f>
        <v>0</v>
      </c>
      <c r="AH97" s="50"/>
    </row>
    <row r="98" spans="2:34" x14ac:dyDescent="0.35">
      <c r="B98" s="115">
        <f ca="1">IFERROR(IF(B97+1&lt;=YEAR(NOW())+IF('Impact Analysis'!$C$14="Indefinite",MAX('Data Entry'!$C$39:$D$39),'Impact Analysis'!$C$14),B97+1,""),"")</f>
        <v>2028</v>
      </c>
      <c r="C98" s="115">
        <f ca="1">IF(Delay_emissions_table[[#This Row],[Year]]="","",C97+1)</f>
        <v>4</v>
      </c>
      <c r="D98" s="445"/>
      <c r="E98" s="419"/>
      <c r="F98" s="419"/>
      <c r="G98" s="419"/>
      <c r="H98" s="409"/>
      <c r="I98"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98"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98"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98"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98" s="445"/>
      <c r="N98" s="419"/>
      <c r="O98" s="419"/>
      <c r="P98" s="419"/>
      <c r="Q98" s="409"/>
      <c r="R98"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98"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98"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98"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98" s="445"/>
      <c r="W98" s="419"/>
      <c r="X98" s="419"/>
      <c r="Y98" s="419"/>
      <c r="Z98" s="409"/>
      <c r="AA98"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98"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98"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98"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98" s="153">
        <f ca="1">IF(Delay_emissions_table[[#This Row],[Year]]="","",AE97*(1+Traffic_growth_rate))</f>
        <v>0</v>
      </c>
      <c r="AF98" s="539">
        <f ca="1">IFERROR(((1-enviro_disc)^(Delay_emissions_table[[#This Row],[Year]]-YEAR(TODAY())))*IF(Delay_emissions_table[[#This Row],[Year]]&gt;=YEAR(TODAY()),1,0),0)</f>
        <v>0.96059600999999994</v>
      </c>
      <c r="AG98" s="505">
        <f ca="1">IF(Delay_emissions_table[[#This Row],[Year]]="","",AG97*(1+Traffic_growth_rate))</f>
        <v>0</v>
      </c>
      <c r="AH98" s="50"/>
    </row>
    <row r="99" spans="2:34" x14ac:dyDescent="0.35">
      <c r="B99" s="115">
        <f ca="1">IFERROR(IF(B98+1&lt;=YEAR(NOW())+IF('Impact Analysis'!$C$14="Indefinite",MAX('Data Entry'!$C$39:$D$39),'Impact Analysis'!$C$14),B98+1,""),"")</f>
        <v>2029</v>
      </c>
      <c r="C99" s="115">
        <f ca="1">IF(Delay_emissions_table[[#This Row],[Year]]="","",C98+1)</f>
        <v>5</v>
      </c>
      <c r="D99" s="445"/>
      <c r="E99" s="419"/>
      <c r="F99" s="419"/>
      <c r="G99" s="419"/>
      <c r="H99" s="409"/>
      <c r="I99"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99"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99"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99"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99" s="445"/>
      <c r="N99" s="419"/>
      <c r="O99" s="419"/>
      <c r="P99" s="419"/>
      <c r="Q99" s="409"/>
      <c r="R99"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99"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99"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99"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99" s="445"/>
      <c r="W99" s="419"/>
      <c r="X99" s="419"/>
      <c r="Y99" s="419"/>
      <c r="Z99" s="409"/>
      <c r="AA99"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99"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99"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99"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99" s="153">
        <f ca="1">IF(Delay_emissions_table[[#This Row],[Year]]="","",AE98*(1+Traffic_growth_rate))</f>
        <v>0</v>
      </c>
      <c r="AF99" s="539">
        <f ca="1">IFERROR(((1-enviro_disc)^(Delay_emissions_table[[#This Row],[Year]]-YEAR(TODAY())))*IF(Delay_emissions_table[[#This Row],[Year]]&gt;=YEAR(TODAY()),1,0),0)</f>
        <v>0.95099004989999991</v>
      </c>
      <c r="AG99" s="505">
        <f ca="1">IF(Delay_emissions_table[[#This Row],[Year]]="","",AG98*(1+Traffic_growth_rate))</f>
        <v>0</v>
      </c>
      <c r="AH99" s="50"/>
    </row>
    <row r="100" spans="2:34" x14ac:dyDescent="0.35">
      <c r="B100" s="115">
        <f ca="1">IFERROR(IF(B99+1&lt;=YEAR(NOW())+IF('Impact Analysis'!$C$14="Indefinite",MAX('Data Entry'!$C$39:$D$39),'Impact Analysis'!$C$14),B99+1,""),"")</f>
        <v>2030</v>
      </c>
      <c r="C100" s="115">
        <f ca="1">IF(Delay_emissions_table[[#This Row],[Year]]="","",C99+1)</f>
        <v>6</v>
      </c>
      <c r="D100" s="444"/>
      <c r="E100" s="419"/>
      <c r="F100" s="419"/>
      <c r="G100" s="419"/>
      <c r="H100" s="409"/>
      <c r="I100"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100"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100"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100"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100" s="444"/>
      <c r="N100" s="419"/>
      <c r="O100" s="419"/>
      <c r="P100" s="419"/>
      <c r="Q100" s="409"/>
      <c r="R100"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100"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100"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100"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100" s="444"/>
      <c r="W100" s="419"/>
      <c r="X100" s="419"/>
      <c r="Y100" s="419"/>
      <c r="Z100" s="409"/>
      <c r="AA100"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100"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100"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100"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100" s="153">
        <f ca="1">IF(Delay_emissions_table[[#This Row],[Year]]="","",AE99*(1+Traffic_growth_rate))</f>
        <v>0</v>
      </c>
      <c r="AF100" s="539">
        <f ca="1">IFERROR(((1-enviro_disc)^(Delay_emissions_table[[#This Row],[Year]]-YEAR(TODAY())))*IF(Delay_emissions_table[[#This Row],[Year]]&gt;=YEAR(TODAY()),1,0),0)</f>
        <v>0.94148014940099989</v>
      </c>
      <c r="AG100" s="505">
        <f ca="1">IF(Delay_emissions_table[[#This Row],[Year]]="","",AG99*(1+Traffic_growth_rate))</f>
        <v>0</v>
      </c>
      <c r="AH100" s="50"/>
    </row>
    <row r="101" spans="2:34" x14ac:dyDescent="0.35">
      <c r="B101" s="115">
        <f ca="1">IFERROR(IF(B100+1&lt;=YEAR(NOW())+IF('Impact Analysis'!$C$14="Indefinite",MAX('Data Entry'!$C$39:$D$39),'Impact Analysis'!$C$14),B100+1,""),"")</f>
        <v>2031</v>
      </c>
      <c r="C101" s="115">
        <f ca="1">IF(Delay_emissions_table[[#This Row],[Year]]="","",C100+1)</f>
        <v>7</v>
      </c>
      <c r="D101" s="445"/>
      <c r="E101" s="419"/>
      <c r="F101" s="419"/>
      <c r="G101" s="419"/>
      <c r="H101" s="409"/>
      <c r="I101"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101"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101"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101"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101" s="445"/>
      <c r="N101" s="419"/>
      <c r="O101" s="419"/>
      <c r="P101" s="419"/>
      <c r="Q101" s="409"/>
      <c r="R101"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101"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101"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101"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101" s="445"/>
      <c r="W101" s="419"/>
      <c r="X101" s="419"/>
      <c r="Y101" s="419"/>
      <c r="Z101" s="409"/>
      <c r="AA101"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101"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101"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101"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101" s="153">
        <f ca="1">IF(Delay_emissions_table[[#This Row],[Year]]="","",AE100*(1+Traffic_growth_rate))</f>
        <v>0</v>
      </c>
      <c r="AF101" s="539">
        <f ca="1">IFERROR(((1-enviro_disc)^(Delay_emissions_table[[#This Row],[Year]]-YEAR(TODAY())))*IF(Delay_emissions_table[[#This Row],[Year]]&gt;=YEAR(TODAY()),1,0),0)</f>
        <v>0.93206534790698992</v>
      </c>
      <c r="AG101" s="505">
        <f ca="1">IF(Delay_emissions_table[[#This Row],[Year]]="","",AG100*(1+Traffic_growth_rate))</f>
        <v>0</v>
      </c>
      <c r="AH101" s="50"/>
    </row>
    <row r="102" spans="2:34" x14ac:dyDescent="0.35">
      <c r="B102" s="115">
        <f ca="1">IFERROR(IF(B101+1&lt;=YEAR(NOW())+IF('Impact Analysis'!$C$14="Indefinite",MAX('Data Entry'!$C$39:$D$39),'Impact Analysis'!$C$14),B101+1,""),"")</f>
        <v>2032</v>
      </c>
      <c r="C102" s="115">
        <f ca="1">IF(Delay_emissions_table[[#This Row],[Year]]="","",C101+1)</f>
        <v>8</v>
      </c>
      <c r="D102" s="445"/>
      <c r="E102" s="419"/>
      <c r="F102" s="419"/>
      <c r="G102" s="419"/>
      <c r="H102" s="409"/>
      <c r="I102"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102"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102"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102"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102" s="445"/>
      <c r="N102" s="419"/>
      <c r="O102" s="419"/>
      <c r="P102" s="419"/>
      <c r="Q102" s="409"/>
      <c r="R102"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102"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102"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102"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102" s="445"/>
      <c r="W102" s="419"/>
      <c r="X102" s="419"/>
      <c r="Y102" s="419"/>
      <c r="Z102" s="409"/>
      <c r="AA102"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102"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102"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102"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102" s="153">
        <f ca="1">IF(Delay_emissions_table[[#This Row],[Year]]="","",AE101*(1+Traffic_growth_rate))</f>
        <v>0</v>
      </c>
      <c r="AF102" s="539">
        <f ca="1">IFERROR(((1-enviro_disc)^(Delay_emissions_table[[#This Row],[Year]]-YEAR(TODAY())))*IF(Delay_emissions_table[[#This Row],[Year]]&gt;=YEAR(TODAY()),1,0),0)</f>
        <v>0.92274469442791995</v>
      </c>
      <c r="AG102" s="505">
        <f ca="1">IF(Delay_emissions_table[[#This Row],[Year]]="","",AG101*(1+Traffic_growth_rate))</f>
        <v>0</v>
      </c>
      <c r="AH102" s="50"/>
    </row>
    <row r="103" spans="2:34" x14ac:dyDescent="0.35">
      <c r="B103" s="115">
        <f ca="1">IFERROR(IF(B102+1&lt;=YEAR(NOW())+IF('Impact Analysis'!$C$14="Indefinite",MAX('Data Entry'!$C$39:$D$39),'Impact Analysis'!$C$14),B102+1,""),"")</f>
        <v>2033</v>
      </c>
      <c r="C103" s="115">
        <f ca="1">IF(Delay_emissions_table[[#This Row],[Year]]="","",C102+1)</f>
        <v>9</v>
      </c>
      <c r="D103" s="445"/>
      <c r="E103" s="419"/>
      <c r="F103" s="419"/>
      <c r="G103" s="419"/>
      <c r="H103" s="409"/>
      <c r="I103"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103"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103"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103"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103" s="445"/>
      <c r="N103" s="419"/>
      <c r="O103" s="419"/>
      <c r="P103" s="419"/>
      <c r="Q103" s="409"/>
      <c r="R103"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103"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103"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103"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103" s="445"/>
      <c r="W103" s="419"/>
      <c r="X103" s="419"/>
      <c r="Y103" s="419"/>
      <c r="Z103" s="409"/>
      <c r="AA103"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103"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103"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103"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103" s="153">
        <f ca="1">IF(Delay_emissions_table[[#This Row],[Year]]="","",AE102*(1+Traffic_growth_rate))</f>
        <v>0</v>
      </c>
      <c r="AF103" s="539">
        <f ca="1">IFERROR(((1-enviro_disc)^(Delay_emissions_table[[#This Row],[Year]]-YEAR(TODAY())))*IF(Delay_emissions_table[[#This Row],[Year]]&gt;=YEAR(TODAY()),1,0),0)</f>
        <v>0.91351724748364072</v>
      </c>
      <c r="AG103" s="505">
        <f ca="1">IF(Delay_emissions_table[[#This Row],[Year]]="","",AG102*(1+Traffic_growth_rate))</f>
        <v>0</v>
      </c>
      <c r="AH103" s="50"/>
    </row>
    <row r="104" spans="2:34" x14ac:dyDescent="0.35">
      <c r="B104" s="115">
        <f ca="1">IFERROR(IF(B103+1&lt;=YEAR(NOW())+IF('Impact Analysis'!$C$14="Indefinite",MAX('Data Entry'!$C$39:$D$39),'Impact Analysis'!$C$14),B103+1,""),"")</f>
        <v>2034</v>
      </c>
      <c r="C104" s="115">
        <f ca="1">IF(Delay_emissions_table[[#This Row],[Year]]="","",C103+1)</f>
        <v>10</v>
      </c>
      <c r="D104" s="444"/>
      <c r="E104" s="419"/>
      <c r="F104" s="419"/>
      <c r="G104" s="419"/>
      <c r="H104" s="409"/>
      <c r="I104"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0</v>
      </c>
      <c r="J104"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K104"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L104" s="498">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0</v>
      </c>
      <c r="M104" s="445"/>
      <c r="N104" s="419"/>
      <c r="O104" s="419"/>
      <c r="P104" s="419"/>
      <c r="Q104" s="409"/>
      <c r="R104"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0</v>
      </c>
      <c r="S104"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T104"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U104"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0</v>
      </c>
      <c r="V104" s="445"/>
      <c r="W104" s="419"/>
      <c r="X104" s="419"/>
      <c r="Y104" s="419"/>
      <c r="Z104" s="409"/>
      <c r="AA104" s="497">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0</v>
      </c>
      <c r="AB104" s="498">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C104" s="498">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D104" s="502">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0</v>
      </c>
      <c r="AE104" s="153">
        <f ca="1">IF(Delay_emissions_table[[#This Row],[Year]]="","",AE103*(1+Traffic_growth_rate))</f>
        <v>0</v>
      </c>
      <c r="AF104" s="539">
        <f ca="1">IFERROR(((1-enviro_disc)^(Delay_emissions_table[[#This Row],[Year]]-YEAR(TODAY())))*IF(Delay_emissions_table[[#This Row],[Year]]&gt;=YEAR(TODAY()),1,0),0)</f>
        <v>0.9043820750088043</v>
      </c>
      <c r="AG104" s="505">
        <f ca="1">IF(Delay_emissions_table[[#This Row],[Year]]="","",AG103*(1+Traffic_growth_rate))</f>
        <v>0</v>
      </c>
      <c r="AH104" s="50"/>
    </row>
    <row r="105" spans="2:34" x14ac:dyDescent="0.35">
      <c r="B105" s="115" t="str">
        <f ca="1">IFERROR(IF(B104+1&lt;=YEAR(NOW())+IF('Impact Analysis'!$C$14="Indefinite",MAX('Data Entry'!$C$39:$D$39),'Impact Analysis'!$C$14),B104+1,""),"")</f>
        <v/>
      </c>
      <c r="C105" s="115" t="str">
        <f ca="1">IF(Delay_emissions_table[[#This Row],[Year]]="","",C104+1)</f>
        <v/>
      </c>
      <c r="D105" s="445"/>
      <c r="E105" s="419"/>
      <c r="F105" s="419"/>
      <c r="G105" s="419"/>
      <c r="H105" s="409"/>
      <c r="I10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0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0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05"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05" s="445"/>
      <c r="N105" s="419"/>
      <c r="O105" s="419"/>
      <c r="P105" s="419"/>
      <c r="Q105" s="409"/>
      <c r="R10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0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0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0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05" s="445"/>
      <c r="W105" s="419"/>
      <c r="X105" s="419"/>
      <c r="Y105" s="419"/>
      <c r="Z105" s="409"/>
      <c r="AA10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0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0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0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05" s="153" t="str">
        <f ca="1">IF(Delay_emissions_table[[#This Row],[Year]]="","",AE104*(1+Traffic_growth_rate))</f>
        <v/>
      </c>
      <c r="AF105" s="539">
        <f ca="1">IFERROR(((1-enviro_disc)^(Delay_emissions_table[[#This Row],[Year]]-YEAR(TODAY())))*IF(Delay_emissions_table[[#This Row],[Year]]&gt;=YEAR(TODAY()),1,0),0)</f>
        <v>0</v>
      </c>
      <c r="AG105" s="505" t="str">
        <f ca="1">IF(Delay_emissions_table[[#This Row],[Year]]="","",AG104*(1+Traffic_growth_rate))</f>
        <v/>
      </c>
      <c r="AH105" s="50"/>
    </row>
    <row r="106" spans="2:34" x14ac:dyDescent="0.35">
      <c r="B106" s="115" t="str">
        <f ca="1">IFERROR(IF(B105+1&lt;=YEAR(NOW())+IF('Impact Analysis'!$C$14="Indefinite",MAX('Data Entry'!$C$39:$D$39),'Impact Analysis'!$C$14),B105+1,""),"")</f>
        <v/>
      </c>
      <c r="C106" s="115" t="str">
        <f ca="1">IF(Delay_emissions_table[[#This Row],[Year]]="","",C105+1)</f>
        <v/>
      </c>
      <c r="D106" s="445"/>
      <c r="E106" s="419"/>
      <c r="F106" s="419"/>
      <c r="G106" s="419"/>
      <c r="H106" s="409"/>
      <c r="I10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0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0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06"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06" s="445"/>
      <c r="N106" s="419"/>
      <c r="O106" s="419"/>
      <c r="P106" s="419"/>
      <c r="Q106" s="409"/>
      <c r="R10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0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0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0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06" s="445"/>
      <c r="W106" s="419"/>
      <c r="X106" s="419"/>
      <c r="Y106" s="419"/>
      <c r="Z106" s="409"/>
      <c r="AA10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0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0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0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06" s="153" t="str">
        <f ca="1">IF(Delay_emissions_table[[#This Row],[Year]]="","",AE105*(1+Traffic_growth_rate))</f>
        <v/>
      </c>
      <c r="AF106" s="539">
        <f ca="1">IFERROR(((1-enviro_disc)^(Delay_emissions_table[[#This Row],[Year]]-YEAR(TODAY())))*IF(Delay_emissions_table[[#This Row],[Year]]&gt;=YEAR(TODAY()),1,0),0)</f>
        <v>0</v>
      </c>
      <c r="AG106" s="505" t="str">
        <f ca="1">IF(Delay_emissions_table[[#This Row],[Year]]="","",AG105*(1+Traffic_growth_rate))</f>
        <v/>
      </c>
      <c r="AH106" s="50"/>
    </row>
    <row r="107" spans="2:34" x14ac:dyDescent="0.35">
      <c r="B107" s="115" t="str">
        <f ca="1">IFERROR(IF(B106+1&lt;=YEAR(NOW())+IF('Impact Analysis'!$C$14="Indefinite",MAX('Data Entry'!$C$39:$D$39),'Impact Analysis'!$C$14),B106+1,""),"")</f>
        <v/>
      </c>
      <c r="C107" s="115" t="str">
        <f ca="1">IF(Delay_emissions_table[[#This Row],[Year]]="","",C106+1)</f>
        <v/>
      </c>
      <c r="D107" s="445"/>
      <c r="E107" s="419"/>
      <c r="F107" s="419"/>
      <c r="G107" s="419"/>
      <c r="H107" s="409"/>
      <c r="I10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0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0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07"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07" s="445"/>
      <c r="N107" s="419"/>
      <c r="O107" s="419"/>
      <c r="P107" s="419"/>
      <c r="Q107" s="409"/>
      <c r="R10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0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0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0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07" s="445"/>
      <c r="W107" s="419"/>
      <c r="X107" s="419"/>
      <c r="Y107" s="419"/>
      <c r="Z107" s="409"/>
      <c r="AA10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0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0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0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07" s="153" t="str">
        <f ca="1">IF(Delay_emissions_table[[#This Row],[Year]]="","",AE106*(1+Traffic_growth_rate))</f>
        <v/>
      </c>
      <c r="AF107" s="539">
        <f ca="1">IFERROR(((1-enviro_disc)^(Delay_emissions_table[[#This Row],[Year]]-YEAR(TODAY())))*IF(Delay_emissions_table[[#This Row],[Year]]&gt;=YEAR(TODAY()),1,0),0)</f>
        <v>0</v>
      </c>
      <c r="AG107" s="505" t="str">
        <f ca="1">IF(Delay_emissions_table[[#This Row],[Year]]="","",AG106*(1+Traffic_growth_rate))</f>
        <v/>
      </c>
      <c r="AH107" s="50"/>
    </row>
    <row r="108" spans="2:34" x14ac:dyDescent="0.35">
      <c r="B108" s="115" t="str">
        <f ca="1">IFERROR(IF(B107+1&lt;=YEAR(NOW())+IF('Impact Analysis'!$C$14="Indefinite",MAX('Data Entry'!$C$39:$D$39),'Impact Analysis'!$C$14),B107+1,""),"")</f>
        <v/>
      </c>
      <c r="C108" s="115" t="str">
        <f ca="1">IF(Delay_emissions_table[[#This Row],[Year]]="","",C107+1)</f>
        <v/>
      </c>
      <c r="D108" s="445"/>
      <c r="E108" s="419"/>
      <c r="F108" s="419"/>
      <c r="G108" s="419"/>
      <c r="H108" s="409"/>
      <c r="I10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0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0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08"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08" s="445"/>
      <c r="N108" s="419"/>
      <c r="O108" s="419"/>
      <c r="P108" s="419"/>
      <c r="Q108" s="409"/>
      <c r="R10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0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0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0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08" s="445"/>
      <c r="W108" s="419"/>
      <c r="X108" s="419"/>
      <c r="Y108" s="419"/>
      <c r="Z108" s="409"/>
      <c r="AA10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0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0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0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08" s="153" t="str">
        <f ca="1">IF(Delay_emissions_table[[#This Row],[Year]]="","",AE107*(1+Traffic_growth_rate))</f>
        <v/>
      </c>
      <c r="AF108" s="539">
        <f ca="1">IFERROR(((1-enviro_disc)^(Delay_emissions_table[[#This Row],[Year]]-YEAR(TODAY())))*IF(Delay_emissions_table[[#This Row],[Year]]&gt;=YEAR(TODAY()),1,0),0)</f>
        <v>0</v>
      </c>
      <c r="AG108" s="505" t="str">
        <f ca="1">IF(Delay_emissions_table[[#This Row],[Year]]="","",AG107*(1+Traffic_growth_rate))</f>
        <v/>
      </c>
      <c r="AH108" s="50"/>
    </row>
    <row r="109" spans="2:34" x14ac:dyDescent="0.35">
      <c r="B109" s="115" t="str">
        <f ca="1">IFERROR(IF(B108+1&lt;=YEAR(NOW())+IF('Impact Analysis'!$C$14="Indefinite",MAX('Data Entry'!$C$39:$D$39),'Impact Analysis'!$C$14),B108+1,""),"")</f>
        <v/>
      </c>
      <c r="C109" s="115" t="str">
        <f ca="1">IF(Delay_emissions_table[[#This Row],[Year]]="","",C108+1)</f>
        <v/>
      </c>
      <c r="D109" s="445"/>
      <c r="E109" s="419"/>
      <c r="F109" s="419"/>
      <c r="G109" s="419"/>
      <c r="H109" s="409"/>
      <c r="I10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0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0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09"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09" s="445"/>
      <c r="N109" s="419"/>
      <c r="O109" s="419"/>
      <c r="P109" s="419"/>
      <c r="Q109" s="409"/>
      <c r="R10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0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0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0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09" s="445"/>
      <c r="W109" s="419"/>
      <c r="X109" s="419"/>
      <c r="Y109" s="419"/>
      <c r="Z109" s="409"/>
      <c r="AA10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0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0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0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09" s="153" t="str">
        <f ca="1">IF(Delay_emissions_table[[#This Row],[Year]]="","",AE108*(1+Traffic_growth_rate))</f>
        <v/>
      </c>
      <c r="AF109" s="539">
        <f ca="1">IFERROR(((1-enviro_disc)^(Delay_emissions_table[[#This Row],[Year]]-YEAR(TODAY())))*IF(Delay_emissions_table[[#This Row],[Year]]&gt;=YEAR(TODAY()),1,0),0)</f>
        <v>0</v>
      </c>
      <c r="AG109" s="505" t="str">
        <f ca="1">IF(Delay_emissions_table[[#This Row],[Year]]="","",AG108*(1+Traffic_growth_rate))</f>
        <v/>
      </c>
      <c r="AH109" s="50"/>
    </row>
    <row r="110" spans="2:34" x14ac:dyDescent="0.35">
      <c r="B110" s="115" t="str">
        <f ca="1">IFERROR(IF(B109+1&lt;=YEAR(NOW())+IF('Impact Analysis'!$C$14="Indefinite",MAX('Data Entry'!$C$39:$D$39),'Impact Analysis'!$C$14),B109+1,""),"")</f>
        <v/>
      </c>
      <c r="C110" s="115" t="str">
        <f ca="1">IF(Delay_emissions_table[[#This Row],[Year]]="","",C109+1)</f>
        <v/>
      </c>
      <c r="D110" s="445"/>
      <c r="E110" s="419"/>
      <c r="F110" s="419"/>
      <c r="G110" s="419"/>
      <c r="H110" s="409"/>
      <c r="I11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0"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0" s="445"/>
      <c r="N110" s="419"/>
      <c r="O110" s="419"/>
      <c r="P110" s="419"/>
      <c r="Q110" s="409"/>
      <c r="R11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0" s="445"/>
      <c r="W110" s="419"/>
      <c r="X110" s="419"/>
      <c r="Y110" s="419"/>
      <c r="Z110" s="409"/>
      <c r="AA11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0" s="153" t="str">
        <f ca="1">IF(Delay_emissions_table[[#This Row],[Year]]="","",AE109*(1+Traffic_growth_rate))</f>
        <v/>
      </c>
      <c r="AF110" s="539">
        <f ca="1">IFERROR(((1-enviro_disc)^(Delay_emissions_table[[#This Row],[Year]]-YEAR(TODAY())))*IF(Delay_emissions_table[[#This Row],[Year]]&gt;=YEAR(TODAY()),1,0),0)</f>
        <v>0</v>
      </c>
      <c r="AG110" s="505" t="str">
        <f ca="1">IF(Delay_emissions_table[[#This Row],[Year]]="","",AG109*(1+Traffic_growth_rate))</f>
        <v/>
      </c>
      <c r="AH110" s="50"/>
    </row>
    <row r="111" spans="2:34" x14ac:dyDescent="0.35">
      <c r="B111" s="115" t="str">
        <f ca="1">IFERROR(IF(B110+1&lt;=YEAR(NOW())+IF('Impact Analysis'!$C$14="Indefinite",MAX('Data Entry'!$C$39:$D$39),'Impact Analysis'!$C$14),B110+1,""),"")</f>
        <v/>
      </c>
      <c r="C111" s="115" t="str">
        <f ca="1">IF(Delay_emissions_table[[#This Row],[Year]]="","",C110+1)</f>
        <v/>
      </c>
      <c r="D111" s="445"/>
      <c r="E111" s="419"/>
      <c r="F111" s="419"/>
      <c r="G111" s="419"/>
      <c r="H111" s="409"/>
      <c r="I11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1"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1" s="445"/>
      <c r="N111" s="419"/>
      <c r="O111" s="419"/>
      <c r="P111" s="419"/>
      <c r="Q111" s="409"/>
      <c r="R11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1" s="445"/>
      <c r="W111" s="419"/>
      <c r="X111" s="419"/>
      <c r="Y111" s="419"/>
      <c r="Z111" s="409"/>
      <c r="AA11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1" s="153" t="str">
        <f ca="1">IF(Delay_emissions_table[[#This Row],[Year]]="","",AE110*(1+Traffic_growth_rate))</f>
        <v/>
      </c>
      <c r="AF111" s="539">
        <f ca="1">IFERROR(((1-enviro_disc)^(Delay_emissions_table[[#This Row],[Year]]-YEAR(TODAY())))*IF(Delay_emissions_table[[#This Row],[Year]]&gt;=YEAR(TODAY()),1,0),0)</f>
        <v>0</v>
      </c>
      <c r="AG111" s="505" t="str">
        <f ca="1">IF(Delay_emissions_table[[#This Row],[Year]]="","",AG110*(1+Traffic_growth_rate))</f>
        <v/>
      </c>
      <c r="AH111" s="50"/>
    </row>
    <row r="112" spans="2:34" x14ac:dyDescent="0.35">
      <c r="B112" s="115" t="str">
        <f ca="1">IFERROR(IF(B111+1&lt;=YEAR(NOW())+IF('Impact Analysis'!$C$14="Indefinite",MAX('Data Entry'!$C$39:$D$39),'Impact Analysis'!$C$14),B111+1,""),"")</f>
        <v/>
      </c>
      <c r="C112" s="115" t="str">
        <f ca="1">IF(Delay_emissions_table[[#This Row],[Year]]="","",C111+1)</f>
        <v/>
      </c>
      <c r="D112" s="445"/>
      <c r="E112" s="419"/>
      <c r="F112" s="419"/>
      <c r="G112" s="419"/>
      <c r="H112" s="409"/>
      <c r="I11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2"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2" s="445"/>
      <c r="N112" s="419"/>
      <c r="O112" s="419"/>
      <c r="P112" s="419"/>
      <c r="Q112" s="409"/>
      <c r="R11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2" s="445"/>
      <c r="W112" s="419"/>
      <c r="X112" s="419"/>
      <c r="Y112" s="419"/>
      <c r="Z112" s="409"/>
      <c r="AA11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2" s="153" t="str">
        <f ca="1">IF(Delay_emissions_table[[#This Row],[Year]]="","",AE111*(1+Traffic_growth_rate))</f>
        <v/>
      </c>
      <c r="AF112" s="539">
        <f ca="1">IFERROR(((1-enviro_disc)^(Delay_emissions_table[[#This Row],[Year]]-YEAR(TODAY())))*IF(Delay_emissions_table[[#This Row],[Year]]&gt;=YEAR(TODAY()),1,0),0)</f>
        <v>0</v>
      </c>
      <c r="AG112" s="505" t="str">
        <f ca="1">IF(Delay_emissions_table[[#This Row],[Year]]="","",AG111*(1+Traffic_growth_rate))</f>
        <v/>
      </c>
      <c r="AH112" s="50"/>
    </row>
    <row r="113" spans="2:34" x14ac:dyDescent="0.35">
      <c r="B113" s="115" t="str">
        <f ca="1">IFERROR(IF(B112+1&lt;=YEAR(NOW())+IF('Impact Analysis'!$C$14="Indefinite",MAX('Data Entry'!$C$39:$D$39),'Impact Analysis'!$C$14),B112+1,""),"")</f>
        <v/>
      </c>
      <c r="C113" s="115" t="str">
        <f ca="1">IF(Delay_emissions_table[[#This Row],[Year]]="","",C112+1)</f>
        <v/>
      </c>
      <c r="D113" s="445"/>
      <c r="E113" s="419"/>
      <c r="F113" s="419"/>
      <c r="G113" s="419"/>
      <c r="H113" s="409"/>
      <c r="I11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3"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3" s="445"/>
      <c r="N113" s="419"/>
      <c r="O113" s="419"/>
      <c r="P113" s="419"/>
      <c r="Q113" s="409"/>
      <c r="R11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3" s="445"/>
      <c r="W113" s="419"/>
      <c r="X113" s="419"/>
      <c r="Y113" s="419"/>
      <c r="Z113" s="409"/>
      <c r="AA11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3" s="153" t="str">
        <f ca="1">IF(Delay_emissions_table[[#This Row],[Year]]="","",AE112*(1+Traffic_growth_rate))</f>
        <v/>
      </c>
      <c r="AF113" s="539">
        <f ca="1">IFERROR(((1-enviro_disc)^(Delay_emissions_table[[#This Row],[Year]]-YEAR(TODAY())))*IF(Delay_emissions_table[[#This Row],[Year]]&gt;=YEAR(TODAY()),1,0),0)</f>
        <v>0</v>
      </c>
      <c r="AG113" s="505" t="str">
        <f ca="1">IF(Delay_emissions_table[[#This Row],[Year]]="","",AG112*(1+Traffic_growth_rate))</f>
        <v/>
      </c>
      <c r="AH113" s="50"/>
    </row>
    <row r="114" spans="2:34" x14ac:dyDescent="0.35">
      <c r="B114" s="115" t="str">
        <f ca="1">IFERROR(IF(B113+1&lt;=YEAR(NOW())+IF('Impact Analysis'!$C$14="Indefinite",MAX('Data Entry'!$C$39:$D$39),'Impact Analysis'!$C$14),B113+1,""),"")</f>
        <v/>
      </c>
      <c r="C114" s="115" t="str">
        <f ca="1">IF(Delay_emissions_table[[#This Row],[Year]]="","",C113+1)</f>
        <v/>
      </c>
      <c r="D114" s="445"/>
      <c r="E114" s="419"/>
      <c r="F114" s="419"/>
      <c r="G114" s="419"/>
      <c r="H114" s="409"/>
      <c r="I11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4"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4" s="445"/>
      <c r="N114" s="419"/>
      <c r="O114" s="419"/>
      <c r="P114" s="419"/>
      <c r="Q114" s="409"/>
      <c r="R11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4" s="445"/>
      <c r="W114" s="419"/>
      <c r="X114" s="419"/>
      <c r="Y114" s="419"/>
      <c r="Z114" s="409"/>
      <c r="AA11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4" s="153" t="str">
        <f ca="1">IF(Delay_emissions_table[[#This Row],[Year]]="","",AE113*(1+Traffic_growth_rate))</f>
        <v/>
      </c>
      <c r="AF114" s="539">
        <f ca="1">IFERROR(((1-enviro_disc)^(Delay_emissions_table[[#This Row],[Year]]-YEAR(TODAY())))*IF(Delay_emissions_table[[#This Row],[Year]]&gt;=YEAR(TODAY()),1,0),0)</f>
        <v>0</v>
      </c>
      <c r="AG114" s="505" t="str">
        <f ca="1">IF(Delay_emissions_table[[#This Row],[Year]]="","",AG113*(1+Traffic_growth_rate))</f>
        <v/>
      </c>
      <c r="AH114" s="50"/>
    </row>
    <row r="115" spans="2:34" x14ac:dyDescent="0.35">
      <c r="B115" s="115" t="str">
        <f ca="1">IFERROR(IF(B114+1&lt;=YEAR(NOW())+IF('Impact Analysis'!$C$14="Indefinite",MAX('Data Entry'!$C$39:$D$39),'Impact Analysis'!$C$14),B114+1,""),"")</f>
        <v/>
      </c>
      <c r="C115" s="115" t="str">
        <f ca="1">IF(Delay_emissions_table[[#This Row],[Year]]="","",C114+1)</f>
        <v/>
      </c>
      <c r="D115" s="445"/>
      <c r="E115" s="419"/>
      <c r="F115" s="419"/>
      <c r="G115" s="419"/>
      <c r="H115" s="409"/>
      <c r="I11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5"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5" s="445"/>
      <c r="N115" s="419"/>
      <c r="O115" s="419"/>
      <c r="P115" s="419"/>
      <c r="Q115" s="409"/>
      <c r="R115"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5"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5"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5"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5" s="445"/>
      <c r="W115" s="419"/>
      <c r="X115" s="419"/>
      <c r="Y115" s="419"/>
      <c r="Z115" s="409"/>
      <c r="AA11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5" s="153" t="str">
        <f ca="1">IF(Delay_emissions_table[[#This Row],[Year]]="","",AE114*(1+Traffic_growth_rate))</f>
        <v/>
      </c>
      <c r="AF115" s="503">
        <f ca="1">IFERROR(((1-enviro_disc)^(Delay_emissions_table[[#This Row],[Year]]-YEAR(TODAY())))*IF(Delay_emissions_table[[#This Row],[Year]]&gt;=YEAR(TODAY()),1,0),0)</f>
        <v>0</v>
      </c>
      <c r="AG115" s="505" t="str">
        <f ca="1">IF(Delay_emissions_table[[#This Row],[Year]]="","",AG114*(1+Traffic_growth_rate))</f>
        <v/>
      </c>
      <c r="AH115" s="50"/>
    </row>
    <row r="116" spans="2:34" x14ac:dyDescent="0.35">
      <c r="B116" s="115" t="str">
        <f ca="1">IFERROR(IF(B115+1&lt;=YEAR(NOW())+IF('Impact Analysis'!$C$14="Indefinite",MAX('Data Entry'!$C$39:$D$39),'Impact Analysis'!$C$14),B115+1,""),"")</f>
        <v/>
      </c>
      <c r="C116" s="115" t="str">
        <f ca="1">IF(Delay_emissions_table[[#This Row],[Year]]="","",C115+1)</f>
        <v/>
      </c>
      <c r="D116" s="445"/>
      <c r="E116" s="419"/>
      <c r="F116" s="419"/>
      <c r="G116" s="419"/>
      <c r="H116" s="409"/>
      <c r="I11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6"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6" s="445"/>
      <c r="N116" s="419"/>
      <c r="O116" s="419"/>
      <c r="P116" s="419"/>
      <c r="Q116" s="409"/>
      <c r="R116"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6"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6"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6"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6" s="445"/>
      <c r="W116" s="419"/>
      <c r="X116" s="419"/>
      <c r="Y116" s="419"/>
      <c r="Z116" s="409"/>
      <c r="AA11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6" s="153" t="str">
        <f ca="1">IF(Delay_emissions_table[[#This Row],[Year]]="","",AE115*(1+Traffic_growth_rate))</f>
        <v/>
      </c>
      <c r="AF116" s="503">
        <f ca="1">IFERROR(((1-enviro_disc)^(Delay_emissions_table[[#This Row],[Year]]-YEAR(TODAY())))*IF(Delay_emissions_table[[#This Row],[Year]]&gt;=YEAR(TODAY()),1,0),0)</f>
        <v>0</v>
      </c>
      <c r="AG116" s="505" t="str">
        <f ca="1">IF(Delay_emissions_table[[#This Row],[Year]]="","",AG115*(1+Traffic_growth_rate))</f>
        <v/>
      </c>
      <c r="AH116" s="50"/>
    </row>
    <row r="117" spans="2:34" x14ac:dyDescent="0.35">
      <c r="B117" s="115" t="str">
        <f ca="1">IFERROR(IF(B116+1&lt;=YEAR(NOW())+IF('Impact Analysis'!$C$14="Indefinite",MAX('Data Entry'!$C$39:$D$39),'Impact Analysis'!$C$14),B116+1,""),"")</f>
        <v/>
      </c>
      <c r="C117" s="115" t="str">
        <f ca="1">IF(Delay_emissions_table[[#This Row],[Year]]="","",C116+1)</f>
        <v/>
      </c>
      <c r="D117" s="445"/>
      <c r="E117" s="419"/>
      <c r="F117" s="419"/>
      <c r="G117" s="419"/>
      <c r="H117" s="409"/>
      <c r="I11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7"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7" s="445"/>
      <c r="N117" s="419"/>
      <c r="O117" s="419"/>
      <c r="P117" s="419"/>
      <c r="Q117" s="409"/>
      <c r="R117"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7"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7"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7"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7" s="445"/>
      <c r="W117" s="419"/>
      <c r="X117" s="419"/>
      <c r="Y117" s="419"/>
      <c r="Z117" s="409"/>
      <c r="AA11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7" s="153" t="str">
        <f ca="1">IF(Delay_emissions_table[[#This Row],[Year]]="","",AE116*(1+Traffic_growth_rate))</f>
        <v/>
      </c>
      <c r="AF117" s="503">
        <f ca="1">IFERROR(((1-enviro_disc)^(Delay_emissions_table[[#This Row],[Year]]-YEAR(TODAY())))*IF(Delay_emissions_table[[#This Row],[Year]]&gt;=YEAR(TODAY()),1,0),0)</f>
        <v>0</v>
      </c>
      <c r="AG117" s="505" t="str">
        <f ca="1">IF(Delay_emissions_table[[#This Row],[Year]]="","",AG116*(1+Traffic_growth_rate))</f>
        <v/>
      </c>
      <c r="AH117" s="50"/>
    </row>
    <row r="118" spans="2:34" x14ac:dyDescent="0.35">
      <c r="B118" s="115" t="str">
        <f ca="1">IFERROR(IF(B117+1&lt;=YEAR(NOW())+IF('Impact Analysis'!$C$14="Indefinite",MAX('Data Entry'!$C$39:$D$39),'Impact Analysis'!$C$14),B117+1,""),"")</f>
        <v/>
      </c>
      <c r="C118" s="115" t="str">
        <f ca="1">IF(Delay_emissions_table[[#This Row],[Year]]="","",C117+1)</f>
        <v/>
      </c>
      <c r="D118" s="445"/>
      <c r="E118" s="419"/>
      <c r="F118" s="419"/>
      <c r="G118" s="419"/>
      <c r="H118" s="409"/>
      <c r="I11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8"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8" s="445"/>
      <c r="N118" s="419"/>
      <c r="O118" s="419"/>
      <c r="P118" s="419"/>
      <c r="Q118" s="409"/>
      <c r="R118"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8"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8"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8"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8" s="445"/>
      <c r="W118" s="419"/>
      <c r="X118" s="419"/>
      <c r="Y118" s="419"/>
      <c r="Z118" s="409"/>
      <c r="AA11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8" s="153" t="str">
        <f ca="1">IF(Delay_emissions_table[[#This Row],[Year]]="","",AE117*(1+Traffic_growth_rate))</f>
        <v/>
      </c>
      <c r="AF118" s="503">
        <f ca="1">IFERROR(((1-enviro_disc)^(Delay_emissions_table[[#This Row],[Year]]-YEAR(TODAY())))*IF(Delay_emissions_table[[#This Row],[Year]]&gt;=YEAR(TODAY()),1,0),0)</f>
        <v>0</v>
      </c>
      <c r="AG118" s="505" t="str">
        <f ca="1">IF(Delay_emissions_table[[#This Row],[Year]]="","",AG117*(1+Traffic_growth_rate))</f>
        <v/>
      </c>
      <c r="AH118" s="50"/>
    </row>
    <row r="119" spans="2:34" x14ac:dyDescent="0.35">
      <c r="B119" s="115" t="str">
        <f ca="1">IFERROR(IF(B118+1&lt;=YEAR(NOW())+IF('Impact Analysis'!$C$14="Indefinite",MAX('Data Entry'!$C$39:$D$39),'Impact Analysis'!$C$14),B118+1,""),"")</f>
        <v/>
      </c>
      <c r="C119" s="115" t="str">
        <f ca="1">IF(Delay_emissions_table[[#This Row],[Year]]="","",C118+1)</f>
        <v/>
      </c>
      <c r="D119" s="445"/>
      <c r="E119" s="419"/>
      <c r="F119" s="419"/>
      <c r="G119" s="419"/>
      <c r="H119" s="409"/>
      <c r="I11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1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1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19"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19" s="445"/>
      <c r="N119" s="419"/>
      <c r="O119" s="419"/>
      <c r="P119" s="419"/>
      <c r="Q119" s="409"/>
      <c r="R119"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19"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19"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19"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19" s="445"/>
      <c r="W119" s="419"/>
      <c r="X119" s="419"/>
      <c r="Y119" s="419"/>
      <c r="Z119" s="409"/>
      <c r="AA11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1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1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1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19" s="153" t="str">
        <f ca="1">IF(Delay_emissions_table[[#This Row],[Year]]="","",AE118*(1+Traffic_growth_rate))</f>
        <v/>
      </c>
      <c r="AF119" s="503">
        <f ca="1">IFERROR(((1-enviro_disc)^(Delay_emissions_table[[#This Row],[Year]]-YEAR(TODAY())))*IF(Delay_emissions_table[[#This Row],[Year]]&gt;=YEAR(TODAY()),1,0),0)</f>
        <v>0</v>
      </c>
      <c r="AG119" s="505" t="str">
        <f ca="1">IF(Delay_emissions_table[[#This Row],[Year]]="","",AG118*(1+Traffic_growth_rate))</f>
        <v/>
      </c>
      <c r="AH119" s="50"/>
    </row>
    <row r="120" spans="2:34" x14ac:dyDescent="0.35">
      <c r="B120" s="115" t="str">
        <f ca="1">IFERROR(IF(B119+1&lt;=YEAR(NOW())+IF('Impact Analysis'!$C$14="Indefinite",MAX('Data Entry'!$C$39:$D$39),'Impact Analysis'!$C$14),B119+1,""),"")</f>
        <v/>
      </c>
      <c r="C120" s="115" t="str">
        <f ca="1">IF(Delay_emissions_table[[#This Row],[Year]]="","",C119+1)</f>
        <v/>
      </c>
      <c r="D120" s="445"/>
      <c r="E120" s="419"/>
      <c r="F120" s="419"/>
      <c r="G120" s="419"/>
      <c r="H120" s="409"/>
      <c r="I12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0"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0" s="445"/>
      <c r="N120" s="419"/>
      <c r="O120" s="419"/>
      <c r="P120" s="419"/>
      <c r="Q120" s="409"/>
      <c r="R120"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0"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0"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0"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0" s="445"/>
      <c r="W120" s="419"/>
      <c r="X120" s="419"/>
      <c r="Y120" s="419"/>
      <c r="Z120" s="409"/>
      <c r="AA12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0" s="153" t="str">
        <f ca="1">IF(Delay_emissions_table[[#This Row],[Year]]="","",AE119*(1+Traffic_growth_rate))</f>
        <v/>
      </c>
      <c r="AF120" s="503">
        <f ca="1">IFERROR(((1-enviro_disc)^(Delay_emissions_table[[#This Row],[Year]]-YEAR(TODAY())))*IF(Delay_emissions_table[[#This Row],[Year]]&gt;=YEAR(TODAY()),1,0),0)</f>
        <v>0</v>
      </c>
      <c r="AG120" s="505" t="str">
        <f ca="1">IF(Delay_emissions_table[[#This Row],[Year]]="","",AG119*(1+Traffic_growth_rate))</f>
        <v/>
      </c>
      <c r="AH120" s="50"/>
    </row>
    <row r="121" spans="2:34" x14ac:dyDescent="0.35">
      <c r="B121" s="115" t="str">
        <f ca="1">IFERROR(IF(B120+1&lt;=YEAR(NOW())+IF('Impact Analysis'!$C$14="Indefinite",MAX('Data Entry'!$C$39:$D$39),'Impact Analysis'!$C$14),B120+1,""),"")</f>
        <v/>
      </c>
      <c r="C121" s="115" t="str">
        <f ca="1">IF(Delay_emissions_table[[#This Row],[Year]]="","",C120+1)</f>
        <v/>
      </c>
      <c r="D121" s="445"/>
      <c r="E121" s="419"/>
      <c r="F121" s="419"/>
      <c r="G121" s="419"/>
      <c r="H121" s="409"/>
      <c r="I12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1"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1" s="445"/>
      <c r="N121" s="419"/>
      <c r="O121" s="419"/>
      <c r="P121" s="419"/>
      <c r="Q121" s="409"/>
      <c r="R121"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1"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1"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1"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1" s="445"/>
      <c r="W121" s="419"/>
      <c r="X121" s="419"/>
      <c r="Y121" s="419"/>
      <c r="Z121" s="409"/>
      <c r="AA12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1" s="153" t="str">
        <f ca="1">IF(Delay_emissions_table[[#This Row],[Year]]="","",AE120*(1+Traffic_growth_rate))</f>
        <v/>
      </c>
      <c r="AF121" s="503">
        <f ca="1">IFERROR(((1-enviro_disc)^(Delay_emissions_table[[#This Row],[Year]]-YEAR(TODAY())))*IF(Delay_emissions_table[[#This Row],[Year]]&gt;=YEAR(TODAY()),1,0),0)</f>
        <v>0</v>
      </c>
      <c r="AG121" s="505" t="str">
        <f ca="1">IF(Delay_emissions_table[[#This Row],[Year]]="","",AG120*(1+Traffic_growth_rate))</f>
        <v/>
      </c>
      <c r="AH121" s="50"/>
    </row>
    <row r="122" spans="2:34" x14ac:dyDescent="0.35">
      <c r="B122" s="115" t="str">
        <f ca="1">IFERROR(IF(B121+1&lt;=YEAR(NOW())+IF('Impact Analysis'!$C$14="Indefinite",MAX('Data Entry'!$C$39:$D$39),'Impact Analysis'!$C$14),B121+1,""),"")</f>
        <v/>
      </c>
      <c r="C122" s="115" t="str">
        <f ca="1">IF(Delay_emissions_table[[#This Row],[Year]]="","",C121+1)</f>
        <v/>
      </c>
      <c r="D122" s="445"/>
      <c r="E122" s="419"/>
      <c r="F122" s="419"/>
      <c r="G122" s="419"/>
      <c r="H122" s="409"/>
      <c r="I12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2"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2" s="445"/>
      <c r="N122" s="419"/>
      <c r="O122" s="419"/>
      <c r="P122" s="419"/>
      <c r="Q122" s="409"/>
      <c r="R122"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2"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2"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2"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2" s="445"/>
      <c r="W122" s="419"/>
      <c r="X122" s="419"/>
      <c r="Y122" s="419"/>
      <c r="Z122" s="409"/>
      <c r="AA12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2" s="153" t="str">
        <f ca="1">IF(Delay_emissions_table[[#This Row],[Year]]="","",AE121*(1+Traffic_growth_rate))</f>
        <v/>
      </c>
      <c r="AF122" s="503">
        <f ca="1">IFERROR(((1-enviro_disc)^(Delay_emissions_table[[#This Row],[Year]]-YEAR(TODAY())))*IF(Delay_emissions_table[[#This Row],[Year]]&gt;=YEAR(TODAY()),1,0),0)</f>
        <v>0</v>
      </c>
      <c r="AG122" s="505" t="str">
        <f ca="1">IF(Delay_emissions_table[[#This Row],[Year]]="","",AG121*(1+Traffic_growth_rate))</f>
        <v/>
      </c>
      <c r="AH122" s="50"/>
    </row>
    <row r="123" spans="2:34" x14ac:dyDescent="0.35">
      <c r="B123" s="115" t="str">
        <f ca="1">IFERROR(IF(B122+1&lt;=YEAR(NOW())+IF('Impact Analysis'!$C$14="Indefinite",MAX('Data Entry'!$C$39:$D$39),'Impact Analysis'!$C$14),B122+1,""),"")</f>
        <v/>
      </c>
      <c r="C123" s="115" t="str">
        <f ca="1">IF(Delay_emissions_table[[#This Row],[Year]]="","",C122+1)</f>
        <v/>
      </c>
      <c r="D123" s="445"/>
      <c r="E123" s="419"/>
      <c r="F123" s="419"/>
      <c r="G123" s="419"/>
      <c r="H123" s="409"/>
      <c r="I12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3"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3" s="445"/>
      <c r="N123" s="419"/>
      <c r="O123" s="419"/>
      <c r="P123" s="419"/>
      <c r="Q123" s="409"/>
      <c r="R123"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3"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3"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3"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3" s="445"/>
      <c r="W123" s="419"/>
      <c r="X123" s="419"/>
      <c r="Y123" s="419"/>
      <c r="Z123" s="409"/>
      <c r="AA12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3" s="153" t="str">
        <f ca="1">IF(Delay_emissions_table[[#This Row],[Year]]="","",AE122*(1+Traffic_growth_rate))</f>
        <v/>
      </c>
      <c r="AF123" s="503">
        <f ca="1">IFERROR(((1-enviro_disc)^(Delay_emissions_table[[#This Row],[Year]]-YEAR(TODAY())))*IF(Delay_emissions_table[[#This Row],[Year]]&gt;=YEAR(TODAY()),1,0),0)</f>
        <v>0</v>
      </c>
      <c r="AG123" s="505" t="str">
        <f ca="1">IF(Delay_emissions_table[[#This Row],[Year]]="","",AG122*(1+Traffic_growth_rate))</f>
        <v/>
      </c>
      <c r="AH123" s="50"/>
    </row>
    <row r="124" spans="2:34" x14ac:dyDescent="0.35">
      <c r="B124" s="115" t="str">
        <f ca="1">IFERROR(IF(B123+1&lt;=YEAR(NOW())+IF('Impact Analysis'!$C$14="Indefinite",MAX('Data Entry'!$C$39:$D$39),'Impact Analysis'!$C$14),B123+1,""),"")</f>
        <v/>
      </c>
      <c r="C124" s="115" t="str">
        <f ca="1">IF(Delay_emissions_table[[#This Row],[Year]]="","",C123+1)</f>
        <v/>
      </c>
      <c r="D124" s="445"/>
      <c r="E124" s="419"/>
      <c r="F124" s="419"/>
      <c r="G124" s="419"/>
      <c r="H124" s="409"/>
      <c r="I12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4"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4" s="445"/>
      <c r="N124" s="419"/>
      <c r="O124" s="419"/>
      <c r="P124" s="419"/>
      <c r="Q124" s="409"/>
      <c r="R124"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4"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4"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4"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4" s="445"/>
      <c r="W124" s="419"/>
      <c r="X124" s="419"/>
      <c r="Y124" s="419"/>
      <c r="Z124" s="409"/>
      <c r="AA12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4" s="153" t="str">
        <f ca="1">IF(Delay_emissions_table[[#This Row],[Year]]="","",AE123*(1+Traffic_growth_rate))</f>
        <v/>
      </c>
      <c r="AF124" s="503">
        <f ca="1">IFERROR(((1-enviro_disc)^(Delay_emissions_table[[#This Row],[Year]]-YEAR(TODAY())))*IF(Delay_emissions_table[[#This Row],[Year]]&gt;=YEAR(TODAY()),1,0),0)</f>
        <v>0</v>
      </c>
      <c r="AG124" s="505" t="str">
        <f ca="1">IF(Delay_emissions_table[[#This Row],[Year]]="","",AG123*(1+Traffic_growth_rate))</f>
        <v/>
      </c>
      <c r="AH124" s="50"/>
    </row>
    <row r="125" spans="2:34" x14ac:dyDescent="0.35">
      <c r="B125" s="115" t="str">
        <f ca="1">IFERROR(IF(B124+1&lt;=YEAR(NOW())+IF('Impact Analysis'!$C$14="Indefinite",MAX('Data Entry'!$C$39:$D$39),'Impact Analysis'!$C$14),B124+1,""),"")</f>
        <v/>
      </c>
      <c r="C125" s="115" t="str">
        <f ca="1">IF(Delay_emissions_table[[#This Row],[Year]]="","",C124+1)</f>
        <v/>
      </c>
      <c r="D125" s="445"/>
      <c r="E125" s="419"/>
      <c r="F125" s="419"/>
      <c r="G125" s="419"/>
      <c r="H125" s="409"/>
      <c r="I12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5"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5" s="445"/>
      <c r="N125" s="419"/>
      <c r="O125" s="419"/>
      <c r="P125" s="419"/>
      <c r="Q125" s="409"/>
      <c r="R125"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5"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5"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5"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5" s="445"/>
      <c r="W125" s="419"/>
      <c r="X125" s="419"/>
      <c r="Y125" s="419"/>
      <c r="Z125" s="409"/>
      <c r="AA12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5" s="153" t="str">
        <f ca="1">IF(Delay_emissions_table[[#This Row],[Year]]="","",AE124*(1+Traffic_growth_rate))</f>
        <v/>
      </c>
      <c r="AF125" s="503">
        <f ca="1">IFERROR(((1-enviro_disc)^(Delay_emissions_table[[#This Row],[Year]]-YEAR(TODAY())))*IF(Delay_emissions_table[[#This Row],[Year]]&gt;=YEAR(TODAY()),1,0),0)</f>
        <v>0</v>
      </c>
      <c r="AG125" s="505" t="str">
        <f ca="1">IF(Delay_emissions_table[[#This Row],[Year]]="","",AG124*(1+Traffic_growth_rate))</f>
        <v/>
      </c>
      <c r="AH125" s="50"/>
    </row>
    <row r="126" spans="2:34" x14ac:dyDescent="0.35">
      <c r="B126" s="115" t="str">
        <f ca="1">IFERROR(IF(B125+1&lt;=YEAR(NOW())+IF('Impact Analysis'!$C$14="Indefinite",MAX('Data Entry'!$C$39:$D$39),'Impact Analysis'!$C$14),B125+1,""),"")</f>
        <v/>
      </c>
      <c r="C126" s="115" t="str">
        <f ca="1">IF(Delay_emissions_table[[#This Row],[Year]]="","",C125+1)</f>
        <v/>
      </c>
      <c r="D126" s="445"/>
      <c r="E126" s="419"/>
      <c r="F126" s="419"/>
      <c r="G126" s="419"/>
      <c r="H126" s="409"/>
      <c r="I12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6"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6" s="445"/>
      <c r="N126" s="419"/>
      <c r="O126" s="419"/>
      <c r="P126" s="419"/>
      <c r="Q126" s="409"/>
      <c r="R126"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6"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6"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6"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6" s="445"/>
      <c r="W126" s="419"/>
      <c r="X126" s="419"/>
      <c r="Y126" s="419"/>
      <c r="Z126" s="409"/>
      <c r="AA12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6" s="153" t="str">
        <f ca="1">IF(Delay_emissions_table[[#This Row],[Year]]="","",AE125*(1+Traffic_growth_rate))</f>
        <v/>
      </c>
      <c r="AF126" s="503">
        <f ca="1">IFERROR(((1-enviro_disc)^(Delay_emissions_table[[#This Row],[Year]]-YEAR(TODAY())))*IF(Delay_emissions_table[[#This Row],[Year]]&gt;=YEAR(TODAY()),1,0),0)</f>
        <v>0</v>
      </c>
      <c r="AG126" s="505" t="str">
        <f ca="1">IF(Delay_emissions_table[[#This Row],[Year]]="","",AG125*(1+Traffic_growth_rate))</f>
        <v/>
      </c>
      <c r="AH126" s="50"/>
    </row>
    <row r="127" spans="2:34" x14ac:dyDescent="0.35">
      <c r="B127" s="115" t="str">
        <f ca="1">IFERROR(IF(B126+1&lt;=YEAR(NOW())+IF('Impact Analysis'!$C$14="Indefinite",MAX('Data Entry'!$C$39:$D$39),'Impact Analysis'!$C$14),B126+1,""),"")</f>
        <v/>
      </c>
      <c r="C127" s="115" t="str">
        <f ca="1">IF(Delay_emissions_table[[#This Row],[Year]]="","",C126+1)</f>
        <v/>
      </c>
      <c r="D127" s="445"/>
      <c r="E127" s="419"/>
      <c r="F127" s="419"/>
      <c r="G127" s="419"/>
      <c r="H127" s="409"/>
      <c r="I12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7"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7" s="445"/>
      <c r="N127" s="419"/>
      <c r="O127" s="419"/>
      <c r="P127" s="419"/>
      <c r="Q127" s="409"/>
      <c r="R127"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7"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7"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7"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7" s="445"/>
      <c r="W127" s="419"/>
      <c r="X127" s="419"/>
      <c r="Y127" s="419"/>
      <c r="Z127" s="409"/>
      <c r="AA12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7" s="153" t="str">
        <f ca="1">IF(Delay_emissions_table[[#This Row],[Year]]="","",AE126*(1+Traffic_growth_rate))</f>
        <v/>
      </c>
      <c r="AF127" s="503">
        <f ca="1">IFERROR(((1-enviro_disc)^(Delay_emissions_table[[#This Row],[Year]]-YEAR(TODAY())))*IF(Delay_emissions_table[[#This Row],[Year]]&gt;=YEAR(TODAY()),1,0),0)</f>
        <v>0</v>
      </c>
      <c r="AG127" s="505" t="str">
        <f ca="1">IF(Delay_emissions_table[[#This Row],[Year]]="","",AG126*(1+Traffic_growth_rate))</f>
        <v/>
      </c>
      <c r="AH127" s="50"/>
    </row>
    <row r="128" spans="2:34" x14ac:dyDescent="0.35">
      <c r="B128" s="115" t="str">
        <f ca="1">IFERROR(IF(B127+1&lt;=YEAR(NOW())+IF('Impact Analysis'!$C$14="Indefinite",MAX('Data Entry'!$C$39:$D$39),'Impact Analysis'!$C$14),B127+1,""),"")</f>
        <v/>
      </c>
      <c r="C128" s="115" t="str">
        <f ca="1">IF(Delay_emissions_table[[#This Row],[Year]]="","",C127+1)</f>
        <v/>
      </c>
      <c r="D128" s="445"/>
      <c r="E128" s="419"/>
      <c r="F128" s="419"/>
      <c r="G128" s="419"/>
      <c r="H128" s="409"/>
      <c r="I12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8"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8" s="445"/>
      <c r="N128" s="419"/>
      <c r="O128" s="419"/>
      <c r="P128" s="419"/>
      <c r="Q128" s="409"/>
      <c r="R128"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8"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8"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8"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8" s="445"/>
      <c r="W128" s="419"/>
      <c r="X128" s="419"/>
      <c r="Y128" s="419"/>
      <c r="Z128" s="409"/>
      <c r="AA12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8" s="153" t="str">
        <f ca="1">IF(Delay_emissions_table[[#This Row],[Year]]="","",AE127*(1+Traffic_growth_rate))</f>
        <v/>
      </c>
      <c r="AF128" s="503">
        <f ca="1">IFERROR(((1-enviro_disc)^(Delay_emissions_table[[#This Row],[Year]]-YEAR(TODAY())))*IF(Delay_emissions_table[[#This Row],[Year]]&gt;=YEAR(TODAY()),1,0),0)</f>
        <v>0</v>
      </c>
      <c r="AG128" s="505" t="str">
        <f ca="1">IF(Delay_emissions_table[[#This Row],[Year]]="","",AG127*(1+Traffic_growth_rate))</f>
        <v/>
      </c>
      <c r="AH128" s="50"/>
    </row>
    <row r="129" spans="2:34" x14ac:dyDescent="0.35">
      <c r="B129" s="115" t="str">
        <f ca="1">IFERROR(IF(B128+1&lt;=YEAR(NOW())+IF('Impact Analysis'!$C$14="Indefinite",MAX('Data Entry'!$C$39:$D$39),'Impact Analysis'!$C$14),B128+1,""),"")</f>
        <v/>
      </c>
      <c r="C129" s="115" t="str">
        <f ca="1">IF(Delay_emissions_table[[#This Row],[Year]]="","",C128+1)</f>
        <v/>
      </c>
      <c r="D129" s="445"/>
      <c r="E129" s="419"/>
      <c r="F129" s="419"/>
      <c r="G129" s="419"/>
      <c r="H129" s="409"/>
      <c r="I12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2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2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29"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29" s="445"/>
      <c r="N129" s="419"/>
      <c r="O129" s="419"/>
      <c r="P129" s="419"/>
      <c r="Q129" s="409"/>
      <c r="R129"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29"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29"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29"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29" s="445"/>
      <c r="W129" s="419"/>
      <c r="X129" s="419"/>
      <c r="Y129" s="419"/>
      <c r="Z129" s="409"/>
      <c r="AA12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2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2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2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29" s="153" t="str">
        <f ca="1">IF(Delay_emissions_table[[#This Row],[Year]]="","",AE128*(1+Traffic_growth_rate))</f>
        <v/>
      </c>
      <c r="AF129" s="503">
        <f ca="1">IFERROR(((1-enviro_disc)^(Delay_emissions_table[[#This Row],[Year]]-YEAR(TODAY())))*IF(Delay_emissions_table[[#This Row],[Year]]&gt;=YEAR(TODAY()),1,0),0)</f>
        <v>0</v>
      </c>
      <c r="AG129" s="505" t="str">
        <f ca="1">IF(Delay_emissions_table[[#This Row],[Year]]="","",AG128*(1+Traffic_growth_rate))</f>
        <v/>
      </c>
      <c r="AH129" s="50"/>
    </row>
    <row r="130" spans="2:34" x14ac:dyDescent="0.35">
      <c r="B130" s="115" t="str">
        <f ca="1">IFERROR(IF(B129+1&lt;=YEAR(NOW())+IF('Impact Analysis'!$C$14="Indefinite",MAX('Data Entry'!$C$39:$D$39),'Impact Analysis'!$C$14),B129+1,""),"")</f>
        <v/>
      </c>
      <c r="C130" s="115" t="str">
        <f ca="1">IF(Delay_emissions_table[[#This Row],[Year]]="","",C129+1)</f>
        <v/>
      </c>
      <c r="D130" s="445"/>
      <c r="E130" s="419"/>
      <c r="F130" s="419"/>
      <c r="G130" s="419"/>
      <c r="H130" s="409"/>
      <c r="I13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0"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0" s="445"/>
      <c r="N130" s="419"/>
      <c r="O130" s="419"/>
      <c r="P130" s="419"/>
      <c r="Q130" s="409"/>
      <c r="R130"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0"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0"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0"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0" s="445"/>
      <c r="W130" s="419"/>
      <c r="X130" s="419"/>
      <c r="Y130" s="419"/>
      <c r="Z130" s="409"/>
      <c r="AA13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0" s="153" t="str">
        <f ca="1">IF(Delay_emissions_table[[#This Row],[Year]]="","",AE129*(1+Traffic_growth_rate))</f>
        <v/>
      </c>
      <c r="AF130" s="503">
        <f ca="1">IFERROR(((1-enviro_disc)^(Delay_emissions_table[[#This Row],[Year]]-YEAR(TODAY())))*IF(Delay_emissions_table[[#This Row],[Year]]&gt;=YEAR(TODAY()),1,0),0)</f>
        <v>0</v>
      </c>
      <c r="AG130" s="505" t="str">
        <f ca="1">IF(Delay_emissions_table[[#This Row],[Year]]="","",AG129*(1+Traffic_growth_rate))</f>
        <v/>
      </c>
      <c r="AH130" s="50"/>
    </row>
    <row r="131" spans="2:34" x14ac:dyDescent="0.35">
      <c r="B131" s="115" t="str">
        <f ca="1">IFERROR(IF(B130+1&lt;=YEAR(NOW())+IF('Impact Analysis'!$C$14="Indefinite",MAX('Data Entry'!$C$39:$D$39),'Impact Analysis'!$C$14),B130+1,""),"")</f>
        <v/>
      </c>
      <c r="C131" s="115" t="str">
        <f ca="1">IF(Delay_emissions_table[[#This Row],[Year]]="","",C130+1)</f>
        <v/>
      </c>
      <c r="D131" s="445"/>
      <c r="E131" s="419"/>
      <c r="F131" s="419"/>
      <c r="G131" s="419"/>
      <c r="H131" s="409"/>
      <c r="I13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1"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1" s="445"/>
      <c r="N131" s="419"/>
      <c r="O131" s="419"/>
      <c r="P131" s="419"/>
      <c r="Q131" s="409"/>
      <c r="R131"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1"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1"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1"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1" s="445"/>
      <c r="W131" s="419"/>
      <c r="X131" s="419"/>
      <c r="Y131" s="419"/>
      <c r="Z131" s="409"/>
      <c r="AA13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1" s="153" t="str">
        <f ca="1">IF(Delay_emissions_table[[#This Row],[Year]]="","",AE130*(1+Traffic_growth_rate))</f>
        <v/>
      </c>
      <c r="AF131" s="503">
        <f ca="1">IFERROR(((1-enviro_disc)^(Delay_emissions_table[[#This Row],[Year]]-YEAR(TODAY())))*IF(Delay_emissions_table[[#This Row],[Year]]&gt;=YEAR(TODAY()),1,0),0)</f>
        <v>0</v>
      </c>
      <c r="AG131" s="505" t="str">
        <f ca="1">IF(Delay_emissions_table[[#This Row],[Year]]="","",AG130*(1+Traffic_growth_rate))</f>
        <v/>
      </c>
      <c r="AH131" s="50"/>
    </row>
    <row r="132" spans="2:34" x14ac:dyDescent="0.35">
      <c r="B132" s="115" t="str">
        <f ca="1">IFERROR(IF(B131+1&lt;=YEAR(NOW())+IF('Impact Analysis'!$C$14="Indefinite",MAX('Data Entry'!$C$39:$D$39),'Impact Analysis'!$C$14),B131+1,""),"")</f>
        <v/>
      </c>
      <c r="C132" s="115" t="str">
        <f ca="1">IF(Delay_emissions_table[[#This Row],[Year]]="","",C131+1)</f>
        <v/>
      </c>
      <c r="D132" s="445"/>
      <c r="E132" s="419"/>
      <c r="F132" s="419"/>
      <c r="G132" s="419"/>
      <c r="H132" s="409"/>
      <c r="I13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2"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2" s="445"/>
      <c r="N132" s="419"/>
      <c r="O132" s="419"/>
      <c r="P132" s="419"/>
      <c r="Q132" s="409"/>
      <c r="R132"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2"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2"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2"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2" s="445"/>
      <c r="W132" s="419"/>
      <c r="X132" s="419"/>
      <c r="Y132" s="419"/>
      <c r="Z132" s="409"/>
      <c r="AA13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2" s="153" t="str">
        <f ca="1">IF(Delay_emissions_table[[#This Row],[Year]]="","",AE131*(1+Traffic_growth_rate))</f>
        <v/>
      </c>
      <c r="AF132" s="503">
        <f ca="1">IFERROR(((1-enviro_disc)^(Delay_emissions_table[[#This Row],[Year]]-YEAR(TODAY())))*IF(Delay_emissions_table[[#This Row],[Year]]&gt;=YEAR(TODAY()),1,0),0)</f>
        <v>0</v>
      </c>
      <c r="AG132" s="505" t="str">
        <f ca="1">IF(Delay_emissions_table[[#This Row],[Year]]="","",AG131*(1+Traffic_growth_rate))</f>
        <v/>
      </c>
      <c r="AH132" s="50"/>
    </row>
    <row r="133" spans="2:34" x14ac:dyDescent="0.35">
      <c r="B133" s="115" t="str">
        <f ca="1">IFERROR(IF(B132+1&lt;=YEAR(NOW())+IF('Impact Analysis'!$C$14="Indefinite",MAX('Data Entry'!$C$39:$D$39),'Impact Analysis'!$C$14),B132+1,""),"")</f>
        <v/>
      </c>
      <c r="C133" s="115" t="str">
        <f ca="1">IF(Delay_emissions_table[[#This Row],[Year]]="","",C132+1)</f>
        <v/>
      </c>
      <c r="D133" s="445"/>
      <c r="E133" s="419"/>
      <c r="F133" s="419"/>
      <c r="G133" s="419"/>
      <c r="H133" s="409"/>
      <c r="I13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3"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3" s="445"/>
      <c r="N133" s="419"/>
      <c r="O133" s="419"/>
      <c r="P133" s="419"/>
      <c r="Q133" s="409"/>
      <c r="R133"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3"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3"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3"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3" s="445"/>
      <c r="W133" s="419"/>
      <c r="X133" s="419"/>
      <c r="Y133" s="419"/>
      <c r="Z133" s="409"/>
      <c r="AA13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3" s="153" t="str">
        <f ca="1">IF(Delay_emissions_table[[#This Row],[Year]]="","",AE132*(1+Traffic_growth_rate))</f>
        <v/>
      </c>
      <c r="AF133" s="503">
        <f ca="1">IFERROR(((1-enviro_disc)^(Delay_emissions_table[[#This Row],[Year]]-YEAR(TODAY())))*IF(Delay_emissions_table[[#This Row],[Year]]&gt;=YEAR(TODAY()),1,0),0)</f>
        <v>0</v>
      </c>
      <c r="AG133" s="505" t="str">
        <f ca="1">IF(Delay_emissions_table[[#This Row],[Year]]="","",AG132*(1+Traffic_growth_rate))</f>
        <v/>
      </c>
      <c r="AH133" s="50"/>
    </row>
    <row r="134" spans="2:34" x14ac:dyDescent="0.35">
      <c r="B134" s="115" t="str">
        <f ca="1">IFERROR(IF(B133+1&lt;=YEAR(NOW())+IF('Impact Analysis'!$C$14="Indefinite",MAX('Data Entry'!$C$39:$D$39),'Impact Analysis'!$C$14),B133+1,""),"")</f>
        <v/>
      </c>
      <c r="C134" s="115" t="str">
        <f ca="1">IF(Delay_emissions_table[[#This Row],[Year]]="","",C133+1)</f>
        <v/>
      </c>
      <c r="D134" s="445"/>
      <c r="E134" s="419"/>
      <c r="F134" s="419"/>
      <c r="G134" s="419"/>
      <c r="H134" s="409"/>
      <c r="I13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4"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4" s="445"/>
      <c r="N134" s="419"/>
      <c r="O134" s="419"/>
      <c r="P134" s="419"/>
      <c r="Q134" s="409"/>
      <c r="R134"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4"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4"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4"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4" s="445"/>
      <c r="W134" s="419"/>
      <c r="X134" s="419"/>
      <c r="Y134" s="419"/>
      <c r="Z134" s="409"/>
      <c r="AA13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4" s="153" t="str">
        <f ca="1">IF(Delay_emissions_table[[#This Row],[Year]]="","",AE133*(1+Traffic_growth_rate))</f>
        <v/>
      </c>
      <c r="AF134" s="503">
        <f ca="1">IFERROR(((1-enviro_disc)^(Delay_emissions_table[[#This Row],[Year]]-YEAR(TODAY())))*IF(Delay_emissions_table[[#This Row],[Year]]&gt;=YEAR(TODAY()),1,0),0)</f>
        <v>0</v>
      </c>
      <c r="AG134" s="505" t="str">
        <f ca="1">IF(Delay_emissions_table[[#This Row],[Year]]="","",AG133*(1+Traffic_growth_rate))</f>
        <v/>
      </c>
      <c r="AH134" s="50"/>
    </row>
    <row r="135" spans="2:34" x14ac:dyDescent="0.35">
      <c r="B135" s="115" t="str">
        <f ca="1">IFERROR(IF(B134+1&lt;=YEAR(NOW())+IF('Impact Analysis'!$C$14="Indefinite",MAX('Data Entry'!$C$39:$D$39),'Impact Analysis'!$C$14),B134+1,""),"")</f>
        <v/>
      </c>
      <c r="C135" s="115" t="str">
        <f ca="1">IF(Delay_emissions_table[[#This Row],[Year]]="","",C134+1)</f>
        <v/>
      </c>
      <c r="D135" s="445"/>
      <c r="E135" s="419"/>
      <c r="F135" s="419"/>
      <c r="G135" s="419"/>
      <c r="H135" s="409"/>
      <c r="I13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5"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5" s="445"/>
      <c r="N135" s="419"/>
      <c r="O135" s="419"/>
      <c r="P135" s="419"/>
      <c r="Q135" s="409"/>
      <c r="R135"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5"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5"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5"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5" s="445"/>
      <c r="W135" s="419"/>
      <c r="X135" s="419"/>
      <c r="Y135" s="419"/>
      <c r="Z135" s="409"/>
      <c r="AA13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5" s="153" t="str">
        <f ca="1">IF(Delay_emissions_table[[#This Row],[Year]]="","",AE134*(1+Traffic_growth_rate))</f>
        <v/>
      </c>
      <c r="AF135" s="503">
        <f ca="1">IFERROR(((1-enviro_disc)^(Delay_emissions_table[[#This Row],[Year]]-YEAR(TODAY())))*IF(Delay_emissions_table[[#This Row],[Year]]&gt;=YEAR(TODAY()),1,0),0)</f>
        <v>0</v>
      </c>
      <c r="AG135" s="505" t="str">
        <f ca="1">IF(Delay_emissions_table[[#This Row],[Year]]="","",AG134*(1+Traffic_growth_rate))</f>
        <v/>
      </c>
      <c r="AH135" s="50"/>
    </row>
    <row r="136" spans="2:34" x14ac:dyDescent="0.35">
      <c r="B136" s="115" t="str">
        <f ca="1">IFERROR(IF(B135+1&lt;=YEAR(NOW())+IF('Impact Analysis'!$C$14="Indefinite",MAX('Data Entry'!$C$39:$D$39),'Impact Analysis'!$C$14),B135+1,""),"")</f>
        <v/>
      </c>
      <c r="C136" s="115" t="str">
        <f ca="1">IF(Delay_emissions_table[[#This Row],[Year]]="","",C135+1)</f>
        <v/>
      </c>
      <c r="D136" s="445"/>
      <c r="E136" s="419"/>
      <c r="F136" s="419"/>
      <c r="G136" s="419"/>
      <c r="H136" s="409"/>
      <c r="I13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6"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6" s="445"/>
      <c r="N136" s="419"/>
      <c r="O136" s="419"/>
      <c r="P136" s="419"/>
      <c r="Q136" s="409"/>
      <c r="R136"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6"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6"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6"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6" s="445"/>
      <c r="W136" s="419"/>
      <c r="X136" s="419"/>
      <c r="Y136" s="419"/>
      <c r="Z136" s="409"/>
      <c r="AA13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6" s="153" t="str">
        <f ca="1">IF(Delay_emissions_table[[#This Row],[Year]]="","",AE135*(1+Traffic_growth_rate))</f>
        <v/>
      </c>
      <c r="AF136" s="503">
        <f ca="1">IFERROR(((1-enviro_disc)^(Delay_emissions_table[[#This Row],[Year]]-YEAR(TODAY())))*IF(Delay_emissions_table[[#This Row],[Year]]&gt;=YEAR(TODAY()),1,0),0)</f>
        <v>0</v>
      </c>
      <c r="AG136" s="505" t="str">
        <f ca="1">IF(Delay_emissions_table[[#This Row],[Year]]="","",AG135*(1+Traffic_growth_rate))</f>
        <v/>
      </c>
      <c r="AH136" s="50"/>
    </row>
    <row r="137" spans="2:34" x14ac:dyDescent="0.35">
      <c r="B137" s="115" t="str">
        <f ca="1">IFERROR(IF(B136+1&lt;=YEAR(NOW())+IF('Impact Analysis'!$C$14="Indefinite",MAX('Data Entry'!$C$39:$D$39),'Impact Analysis'!$C$14),B136+1,""),"")</f>
        <v/>
      </c>
      <c r="C137" s="115" t="str">
        <f ca="1">IF(Delay_emissions_table[[#This Row],[Year]]="","",C136+1)</f>
        <v/>
      </c>
      <c r="D137" s="445"/>
      <c r="E137" s="419"/>
      <c r="F137" s="419"/>
      <c r="G137" s="419"/>
      <c r="H137" s="409"/>
      <c r="I13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7"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7" s="445"/>
      <c r="N137" s="419"/>
      <c r="O137" s="419"/>
      <c r="P137" s="419"/>
      <c r="Q137" s="409"/>
      <c r="R137"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7"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7"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7"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7" s="445"/>
      <c r="W137" s="419"/>
      <c r="X137" s="419"/>
      <c r="Y137" s="419"/>
      <c r="Z137" s="409"/>
      <c r="AA13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7" s="153" t="str">
        <f ca="1">IF(Delay_emissions_table[[#This Row],[Year]]="","",AE136*(1+Traffic_growth_rate))</f>
        <v/>
      </c>
      <c r="AF137" s="503">
        <f ca="1">IFERROR(((1-enviro_disc)^(Delay_emissions_table[[#This Row],[Year]]-YEAR(TODAY())))*IF(Delay_emissions_table[[#This Row],[Year]]&gt;=YEAR(TODAY()),1,0),0)</f>
        <v>0</v>
      </c>
      <c r="AG137" s="505" t="str">
        <f ca="1">IF(Delay_emissions_table[[#This Row],[Year]]="","",AG136*(1+Traffic_growth_rate))</f>
        <v/>
      </c>
      <c r="AH137" s="50"/>
    </row>
    <row r="138" spans="2:34" x14ac:dyDescent="0.35">
      <c r="B138" s="115" t="str">
        <f ca="1">IFERROR(IF(B137+1&lt;=YEAR(NOW())+IF('Impact Analysis'!$C$14="Indefinite",MAX('Data Entry'!$C$39:$D$39),'Impact Analysis'!$C$14),B137+1,""),"")</f>
        <v/>
      </c>
      <c r="C138" s="115" t="str">
        <f ca="1">IF(Delay_emissions_table[[#This Row],[Year]]="","",C137+1)</f>
        <v/>
      </c>
      <c r="D138" s="445"/>
      <c r="E138" s="419"/>
      <c r="F138" s="419"/>
      <c r="G138" s="419"/>
      <c r="H138" s="409"/>
      <c r="I13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8"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8" s="445"/>
      <c r="N138" s="419"/>
      <c r="O138" s="419"/>
      <c r="P138" s="419"/>
      <c r="Q138" s="409"/>
      <c r="R138"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8"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8"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8"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8" s="445"/>
      <c r="W138" s="419"/>
      <c r="X138" s="419"/>
      <c r="Y138" s="419"/>
      <c r="Z138" s="409"/>
      <c r="AA13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8" s="153" t="str">
        <f ca="1">IF(Delay_emissions_table[[#This Row],[Year]]="","",AE137*(1+Traffic_growth_rate))</f>
        <v/>
      </c>
      <c r="AF138" s="503">
        <f ca="1">IFERROR(((1-enviro_disc)^(Delay_emissions_table[[#This Row],[Year]]-YEAR(TODAY())))*IF(Delay_emissions_table[[#This Row],[Year]]&gt;=YEAR(TODAY()),1,0),0)</f>
        <v>0</v>
      </c>
      <c r="AG138" s="505" t="str">
        <f ca="1">IF(Delay_emissions_table[[#This Row],[Year]]="","",AG137*(1+Traffic_growth_rate))</f>
        <v/>
      </c>
      <c r="AH138" s="50"/>
    </row>
    <row r="139" spans="2:34" x14ac:dyDescent="0.35">
      <c r="B139" s="115" t="str">
        <f ca="1">IFERROR(IF(B138+1&lt;=YEAR(NOW())+IF('Impact Analysis'!$C$14="Indefinite",MAX('Data Entry'!$C$39:$D$39),'Impact Analysis'!$C$14),B138+1,""),"")</f>
        <v/>
      </c>
      <c r="C139" s="115" t="str">
        <f ca="1">IF(Delay_emissions_table[[#This Row],[Year]]="","",C138+1)</f>
        <v/>
      </c>
      <c r="D139" s="445"/>
      <c r="E139" s="419"/>
      <c r="F139" s="419"/>
      <c r="G139" s="419"/>
      <c r="H139" s="409"/>
      <c r="I13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3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3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39"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39" s="445"/>
      <c r="N139" s="419"/>
      <c r="O139" s="419"/>
      <c r="P139" s="419"/>
      <c r="Q139" s="409"/>
      <c r="R139"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39"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39"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39"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39" s="445"/>
      <c r="W139" s="419"/>
      <c r="X139" s="419"/>
      <c r="Y139" s="419"/>
      <c r="Z139" s="409"/>
      <c r="AA13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3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3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3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39" s="153" t="str">
        <f ca="1">IF(Delay_emissions_table[[#This Row],[Year]]="","",AE138*(1+Traffic_growth_rate))</f>
        <v/>
      </c>
      <c r="AF139" s="503">
        <f ca="1">IFERROR(((1-enviro_disc)^(Delay_emissions_table[[#This Row],[Year]]-YEAR(TODAY())))*IF(Delay_emissions_table[[#This Row],[Year]]&gt;=YEAR(TODAY()),1,0),0)</f>
        <v>0</v>
      </c>
      <c r="AG139" s="505" t="str">
        <f ca="1">IF(Delay_emissions_table[[#This Row],[Year]]="","",AG138*(1+Traffic_growth_rate))</f>
        <v/>
      </c>
      <c r="AH139" s="50"/>
    </row>
    <row r="140" spans="2:34" x14ac:dyDescent="0.35">
      <c r="B140" s="115" t="str">
        <f ca="1">IFERROR(IF(B139+1&lt;=YEAR(NOW())+IF('Impact Analysis'!$C$14="Indefinite",MAX('Data Entry'!$C$39:$D$39),'Impact Analysis'!$C$14),B139+1,""),"")</f>
        <v/>
      </c>
      <c r="C140" s="115" t="str">
        <f ca="1">IF(Delay_emissions_table[[#This Row],[Year]]="","",C139+1)</f>
        <v/>
      </c>
      <c r="D140" s="445"/>
      <c r="E140" s="419"/>
      <c r="F140" s="419"/>
      <c r="G140" s="419"/>
      <c r="H140" s="409"/>
      <c r="I14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0"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0" s="445"/>
      <c r="N140" s="419"/>
      <c r="O140" s="419"/>
      <c r="P140" s="419"/>
      <c r="Q140" s="409"/>
      <c r="R140"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0"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0"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0"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0" s="445"/>
      <c r="W140" s="419"/>
      <c r="X140" s="419"/>
      <c r="Y140" s="419"/>
      <c r="Z140" s="409"/>
      <c r="AA14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0" s="153" t="str">
        <f ca="1">IF(Delay_emissions_table[[#This Row],[Year]]="","",AE139*(1+Traffic_growth_rate))</f>
        <v/>
      </c>
      <c r="AF140" s="503">
        <f ca="1">IFERROR(((1-enviro_disc)^(Delay_emissions_table[[#This Row],[Year]]-YEAR(TODAY())))*IF(Delay_emissions_table[[#This Row],[Year]]&gt;=YEAR(TODAY()),1,0),0)</f>
        <v>0</v>
      </c>
      <c r="AG140" s="505" t="str">
        <f ca="1">IF(Delay_emissions_table[[#This Row],[Year]]="","",AG139*(1+Traffic_growth_rate))</f>
        <v/>
      </c>
      <c r="AH140" s="50"/>
    </row>
    <row r="141" spans="2:34" x14ac:dyDescent="0.35">
      <c r="B141" s="115" t="str">
        <f ca="1">IFERROR(IF(B140+1&lt;=YEAR(NOW())+IF('Impact Analysis'!$C$14="Indefinite",MAX('Data Entry'!$C$39:$D$39),'Impact Analysis'!$C$14),B140+1,""),"")</f>
        <v/>
      </c>
      <c r="C141" s="115" t="str">
        <f ca="1">IF(Delay_emissions_table[[#This Row],[Year]]="","",C140+1)</f>
        <v/>
      </c>
      <c r="D141" s="445"/>
      <c r="E141" s="419"/>
      <c r="F141" s="419"/>
      <c r="G141" s="419"/>
      <c r="H141" s="409"/>
      <c r="I14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1"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1" s="445"/>
      <c r="N141" s="419"/>
      <c r="O141" s="419"/>
      <c r="P141" s="419"/>
      <c r="Q141" s="409"/>
      <c r="R141"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1"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1"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1"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1" s="445"/>
      <c r="W141" s="419"/>
      <c r="X141" s="419"/>
      <c r="Y141" s="419"/>
      <c r="Z141" s="409"/>
      <c r="AA14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1" s="153" t="str">
        <f ca="1">IF(Delay_emissions_table[[#This Row],[Year]]="","",AE140*(1+Traffic_growth_rate))</f>
        <v/>
      </c>
      <c r="AF141" s="503">
        <f ca="1">IFERROR(((1-enviro_disc)^(Delay_emissions_table[[#This Row],[Year]]-YEAR(TODAY())))*IF(Delay_emissions_table[[#This Row],[Year]]&gt;=YEAR(TODAY()),1,0),0)</f>
        <v>0</v>
      </c>
      <c r="AG141" s="505" t="str">
        <f ca="1">IF(Delay_emissions_table[[#This Row],[Year]]="","",AG140*(1+Traffic_growth_rate))</f>
        <v/>
      </c>
      <c r="AH141" s="50"/>
    </row>
    <row r="142" spans="2:34" x14ac:dyDescent="0.35">
      <c r="B142" s="115" t="str">
        <f ca="1">IFERROR(IF(B141+1&lt;=YEAR(NOW())+IF('Impact Analysis'!$C$14="Indefinite",MAX('Data Entry'!$C$39:$D$39),'Impact Analysis'!$C$14),B141+1,""),"")</f>
        <v/>
      </c>
      <c r="C142" s="115" t="str">
        <f ca="1">IF(Delay_emissions_table[[#This Row],[Year]]="","",C141+1)</f>
        <v/>
      </c>
      <c r="D142" s="445"/>
      <c r="E142" s="419"/>
      <c r="F142" s="419"/>
      <c r="G142" s="419"/>
      <c r="H142" s="409"/>
      <c r="I14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2"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2" s="445"/>
      <c r="N142" s="419"/>
      <c r="O142" s="419"/>
      <c r="P142" s="419"/>
      <c r="Q142" s="409"/>
      <c r="R142"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2"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2"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2"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2" s="445"/>
      <c r="W142" s="419"/>
      <c r="X142" s="419"/>
      <c r="Y142" s="419"/>
      <c r="Z142" s="409"/>
      <c r="AA14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2" s="153" t="str">
        <f ca="1">IF(Delay_emissions_table[[#This Row],[Year]]="","",AE141*(1+Traffic_growth_rate))</f>
        <v/>
      </c>
      <c r="AF142" s="503">
        <f ca="1">IFERROR(((1-enviro_disc)^(Delay_emissions_table[[#This Row],[Year]]-YEAR(TODAY())))*IF(Delay_emissions_table[[#This Row],[Year]]&gt;=YEAR(TODAY()),1,0),0)</f>
        <v>0</v>
      </c>
      <c r="AG142" s="505" t="str">
        <f ca="1">IF(Delay_emissions_table[[#This Row],[Year]]="","",AG141*(1+Traffic_growth_rate))</f>
        <v/>
      </c>
      <c r="AH142" s="50"/>
    </row>
    <row r="143" spans="2:34" x14ac:dyDescent="0.35">
      <c r="B143" s="115" t="str">
        <f ca="1">IFERROR(IF(B142+1&lt;=YEAR(NOW())+IF('Impact Analysis'!$C$14="Indefinite",MAX('Data Entry'!$C$39:$D$39),'Impact Analysis'!$C$14),B142+1,""),"")</f>
        <v/>
      </c>
      <c r="C143" s="115" t="str">
        <f ca="1">IF(Delay_emissions_table[[#This Row],[Year]]="","",C142+1)</f>
        <v/>
      </c>
      <c r="D143" s="445"/>
      <c r="E143" s="419"/>
      <c r="F143" s="419"/>
      <c r="G143" s="419"/>
      <c r="H143" s="409"/>
      <c r="I14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3"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3" s="445"/>
      <c r="N143" s="419"/>
      <c r="O143" s="419"/>
      <c r="P143" s="419"/>
      <c r="Q143" s="409"/>
      <c r="R143"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3"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3"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3"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3" s="445"/>
      <c r="W143" s="419"/>
      <c r="X143" s="419"/>
      <c r="Y143" s="419"/>
      <c r="Z143" s="409"/>
      <c r="AA14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3" s="153" t="str">
        <f ca="1">IF(Delay_emissions_table[[#This Row],[Year]]="","",AE142*(1+Traffic_growth_rate))</f>
        <v/>
      </c>
      <c r="AF143" s="503">
        <f ca="1">IFERROR(((1-enviro_disc)^(Delay_emissions_table[[#This Row],[Year]]-YEAR(TODAY())))*IF(Delay_emissions_table[[#This Row],[Year]]&gt;=YEAR(TODAY()),1,0),0)</f>
        <v>0</v>
      </c>
      <c r="AG143" s="505" t="str">
        <f ca="1">IF(Delay_emissions_table[[#This Row],[Year]]="","",AG142*(1+Traffic_growth_rate))</f>
        <v/>
      </c>
      <c r="AH143" s="50"/>
    </row>
    <row r="144" spans="2:34" x14ac:dyDescent="0.35">
      <c r="B144" s="115" t="str">
        <f ca="1">IFERROR(IF(B143+1&lt;=YEAR(NOW())+IF('Impact Analysis'!$C$14="Indefinite",MAX('Data Entry'!$C$39:$D$39),'Impact Analysis'!$C$14),B143+1,""),"")</f>
        <v/>
      </c>
      <c r="C144" s="115" t="str">
        <f ca="1">IF(Delay_emissions_table[[#This Row],[Year]]="","",C143+1)</f>
        <v/>
      </c>
      <c r="D144" s="445"/>
      <c r="E144" s="419"/>
      <c r="F144" s="419"/>
      <c r="G144" s="419"/>
      <c r="H144" s="409"/>
      <c r="I14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4"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4" s="445"/>
      <c r="N144" s="419"/>
      <c r="O144" s="419"/>
      <c r="P144" s="419"/>
      <c r="Q144" s="409"/>
      <c r="R144"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4"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4"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4"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4" s="445"/>
      <c r="W144" s="419"/>
      <c r="X144" s="419"/>
      <c r="Y144" s="419"/>
      <c r="Z144" s="409"/>
      <c r="AA14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4" s="153" t="str">
        <f ca="1">IF(Delay_emissions_table[[#This Row],[Year]]="","",AE143*(1+Traffic_growth_rate))</f>
        <v/>
      </c>
      <c r="AF144" s="503">
        <f ca="1">IFERROR(((1-enviro_disc)^(Delay_emissions_table[[#This Row],[Year]]-YEAR(TODAY())))*IF(Delay_emissions_table[[#This Row],[Year]]&gt;=YEAR(TODAY()),1,0),0)</f>
        <v>0</v>
      </c>
      <c r="AG144" s="505" t="str">
        <f ca="1">IF(Delay_emissions_table[[#This Row],[Year]]="","",AG143*(1+Traffic_growth_rate))</f>
        <v/>
      </c>
      <c r="AH144" s="50"/>
    </row>
    <row r="145" spans="2:34" x14ac:dyDescent="0.35">
      <c r="B145" s="115" t="str">
        <f ca="1">IFERROR(IF(B144+1&lt;=YEAR(NOW())+IF('Impact Analysis'!$C$14="Indefinite",MAX('Data Entry'!$C$39:$D$39),'Impact Analysis'!$C$14),B144+1,""),"")</f>
        <v/>
      </c>
      <c r="C145" s="115" t="str">
        <f ca="1">IF(Delay_emissions_table[[#This Row],[Year]]="","",C144+1)</f>
        <v/>
      </c>
      <c r="D145" s="445"/>
      <c r="E145" s="419"/>
      <c r="F145" s="419"/>
      <c r="G145" s="419"/>
      <c r="H145" s="409"/>
      <c r="I14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5"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5" s="445"/>
      <c r="N145" s="419"/>
      <c r="O145" s="419"/>
      <c r="P145" s="419"/>
      <c r="Q145" s="409"/>
      <c r="R145"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5"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5"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5"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5" s="445"/>
      <c r="W145" s="419"/>
      <c r="X145" s="419"/>
      <c r="Y145" s="419"/>
      <c r="Z145" s="409"/>
      <c r="AA14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5" s="153" t="str">
        <f ca="1">IF(Delay_emissions_table[[#This Row],[Year]]="","",AE144*(1+Traffic_growth_rate))</f>
        <v/>
      </c>
      <c r="AF145" s="503">
        <f ca="1">IFERROR(((1-enviro_disc)^(Delay_emissions_table[[#This Row],[Year]]-YEAR(TODAY())))*IF(Delay_emissions_table[[#This Row],[Year]]&gt;=YEAR(TODAY()),1,0),0)</f>
        <v>0</v>
      </c>
      <c r="AG145" s="505" t="str">
        <f ca="1">IF(Delay_emissions_table[[#This Row],[Year]]="","",AG144*(1+Traffic_growth_rate))</f>
        <v/>
      </c>
      <c r="AH145" s="50"/>
    </row>
    <row r="146" spans="2:34" x14ac:dyDescent="0.35">
      <c r="B146" s="115" t="str">
        <f ca="1">IFERROR(IF(B145+1&lt;=YEAR(NOW())+IF('Impact Analysis'!$C$14="Indefinite",MAX('Data Entry'!$C$39:$D$39),'Impact Analysis'!$C$14),B145+1,""),"")</f>
        <v/>
      </c>
      <c r="C146" s="115" t="str">
        <f ca="1">IF(Delay_emissions_table[[#This Row],[Year]]="","",C145+1)</f>
        <v/>
      </c>
      <c r="D146" s="445"/>
      <c r="E146" s="419"/>
      <c r="F146" s="419"/>
      <c r="G146" s="419"/>
      <c r="H146" s="409"/>
      <c r="I14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6"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6" s="445"/>
      <c r="N146" s="419"/>
      <c r="O146" s="419"/>
      <c r="P146" s="419"/>
      <c r="Q146" s="409"/>
      <c r="R146"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6"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6"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6"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6" s="445"/>
      <c r="W146" s="419"/>
      <c r="X146" s="419"/>
      <c r="Y146" s="419"/>
      <c r="Z146" s="409"/>
      <c r="AA14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6" s="153" t="str">
        <f ca="1">IF(Delay_emissions_table[[#This Row],[Year]]="","",AE145*(1+Traffic_growth_rate))</f>
        <v/>
      </c>
      <c r="AF146" s="503">
        <f ca="1">IFERROR(((1-enviro_disc)^(Delay_emissions_table[[#This Row],[Year]]-YEAR(TODAY())))*IF(Delay_emissions_table[[#This Row],[Year]]&gt;=YEAR(TODAY()),1,0),0)</f>
        <v>0</v>
      </c>
      <c r="AG146" s="505" t="str">
        <f ca="1">IF(Delay_emissions_table[[#This Row],[Year]]="","",AG145*(1+Traffic_growth_rate))</f>
        <v/>
      </c>
      <c r="AH146" s="50"/>
    </row>
    <row r="147" spans="2:34" x14ac:dyDescent="0.35">
      <c r="B147" s="115" t="str">
        <f ca="1">IFERROR(IF(B146+1&lt;=YEAR(NOW())+IF('Impact Analysis'!$C$14="Indefinite",MAX('Data Entry'!$C$39:$D$39),'Impact Analysis'!$C$14),B146+1,""),"")</f>
        <v/>
      </c>
      <c r="C147" s="115" t="str">
        <f ca="1">IF(Delay_emissions_table[[#This Row],[Year]]="","",C146+1)</f>
        <v/>
      </c>
      <c r="D147" s="445"/>
      <c r="E147" s="419"/>
      <c r="F147" s="419"/>
      <c r="G147" s="419"/>
      <c r="H147" s="409"/>
      <c r="I14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7"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7" s="445"/>
      <c r="N147" s="419"/>
      <c r="O147" s="419"/>
      <c r="P147" s="419"/>
      <c r="Q147" s="409"/>
      <c r="R147"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7"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7"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7"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7" s="445"/>
      <c r="W147" s="419"/>
      <c r="X147" s="419"/>
      <c r="Y147" s="419"/>
      <c r="Z147" s="409"/>
      <c r="AA14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7" s="153" t="str">
        <f ca="1">IF(Delay_emissions_table[[#This Row],[Year]]="","",AE146*(1+Traffic_growth_rate))</f>
        <v/>
      </c>
      <c r="AF147" s="503">
        <f ca="1">IFERROR(((1-enviro_disc)^(Delay_emissions_table[[#This Row],[Year]]-YEAR(TODAY())))*IF(Delay_emissions_table[[#This Row],[Year]]&gt;=YEAR(TODAY()),1,0),0)</f>
        <v>0</v>
      </c>
      <c r="AG147" s="505" t="str">
        <f ca="1">IF(Delay_emissions_table[[#This Row],[Year]]="","",AG146*(1+Traffic_growth_rate))</f>
        <v/>
      </c>
      <c r="AH147" s="50"/>
    </row>
    <row r="148" spans="2:34" x14ac:dyDescent="0.35">
      <c r="B148" s="115" t="str">
        <f ca="1">IFERROR(IF(B147+1&lt;=YEAR(NOW())+IF('Impact Analysis'!$C$14="Indefinite",MAX('Data Entry'!$C$39:$D$39),'Impact Analysis'!$C$14),B147+1,""),"")</f>
        <v/>
      </c>
      <c r="C148" s="115" t="str">
        <f ca="1">IF(Delay_emissions_table[[#This Row],[Year]]="","",C147+1)</f>
        <v/>
      </c>
      <c r="D148" s="445"/>
      <c r="E148" s="419"/>
      <c r="F148" s="419"/>
      <c r="G148" s="419"/>
      <c r="H148" s="409"/>
      <c r="I14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8"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8" s="445"/>
      <c r="N148" s="419"/>
      <c r="O148" s="419"/>
      <c r="P148" s="419"/>
      <c r="Q148" s="409"/>
      <c r="R148"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8"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8"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8"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8" s="445"/>
      <c r="W148" s="419"/>
      <c r="X148" s="419"/>
      <c r="Y148" s="419"/>
      <c r="Z148" s="409"/>
      <c r="AA14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8" s="153" t="str">
        <f ca="1">IF(Delay_emissions_table[[#This Row],[Year]]="","",AE147*(1+Traffic_growth_rate))</f>
        <v/>
      </c>
      <c r="AF148" s="503">
        <f ca="1">IFERROR(((1-enviro_disc)^(Delay_emissions_table[[#This Row],[Year]]-YEAR(TODAY())))*IF(Delay_emissions_table[[#This Row],[Year]]&gt;=YEAR(TODAY()),1,0),0)</f>
        <v>0</v>
      </c>
      <c r="AG148" s="505" t="str">
        <f ca="1">IF(Delay_emissions_table[[#This Row],[Year]]="","",AG147*(1+Traffic_growth_rate))</f>
        <v/>
      </c>
      <c r="AH148" s="50"/>
    </row>
    <row r="149" spans="2:34" x14ac:dyDescent="0.35">
      <c r="B149" s="115" t="str">
        <f ca="1">IFERROR(IF(B148+1&lt;=YEAR(NOW())+IF('Impact Analysis'!$C$14="Indefinite",MAX('Data Entry'!$C$39:$D$39),'Impact Analysis'!$C$14),B148+1,""),"")</f>
        <v/>
      </c>
      <c r="C149" s="115" t="str">
        <f ca="1">IF(Delay_emissions_table[[#This Row],[Year]]="","",C148+1)</f>
        <v/>
      </c>
      <c r="D149" s="445"/>
      <c r="E149" s="419"/>
      <c r="F149" s="419"/>
      <c r="G149" s="419"/>
      <c r="H149" s="409"/>
      <c r="I14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4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4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49"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49" s="445"/>
      <c r="N149" s="419"/>
      <c r="O149" s="419"/>
      <c r="P149" s="419"/>
      <c r="Q149" s="409"/>
      <c r="R149"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49"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49"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49"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49" s="445"/>
      <c r="W149" s="419"/>
      <c r="X149" s="419"/>
      <c r="Y149" s="419"/>
      <c r="Z149" s="409"/>
      <c r="AA14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4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4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4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49" s="153" t="str">
        <f ca="1">IF(Delay_emissions_table[[#This Row],[Year]]="","",AE148*(1+Traffic_growth_rate))</f>
        <v/>
      </c>
      <c r="AF149" s="503">
        <f ca="1">IFERROR(((1-enviro_disc)^(Delay_emissions_table[[#This Row],[Year]]-YEAR(TODAY())))*IF(Delay_emissions_table[[#This Row],[Year]]&gt;=YEAR(TODAY()),1,0),0)</f>
        <v>0</v>
      </c>
      <c r="AG149" s="505" t="str">
        <f ca="1">IF(Delay_emissions_table[[#This Row],[Year]]="","",AG148*(1+Traffic_growth_rate))</f>
        <v/>
      </c>
      <c r="AH149" s="50"/>
    </row>
    <row r="150" spans="2:34" x14ac:dyDescent="0.35">
      <c r="B150" s="115" t="str">
        <f ca="1">IFERROR(IF(B149+1&lt;=YEAR(NOW())+IF('Impact Analysis'!$C$14="Indefinite",MAX('Data Entry'!$C$39:$D$39),'Impact Analysis'!$C$14),B149+1,""),"")</f>
        <v/>
      </c>
      <c r="C150" s="115" t="str">
        <f ca="1">IF(Delay_emissions_table[[#This Row],[Year]]="","",C149+1)</f>
        <v/>
      </c>
      <c r="D150" s="445"/>
      <c r="E150" s="419"/>
      <c r="F150" s="419"/>
      <c r="G150" s="419"/>
      <c r="H150" s="409"/>
      <c r="I15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0"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0" s="445"/>
      <c r="N150" s="419"/>
      <c r="O150" s="419"/>
      <c r="P150" s="419"/>
      <c r="Q150" s="409"/>
      <c r="R150"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0"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0"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0"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0" s="445"/>
      <c r="W150" s="419"/>
      <c r="X150" s="419"/>
      <c r="Y150" s="419"/>
      <c r="Z150" s="409"/>
      <c r="AA15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0" s="153" t="str">
        <f ca="1">IF(Delay_emissions_table[[#This Row],[Year]]="","",AE149*(1+Traffic_growth_rate))</f>
        <v/>
      </c>
      <c r="AF150" s="503">
        <f ca="1">IFERROR(((1-enviro_disc)^(Delay_emissions_table[[#This Row],[Year]]-YEAR(TODAY())))*IF(Delay_emissions_table[[#This Row],[Year]]&gt;=YEAR(TODAY()),1,0),0)</f>
        <v>0</v>
      </c>
      <c r="AG150" s="505" t="str">
        <f ca="1">IF(Delay_emissions_table[[#This Row],[Year]]="","",AG149*(1+Traffic_growth_rate))</f>
        <v/>
      </c>
      <c r="AH150" s="50"/>
    </row>
    <row r="151" spans="2:34" x14ac:dyDescent="0.35">
      <c r="B151" s="115" t="str">
        <f ca="1">IFERROR(IF(B150+1&lt;=YEAR(NOW())+IF('Impact Analysis'!$C$14="Indefinite",MAX('Data Entry'!$C$39:$D$39),'Impact Analysis'!$C$14),B150+1,""),"")</f>
        <v/>
      </c>
      <c r="C151" s="115" t="str">
        <f ca="1">IF(Delay_emissions_table[[#This Row],[Year]]="","",C150+1)</f>
        <v/>
      </c>
      <c r="D151" s="445"/>
      <c r="E151" s="419"/>
      <c r="F151" s="419"/>
      <c r="G151" s="419"/>
      <c r="H151" s="409"/>
      <c r="I15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1"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1" s="445"/>
      <c r="N151" s="419"/>
      <c r="O151" s="419"/>
      <c r="P151" s="419"/>
      <c r="Q151" s="409"/>
      <c r="R151"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1"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1"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1"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1" s="445"/>
      <c r="W151" s="419"/>
      <c r="X151" s="419"/>
      <c r="Y151" s="419"/>
      <c r="Z151" s="409"/>
      <c r="AA15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1" s="153" t="str">
        <f ca="1">IF(Delay_emissions_table[[#This Row],[Year]]="","",AE150*(1+Traffic_growth_rate))</f>
        <v/>
      </c>
      <c r="AF151" s="503">
        <f ca="1">IFERROR(((1-enviro_disc)^(Delay_emissions_table[[#This Row],[Year]]-YEAR(TODAY())))*IF(Delay_emissions_table[[#This Row],[Year]]&gt;=YEAR(TODAY()),1,0),0)</f>
        <v>0</v>
      </c>
      <c r="AG151" s="505" t="str">
        <f ca="1">IF(Delay_emissions_table[[#This Row],[Year]]="","",AG150*(1+Traffic_growth_rate))</f>
        <v/>
      </c>
      <c r="AH151" s="50"/>
    </row>
    <row r="152" spans="2:34" x14ac:dyDescent="0.35">
      <c r="B152" s="115" t="str">
        <f ca="1">IFERROR(IF(B151+1&lt;=YEAR(NOW())+IF('Impact Analysis'!$C$14="Indefinite",MAX('Data Entry'!$C$39:$D$39),'Impact Analysis'!$C$14),B151+1,""),"")</f>
        <v/>
      </c>
      <c r="C152" s="115" t="str">
        <f ca="1">IF(Delay_emissions_table[[#This Row],[Year]]="","",C151+1)</f>
        <v/>
      </c>
      <c r="D152" s="445"/>
      <c r="E152" s="419"/>
      <c r="F152" s="419"/>
      <c r="G152" s="419"/>
      <c r="H152" s="409"/>
      <c r="I15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2"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2" s="445"/>
      <c r="N152" s="419"/>
      <c r="O152" s="419"/>
      <c r="P152" s="419"/>
      <c r="Q152" s="409"/>
      <c r="R152"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2"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2"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2"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2" s="445"/>
      <c r="W152" s="419"/>
      <c r="X152" s="419"/>
      <c r="Y152" s="419"/>
      <c r="Z152" s="409"/>
      <c r="AA15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2" s="153" t="str">
        <f ca="1">IF(Delay_emissions_table[[#This Row],[Year]]="","",AE151*(1+Traffic_growth_rate))</f>
        <v/>
      </c>
      <c r="AF152" s="503">
        <f ca="1">IFERROR(((1-enviro_disc)^(Delay_emissions_table[[#This Row],[Year]]-YEAR(TODAY())))*IF(Delay_emissions_table[[#This Row],[Year]]&gt;=YEAR(TODAY()),1,0),0)</f>
        <v>0</v>
      </c>
      <c r="AG152" s="505" t="str">
        <f ca="1">IF(Delay_emissions_table[[#This Row],[Year]]="","",AG151*(1+Traffic_growth_rate))</f>
        <v/>
      </c>
      <c r="AH152" s="50"/>
    </row>
    <row r="153" spans="2:34" x14ac:dyDescent="0.35">
      <c r="B153" s="313" t="str">
        <f ca="1">IFERROR(IF(B152+1&lt;=YEAR(NOW())+IF('Impact Analysis'!$C$14="Indefinite",MAX('Data Entry'!$C$39:$D$39),'Impact Analysis'!$C$14),B152+1,""),"")</f>
        <v/>
      </c>
      <c r="C153" s="313" t="str">
        <f ca="1">IF(Delay_emissions_table[[#This Row],[Year]]="","",C152+1)</f>
        <v/>
      </c>
      <c r="D153" s="446"/>
      <c r="E153" s="420"/>
      <c r="F153" s="420"/>
      <c r="G153" s="420"/>
      <c r="H153" s="421"/>
      <c r="I153" s="499"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3" s="498"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3" s="446"/>
      <c r="N153" s="420"/>
      <c r="O153" s="420"/>
      <c r="P153" s="420"/>
      <c r="Q153" s="421"/>
      <c r="R153" s="495"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3" s="496"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3" s="496"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3" s="501"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3" s="446"/>
      <c r="W153" s="420"/>
      <c r="X153" s="420"/>
      <c r="Y153" s="420"/>
      <c r="Z153" s="421"/>
      <c r="AA15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3" s="314" t="str">
        <f ca="1">IF(Delay_emissions_table[[#This Row],[Year]]="","",AE152*(1+Traffic_growth_rate))</f>
        <v/>
      </c>
      <c r="AF153" s="503">
        <f ca="1">IFERROR(((1-enviro_disc)^(Delay_emissions_table[[#This Row],[Year]]-YEAR(TODAY())))*IF(Delay_emissions_table[[#This Row],[Year]]&gt;=YEAR(TODAY()),1,0),0)</f>
        <v>0</v>
      </c>
      <c r="AG153" s="505" t="str">
        <f ca="1">IF(Delay_emissions_table[[#This Row],[Year]]="","",AG152*(1+Traffic_growth_rate))</f>
        <v/>
      </c>
      <c r="AH153" s="50"/>
    </row>
    <row r="154" spans="2:34" hidden="1" x14ac:dyDescent="0.35">
      <c r="B154" s="115" t="str">
        <f ca="1">IFERROR(IF(B153+1&lt;=YEAR(NOW())+IF('Impact Analysis'!$C$14="Indefinite",MAX('Data Entry'!$C$39:$D$39),'Impact Analysis'!$C$14),B153+1,""),"")</f>
        <v/>
      </c>
      <c r="C154" s="115" t="str">
        <f ca="1">IF(Delay_emissions_table[[#This Row],[Year]]="","",C153+1)</f>
        <v/>
      </c>
      <c r="D154" s="122"/>
      <c r="E154" s="101"/>
      <c r="F154" s="101"/>
      <c r="G154" s="101"/>
      <c r="H154" s="103"/>
      <c r="I15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4"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4" s="122"/>
      <c r="N154" s="101"/>
      <c r="O154" s="101"/>
      <c r="P154" s="101"/>
      <c r="Q154" s="103"/>
      <c r="R15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4"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4" s="122"/>
      <c r="W154" s="101"/>
      <c r="X154" s="101"/>
      <c r="Y154" s="101"/>
      <c r="Z154" s="103"/>
      <c r="AA15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4" s="153" t="str">
        <f ca="1">IF(Delay_emissions_table[[#This Row],[Year]]="","",AE153*(1+Traffic_growth_rate))</f>
        <v/>
      </c>
      <c r="AF154" s="153">
        <f ca="1">IFERROR(((1-enviro_disc)^(Delay_emissions_table[[#This Row],[Year]]-YEAR(TODAY())))*IF(Delay_emissions_table[[#This Row],[Year]]&gt;=YEAR(TODAY()),1,0),0)</f>
        <v>0</v>
      </c>
      <c r="AG154" s="505" t="str">
        <f ca="1">IF(Delay_emissions_table[[#This Row],[Year]]="","",AG153*(1+Traffic_growth_rate))</f>
        <v/>
      </c>
      <c r="AH154" s="50"/>
    </row>
    <row r="155" spans="2:34" hidden="1" x14ac:dyDescent="0.35">
      <c r="B155" s="115" t="str">
        <f ca="1">IFERROR(IF(B154+1&lt;=YEAR(NOW())+IF('Impact Analysis'!$C$14="Indefinite",MAX('Data Entry'!$C$39:$D$39),'Impact Analysis'!$C$14),B154+1,""),"")</f>
        <v/>
      </c>
      <c r="C155" s="115" t="str">
        <f ca="1">IF(Delay_emissions_table[[#This Row],[Year]]="","",C154+1)</f>
        <v/>
      </c>
      <c r="D155" s="122"/>
      <c r="E155" s="101"/>
      <c r="F155" s="101"/>
      <c r="G155" s="101"/>
      <c r="H155" s="103"/>
      <c r="I155"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5"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5"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5"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5" s="122"/>
      <c r="N155" s="101"/>
      <c r="O155" s="101"/>
      <c r="P155" s="101"/>
      <c r="Q155" s="103"/>
      <c r="R155"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5"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5"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5"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5" s="122"/>
      <c r="W155" s="101"/>
      <c r="X155" s="101"/>
      <c r="Y155" s="101"/>
      <c r="Z155" s="103"/>
      <c r="AA15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5" s="153" t="str">
        <f ca="1">IF(Delay_emissions_table[[#This Row],[Year]]="","",AE154*(1+Traffic_growth_rate))</f>
        <v/>
      </c>
      <c r="AF155" s="153">
        <f ca="1">IFERROR(((1-enviro_disc)^(Delay_emissions_table[[#This Row],[Year]]-YEAR(TODAY())))*IF(Delay_emissions_table[[#This Row],[Year]]&gt;=YEAR(TODAY()),1,0),0)</f>
        <v>0</v>
      </c>
      <c r="AG155" s="505" t="str">
        <f ca="1">IF(Delay_emissions_table[[#This Row],[Year]]="","",AG154*(1+Traffic_growth_rate))</f>
        <v/>
      </c>
      <c r="AH155" s="50"/>
    </row>
    <row r="156" spans="2:34" hidden="1" x14ac:dyDescent="0.35">
      <c r="B156" s="115" t="str">
        <f ca="1">IFERROR(IF(B155+1&lt;=YEAR(NOW())+IF('Impact Analysis'!$C$14="Indefinite",MAX('Data Entry'!$C$39:$D$39),'Impact Analysis'!$C$14),B155+1,""),"")</f>
        <v/>
      </c>
      <c r="C156" s="115" t="str">
        <f ca="1">IF(Delay_emissions_table[[#This Row],[Year]]="","",C155+1)</f>
        <v/>
      </c>
      <c r="D156" s="122"/>
      <c r="E156" s="101"/>
      <c r="F156" s="101"/>
      <c r="G156" s="101"/>
      <c r="H156" s="103"/>
      <c r="I156"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6"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6"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6"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6" s="122"/>
      <c r="N156" s="101"/>
      <c r="O156" s="101"/>
      <c r="P156" s="101"/>
      <c r="Q156" s="103"/>
      <c r="R156"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6"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6"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6"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6" s="122"/>
      <c r="W156" s="101"/>
      <c r="X156" s="101"/>
      <c r="Y156" s="101"/>
      <c r="Z156" s="103"/>
      <c r="AA15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6" s="153" t="str">
        <f ca="1">IF(Delay_emissions_table[[#This Row],[Year]]="","",AE155*(1+Traffic_growth_rate))</f>
        <v/>
      </c>
      <c r="AF156" s="153">
        <f ca="1">IFERROR(((1-enviro_disc)^(Delay_emissions_table[[#This Row],[Year]]-YEAR(TODAY())))*IF(Delay_emissions_table[[#This Row],[Year]]&gt;=YEAR(TODAY()),1,0),0)</f>
        <v>0</v>
      </c>
      <c r="AG156" s="505" t="str">
        <f ca="1">IF(Delay_emissions_table[[#This Row],[Year]]="","",AG155*(1+Traffic_growth_rate))</f>
        <v/>
      </c>
      <c r="AH156" s="50"/>
    </row>
    <row r="157" spans="2:34" hidden="1" x14ac:dyDescent="0.35">
      <c r="B157" s="115" t="str">
        <f ca="1">IFERROR(IF(B156+1&lt;=YEAR(NOW())+IF('Impact Analysis'!$C$14="Indefinite",MAX('Data Entry'!$C$39:$D$39),'Impact Analysis'!$C$14),B156+1,""),"")</f>
        <v/>
      </c>
      <c r="C157" s="115" t="str">
        <f ca="1">IF(Delay_emissions_table[[#This Row],[Year]]="","",C156+1)</f>
        <v/>
      </c>
      <c r="D157" s="122"/>
      <c r="E157" s="101"/>
      <c r="F157" s="101"/>
      <c r="G157" s="101"/>
      <c r="H157" s="103"/>
      <c r="I157"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7"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7"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7"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7" s="122"/>
      <c r="N157" s="101"/>
      <c r="O157" s="101"/>
      <c r="P157" s="101"/>
      <c r="Q157" s="103"/>
      <c r="R157"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7"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7"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7"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7" s="122"/>
      <c r="W157" s="101"/>
      <c r="X157" s="101"/>
      <c r="Y157" s="101"/>
      <c r="Z157" s="103"/>
      <c r="AA15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7" s="153" t="str">
        <f ca="1">IF(Delay_emissions_table[[#This Row],[Year]]="","",AE156*(1+Traffic_growth_rate))</f>
        <v/>
      </c>
      <c r="AF157" s="153">
        <f ca="1">IFERROR(((1-enviro_disc)^(Delay_emissions_table[[#This Row],[Year]]-YEAR(TODAY())))*IF(Delay_emissions_table[[#This Row],[Year]]&gt;=YEAR(TODAY()),1,0),0)</f>
        <v>0</v>
      </c>
      <c r="AG157" s="505" t="str">
        <f ca="1">IF(Delay_emissions_table[[#This Row],[Year]]="","",AG156*(1+Traffic_growth_rate))</f>
        <v/>
      </c>
      <c r="AH157" s="50"/>
    </row>
    <row r="158" spans="2:34" hidden="1" x14ac:dyDescent="0.35">
      <c r="B158" s="115" t="str">
        <f ca="1">IFERROR(IF(B157+1&lt;=YEAR(NOW())+IF('Impact Analysis'!$C$14="Indefinite",MAX('Data Entry'!$C$39:$D$39),'Impact Analysis'!$C$14),B157+1,""),"")</f>
        <v/>
      </c>
      <c r="C158" s="115" t="str">
        <f ca="1">IF(Delay_emissions_table[[#This Row],[Year]]="","",C157+1)</f>
        <v/>
      </c>
      <c r="D158" s="122"/>
      <c r="E158" s="101"/>
      <c r="F158" s="101"/>
      <c r="G158" s="101"/>
      <c r="H158" s="103"/>
      <c r="I158"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8"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8"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8"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8" s="122"/>
      <c r="N158" s="101"/>
      <c r="O158" s="101"/>
      <c r="P158" s="101"/>
      <c r="Q158" s="103"/>
      <c r="R158"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8"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8"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8"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8" s="122"/>
      <c r="W158" s="101"/>
      <c r="X158" s="101"/>
      <c r="Y158" s="101"/>
      <c r="Z158" s="103"/>
      <c r="AA15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8" s="153" t="str">
        <f ca="1">IF(Delay_emissions_table[[#This Row],[Year]]="","",AE157*(1+Traffic_growth_rate))</f>
        <v/>
      </c>
      <c r="AF158" s="153">
        <f ca="1">IFERROR(((1-enviro_disc)^(Delay_emissions_table[[#This Row],[Year]]-YEAR(TODAY())))*IF(Delay_emissions_table[[#This Row],[Year]]&gt;=YEAR(TODAY()),1,0),0)</f>
        <v>0</v>
      </c>
      <c r="AG158" s="505" t="str">
        <f ca="1">IF(Delay_emissions_table[[#This Row],[Year]]="","",AG157*(1+Traffic_growth_rate))</f>
        <v/>
      </c>
      <c r="AH158" s="50"/>
    </row>
    <row r="159" spans="2:34" hidden="1" x14ac:dyDescent="0.35">
      <c r="B159" s="115" t="str">
        <f ca="1">IFERROR(IF(B158+1&lt;=YEAR(NOW())+IF('Impact Analysis'!$C$14="Indefinite",MAX('Data Entry'!$C$39:$D$39),'Impact Analysis'!$C$14),B158+1,""),"")</f>
        <v/>
      </c>
      <c r="C159" s="115" t="str">
        <f ca="1">IF(Delay_emissions_table[[#This Row],[Year]]="","",C158+1)</f>
        <v/>
      </c>
      <c r="D159" s="122"/>
      <c r="E159" s="101"/>
      <c r="F159" s="101"/>
      <c r="G159" s="101"/>
      <c r="H159" s="103"/>
      <c r="I159"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59"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59"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59"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59" s="122"/>
      <c r="N159" s="101"/>
      <c r="O159" s="101"/>
      <c r="P159" s="101"/>
      <c r="Q159" s="103"/>
      <c r="R159"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59"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59"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59"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59" s="122"/>
      <c r="W159" s="101"/>
      <c r="X159" s="101"/>
      <c r="Y159" s="101"/>
      <c r="Z159" s="103"/>
      <c r="AA15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5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5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5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59" s="153" t="str">
        <f ca="1">IF(Delay_emissions_table[[#This Row],[Year]]="","",AE158*(1+Traffic_growth_rate))</f>
        <v/>
      </c>
      <c r="AF159" s="153">
        <f ca="1">IFERROR(((1-enviro_disc)^(Delay_emissions_table[[#This Row],[Year]]-YEAR(TODAY())))*IF(Delay_emissions_table[[#This Row],[Year]]&gt;=YEAR(TODAY()),1,0),0)</f>
        <v>0</v>
      </c>
      <c r="AG159" s="505" t="str">
        <f ca="1">IF(Delay_emissions_table[[#This Row],[Year]]="","",AG158*(1+Traffic_growth_rate))</f>
        <v/>
      </c>
      <c r="AH159" s="50"/>
    </row>
    <row r="160" spans="2:34" hidden="1" x14ac:dyDescent="0.35">
      <c r="B160" s="115" t="str">
        <f ca="1">IFERROR(IF(B159+1&lt;=YEAR(NOW())+IF('Impact Analysis'!$C$14="Indefinite",MAX('Data Entry'!$C$39:$D$39),'Impact Analysis'!$C$14),B159+1,""),"")</f>
        <v/>
      </c>
      <c r="C160" s="115" t="str">
        <f ca="1">IF(Delay_emissions_table[[#This Row],[Year]]="","",C159+1)</f>
        <v/>
      </c>
      <c r="D160" s="122"/>
      <c r="E160" s="101"/>
      <c r="F160" s="101"/>
      <c r="G160" s="101"/>
      <c r="H160" s="103"/>
      <c r="I160"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0"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0"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0"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0" s="122"/>
      <c r="N160" s="101"/>
      <c r="O160" s="101"/>
      <c r="P160" s="101"/>
      <c r="Q160" s="103"/>
      <c r="R160"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0"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0"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0"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0" s="122"/>
      <c r="W160" s="101"/>
      <c r="X160" s="101"/>
      <c r="Y160" s="101"/>
      <c r="Z160" s="103"/>
      <c r="AA16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0" s="153" t="str">
        <f ca="1">IF(Delay_emissions_table[[#This Row],[Year]]="","",AE159*(1+Traffic_growth_rate))</f>
        <v/>
      </c>
      <c r="AF160" s="153">
        <f ca="1">IFERROR(((1-enviro_disc)^(Delay_emissions_table[[#This Row],[Year]]-YEAR(TODAY())))*IF(Delay_emissions_table[[#This Row],[Year]]&gt;=YEAR(TODAY()),1,0),0)</f>
        <v>0</v>
      </c>
      <c r="AG160" s="505" t="str">
        <f ca="1">IF(Delay_emissions_table[[#This Row],[Year]]="","",AG159*(1+Traffic_growth_rate))</f>
        <v/>
      </c>
      <c r="AH160" s="50"/>
    </row>
    <row r="161" spans="2:34" hidden="1" x14ac:dyDescent="0.35">
      <c r="B161" s="115" t="str">
        <f ca="1">IFERROR(IF(B160+1&lt;=YEAR(NOW())+IF('Impact Analysis'!$C$14="Indefinite",MAX('Data Entry'!$C$39:$D$39),'Impact Analysis'!$C$14),B160+1,""),"")</f>
        <v/>
      </c>
      <c r="C161" s="115" t="str">
        <f ca="1">IF(Delay_emissions_table[[#This Row],[Year]]="","",C160+1)</f>
        <v/>
      </c>
      <c r="D161" s="122"/>
      <c r="E161" s="101"/>
      <c r="F161" s="101"/>
      <c r="G161" s="101"/>
      <c r="H161" s="103"/>
      <c r="I161"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1"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1"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1"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1" s="122"/>
      <c r="N161" s="101"/>
      <c r="O161" s="101"/>
      <c r="P161" s="101"/>
      <c r="Q161" s="103"/>
      <c r="R161"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1"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1"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1"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1" s="122"/>
      <c r="W161" s="101"/>
      <c r="X161" s="101"/>
      <c r="Y161" s="101"/>
      <c r="Z161" s="103"/>
      <c r="AA16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1" s="153" t="str">
        <f ca="1">IF(Delay_emissions_table[[#This Row],[Year]]="","",AE160*(1+Traffic_growth_rate))</f>
        <v/>
      </c>
      <c r="AF161" s="153">
        <f ca="1">IFERROR(((1-enviro_disc)^(Delay_emissions_table[[#This Row],[Year]]-YEAR(TODAY())))*IF(Delay_emissions_table[[#This Row],[Year]]&gt;=YEAR(TODAY()),1,0),0)</f>
        <v>0</v>
      </c>
      <c r="AG161" s="505" t="str">
        <f ca="1">IF(Delay_emissions_table[[#This Row],[Year]]="","",AG160*(1+Traffic_growth_rate))</f>
        <v/>
      </c>
      <c r="AH161" s="50"/>
    </row>
    <row r="162" spans="2:34" hidden="1" x14ac:dyDescent="0.35">
      <c r="B162" s="115" t="str">
        <f ca="1">IFERROR(IF(B161+1&lt;=YEAR(NOW())+IF('Impact Analysis'!$C$14="Indefinite",MAX('Data Entry'!$C$39:$D$39),'Impact Analysis'!$C$14),B161+1,""),"")</f>
        <v/>
      </c>
      <c r="C162" s="115" t="str">
        <f ca="1">IF(Delay_emissions_table[[#This Row],[Year]]="","",C161+1)</f>
        <v/>
      </c>
      <c r="D162" s="122"/>
      <c r="E162" s="101"/>
      <c r="F162" s="101"/>
      <c r="G162" s="101"/>
      <c r="H162" s="103"/>
      <c r="I162"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2"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2"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2"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2" s="122"/>
      <c r="N162" s="101"/>
      <c r="O162" s="101"/>
      <c r="P162" s="101"/>
      <c r="Q162" s="103"/>
      <c r="R162"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2"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2"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2"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2" s="122"/>
      <c r="W162" s="101"/>
      <c r="X162" s="101"/>
      <c r="Y162" s="101"/>
      <c r="Z162" s="103"/>
      <c r="AA16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2" s="153" t="str">
        <f ca="1">IF(Delay_emissions_table[[#This Row],[Year]]="","",AE161*(1+Traffic_growth_rate))</f>
        <v/>
      </c>
      <c r="AF162" s="153">
        <f ca="1">IFERROR(((1-enviro_disc)^(Delay_emissions_table[[#This Row],[Year]]-YEAR(TODAY())))*IF(Delay_emissions_table[[#This Row],[Year]]&gt;=YEAR(TODAY()),1,0),0)</f>
        <v>0</v>
      </c>
      <c r="AG162" s="505" t="str">
        <f ca="1">IF(Delay_emissions_table[[#This Row],[Year]]="","",AG161*(1+Traffic_growth_rate))</f>
        <v/>
      </c>
      <c r="AH162" s="50"/>
    </row>
    <row r="163" spans="2:34" hidden="1" x14ac:dyDescent="0.35">
      <c r="B163" s="115" t="str">
        <f ca="1">IFERROR(IF(B162+1&lt;=YEAR(NOW())+IF('Impact Analysis'!$C$14="Indefinite",MAX('Data Entry'!$C$39:$D$39),'Impact Analysis'!$C$14),B162+1,""),"")</f>
        <v/>
      </c>
      <c r="C163" s="115" t="str">
        <f ca="1">IF(Delay_emissions_table[[#This Row],[Year]]="","",C162+1)</f>
        <v/>
      </c>
      <c r="D163" s="122"/>
      <c r="E163" s="101"/>
      <c r="F163" s="101"/>
      <c r="G163" s="101"/>
      <c r="H163" s="103"/>
      <c r="I163"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3"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3"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3"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3" s="122"/>
      <c r="N163" s="101"/>
      <c r="O163" s="101"/>
      <c r="P163" s="101"/>
      <c r="Q163" s="103"/>
      <c r="R163"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3"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3"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3"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3" s="122"/>
      <c r="W163" s="101"/>
      <c r="X163" s="101"/>
      <c r="Y163" s="101"/>
      <c r="Z163" s="103"/>
      <c r="AA16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3" s="153" t="str">
        <f ca="1">IF(Delay_emissions_table[[#This Row],[Year]]="","",AE162*(1+Traffic_growth_rate))</f>
        <v/>
      </c>
      <c r="AF163" s="153">
        <f ca="1">IFERROR(((1-enviro_disc)^(Delay_emissions_table[[#This Row],[Year]]-YEAR(TODAY())))*IF(Delay_emissions_table[[#This Row],[Year]]&gt;=YEAR(TODAY()),1,0),0)</f>
        <v>0</v>
      </c>
      <c r="AG163" s="505" t="str">
        <f ca="1">IF(Delay_emissions_table[[#This Row],[Year]]="","",AG162*(1+Traffic_growth_rate))</f>
        <v/>
      </c>
      <c r="AH163" s="50"/>
    </row>
    <row r="164" spans="2:34" hidden="1" x14ac:dyDescent="0.35">
      <c r="B164" s="115" t="str">
        <f ca="1">IFERROR(IF(B163+1&lt;=YEAR(NOW())+IF('Impact Analysis'!$C$14="Indefinite",MAX('Data Entry'!$C$39:$D$39),'Impact Analysis'!$C$14),B163+1,""),"")</f>
        <v/>
      </c>
      <c r="C164" s="115" t="str">
        <f ca="1">IF(Delay_emissions_table[[#This Row],[Year]]="","",C163+1)</f>
        <v/>
      </c>
      <c r="D164" s="122"/>
      <c r="E164" s="101"/>
      <c r="F164" s="101"/>
      <c r="G164" s="101"/>
      <c r="H164" s="103"/>
      <c r="I16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4"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4" s="122"/>
      <c r="N164" s="101"/>
      <c r="O164" s="101"/>
      <c r="P164" s="101"/>
      <c r="Q164" s="103"/>
      <c r="R16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4"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4" s="122"/>
      <c r="W164" s="101"/>
      <c r="X164" s="101"/>
      <c r="Y164" s="101"/>
      <c r="Z164" s="103"/>
      <c r="AA16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4" s="153" t="str">
        <f ca="1">IF(Delay_emissions_table[[#This Row],[Year]]="","",AE163*(1+Traffic_growth_rate))</f>
        <v/>
      </c>
      <c r="AF164" s="153">
        <f ca="1">IFERROR(((1-enviro_disc)^(Delay_emissions_table[[#This Row],[Year]]-YEAR(TODAY())))*IF(Delay_emissions_table[[#This Row],[Year]]&gt;=YEAR(TODAY()),1,0),0)</f>
        <v>0</v>
      </c>
      <c r="AG164" s="505" t="str">
        <f ca="1">IF(Delay_emissions_table[[#This Row],[Year]]="","",AG163*(1+Traffic_growth_rate))</f>
        <v/>
      </c>
      <c r="AH164" s="50"/>
    </row>
    <row r="165" spans="2:34" hidden="1" x14ac:dyDescent="0.35">
      <c r="B165" s="115" t="str">
        <f ca="1">IFERROR(IF(B164+1&lt;=YEAR(NOW())+IF('Impact Analysis'!$C$14="Indefinite",MAX('Data Entry'!$C$39:$D$39),'Impact Analysis'!$C$14),B164+1,""),"")</f>
        <v/>
      </c>
      <c r="C165" s="115" t="str">
        <f ca="1">IF(Delay_emissions_table[[#This Row],[Year]]="","",C164+1)</f>
        <v/>
      </c>
      <c r="D165" s="122"/>
      <c r="E165" s="101"/>
      <c r="F165" s="101"/>
      <c r="G165" s="101"/>
      <c r="H165" s="103"/>
      <c r="I165"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5"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5"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5"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5" s="122"/>
      <c r="N165" s="101"/>
      <c r="O165" s="101"/>
      <c r="P165" s="101"/>
      <c r="Q165" s="103"/>
      <c r="R165"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5"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5"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5"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5" s="122"/>
      <c r="W165" s="101"/>
      <c r="X165" s="101"/>
      <c r="Y165" s="101"/>
      <c r="Z165" s="103"/>
      <c r="AA16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5" s="153" t="str">
        <f ca="1">IF(Delay_emissions_table[[#This Row],[Year]]="","",AE164*(1+Traffic_growth_rate))</f>
        <v/>
      </c>
      <c r="AF165" s="153">
        <f ca="1">IFERROR(((1-enviro_disc)^(Delay_emissions_table[[#This Row],[Year]]-YEAR(TODAY())))*IF(Delay_emissions_table[[#This Row],[Year]]&gt;=YEAR(TODAY()),1,0),0)</f>
        <v>0</v>
      </c>
      <c r="AG165" s="505" t="str">
        <f ca="1">IF(Delay_emissions_table[[#This Row],[Year]]="","",AG164*(1+Traffic_growth_rate))</f>
        <v/>
      </c>
      <c r="AH165" s="50"/>
    </row>
    <row r="166" spans="2:34" hidden="1" x14ac:dyDescent="0.35">
      <c r="B166" s="115" t="str">
        <f ca="1">IFERROR(IF(B165+1&lt;=YEAR(NOW())+IF('Impact Analysis'!$C$14="Indefinite",MAX('Data Entry'!$C$39:$D$39),'Impact Analysis'!$C$14),B165+1,""),"")</f>
        <v/>
      </c>
      <c r="C166" s="115" t="str">
        <f ca="1">IF(Delay_emissions_table[[#This Row],[Year]]="","",C165+1)</f>
        <v/>
      </c>
      <c r="D166" s="122"/>
      <c r="E166" s="101"/>
      <c r="F166" s="101"/>
      <c r="G166" s="101"/>
      <c r="H166" s="103"/>
      <c r="I166"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6"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6"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6"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6" s="122"/>
      <c r="N166" s="101"/>
      <c r="O166" s="101"/>
      <c r="P166" s="101"/>
      <c r="Q166" s="103"/>
      <c r="R166"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6"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6"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6"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6" s="122"/>
      <c r="W166" s="101"/>
      <c r="X166" s="101"/>
      <c r="Y166" s="101"/>
      <c r="Z166" s="103"/>
      <c r="AA16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6" s="153" t="str">
        <f ca="1">IF(Delay_emissions_table[[#This Row],[Year]]="","",AE165*(1+Traffic_growth_rate))</f>
        <v/>
      </c>
      <c r="AF166" s="153">
        <f ca="1">IFERROR(((1-enviro_disc)^(Delay_emissions_table[[#This Row],[Year]]-YEAR(TODAY())))*IF(Delay_emissions_table[[#This Row],[Year]]&gt;=YEAR(TODAY()),1,0),0)</f>
        <v>0</v>
      </c>
      <c r="AG166" s="505" t="str">
        <f ca="1">IF(Delay_emissions_table[[#This Row],[Year]]="","",AG165*(1+Traffic_growth_rate))</f>
        <v/>
      </c>
      <c r="AH166" s="50"/>
    </row>
    <row r="167" spans="2:34" hidden="1" x14ac:dyDescent="0.35">
      <c r="B167" s="115" t="str">
        <f ca="1">IFERROR(IF(B166+1&lt;=YEAR(NOW())+IF('Impact Analysis'!$C$14="Indefinite",MAX('Data Entry'!$C$39:$D$39),'Impact Analysis'!$C$14),B166+1,""),"")</f>
        <v/>
      </c>
      <c r="C167" s="115" t="str">
        <f ca="1">IF(Delay_emissions_table[[#This Row],[Year]]="","",C166+1)</f>
        <v/>
      </c>
      <c r="D167" s="122"/>
      <c r="E167" s="101"/>
      <c r="F167" s="101"/>
      <c r="G167" s="101"/>
      <c r="H167" s="103"/>
      <c r="I167"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7"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7"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7"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7" s="122"/>
      <c r="N167" s="101"/>
      <c r="O167" s="101"/>
      <c r="P167" s="101"/>
      <c r="Q167" s="103"/>
      <c r="R167"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7"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7"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7"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7" s="122"/>
      <c r="W167" s="101"/>
      <c r="X167" s="101"/>
      <c r="Y167" s="101"/>
      <c r="Z167" s="103"/>
      <c r="AA16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7" s="153" t="str">
        <f ca="1">IF(Delay_emissions_table[[#This Row],[Year]]="","",AE166*(1+Traffic_growth_rate))</f>
        <v/>
      </c>
      <c r="AF167" s="153">
        <f ca="1">IFERROR(((1-enviro_disc)^(Delay_emissions_table[[#This Row],[Year]]-YEAR(TODAY())))*IF(Delay_emissions_table[[#This Row],[Year]]&gt;=YEAR(TODAY()),1,0),0)</f>
        <v>0</v>
      </c>
      <c r="AG167" s="505" t="str">
        <f ca="1">IF(Delay_emissions_table[[#This Row],[Year]]="","",AG166*(1+Traffic_growth_rate))</f>
        <v/>
      </c>
      <c r="AH167" s="50"/>
    </row>
    <row r="168" spans="2:34" hidden="1" x14ac:dyDescent="0.35">
      <c r="B168" s="115" t="str">
        <f ca="1">IFERROR(IF(B167+1&lt;=YEAR(NOW())+IF('Impact Analysis'!$C$14="Indefinite",MAX('Data Entry'!$C$39:$D$39),'Impact Analysis'!$C$14),B167+1,""),"")</f>
        <v/>
      </c>
      <c r="C168" s="115" t="str">
        <f ca="1">IF(Delay_emissions_table[[#This Row],[Year]]="","",C167+1)</f>
        <v/>
      </c>
      <c r="D168" s="122"/>
      <c r="E168" s="101"/>
      <c r="F168" s="101"/>
      <c r="G168" s="101"/>
      <c r="H168" s="103"/>
      <c r="I168"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8"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8"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8"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8" s="122"/>
      <c r="N168" s="101"/>
      <c r="O168" s="101"/>
      <c r="P168" s="101"/>
      <c r="Q168" s="103"/>
      <c r="R168"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8"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8"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8"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8" s="122"/>
      <c r="W168" s="101"/>
      <c r="X168" s="101"/>
      <c r="Y168" s="101"/>
      <c r="Z168" s="103"/>
      <c r="AA16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8" s="153" t="str">
        <f ca="1">IF(Delay_emissions_table[[#This Row],[Year]]="","",AE167*(1+Traffic_growth_rate))</f>
        <v/>
      </c>
      <c r="AF168" s="153">
        <f ca="1">IFERROR(((1-enviro_disc)^(Delay_emissions_table[[#This Row],[Year]]-YEAR(TODAY())))*IF(Delay_emissions_table[[#This Row],[Year]]&gt;=YEAR(TODAY()),1,0),0)</f>
        <v>0</v>
      </c>
      <c r="AG168" s="505" t="str">
        <f ca="1">IF(Delay_emissions_table[[#This Row],[Year]]="","",AG167*(1+Traffic_growth_rate))</f>
        <v/>
      </c>
      <c r="AH168" s="50"/>
    </row>
    <row r="169" spans="2:34" hidden="1" x14ac:dyDescent="0.35">
      <c r="B169" s="115" t="str">
        <f ca="1">IFERROR(IF(B168+1&lt;=YEAR(NOW())+IF('Impact Analysis'!$C$14="Indefinite",MAX('Data Entry'!$C$39:$D$39),'Impact Analysis'!$C$14),B168+1,""),"")</f>
        <v/>
      </c>
      <c r="C169" s="115" t="str">
        <f ca="1">IF(Delay_emissions_table[[#This Row],[Year]]="","",C168+1)</f>
        <v/>
      </c>
      <c r="D169" s="122"/>
      <c r="E169" s="101"/>
      <c r="F169" s="101"/>
      <c r="G169" s="101"/>
      <c r="H169" s="103"/>
      <c r="I169"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69"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69"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69"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69" s="122"/>
      <c r="N169" s="101"/>
      <c r="O169" s="101"/>
      <c r="P169" s="101"/>
      <c r="Q169" s="103"/>
      <c r="R169"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69"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69"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69"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69" s="122"/>
      <c r="W169" s="101"/>
      <c r="X169" s="101"/>
      <c r="Y169" s="101"/>
      <c r="Z169" s="103"/>
      <c r="AA16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6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6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6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69" s="153" t="str">
        <f ca="1">IF(Delay_emissions_table[[#This Row],[Year]]="","",AE168*(1+Traffic_growth_rate))</f>
        <v/>
      </c>
      <c r="AF169" s="153">
        <f ca="1">IFERROR(((1-enviro_disc)^(Delay_emissions_table[[#This Row],[Year]]-YEAR(TODAY())))*IF(Delay_emissions_table[[#This Row],[Year]]&gt;=YEAR(TODAY()),1,0),0)</f>
        <v>0</v>
      </c>
      <c r="AG169" s="505" t="str">
        <f ca="1">IF(Delay_emissions_table[[#This Row],[Year]]="","",AG168*(1+Traffic_growth_rate))</f>
        <v/>
      </c>
      <c r="AH169" s="50"/>
    </row>
    <row r="170" spans="2:34" hidden="1" x14ac:dyDescent="0.35">
      <c r="B170" s="115" t="str">
        <f ca="1">IFERROR(IF(B169+1&lt;=YEAR(NOW())+IF('Impact Analysis'!$C$14="Indefinite",MAX('Data Entry'!$C$39:$D$39),'Impact Analysis'!$C$14),B169+1,""),"")</f>
        <v/>
      </c>
      <c r="C170" s="115" t="str">
        <f ca="1">IF(Delay_emissions_table[[#This Row],[Year]]="","",C169+1)</f>
        <v/>
      </c>
      <c r="D170" s="122"/>
      <c r="E170" s="101"/>
      <c r="F170" s="101"/>
      <c r="G170" s="101"/>
      <c r="H170" s="103"/>
      <c r="I170"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0"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0"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0"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0" s="122"/>
      <c r="N170" s="101"/>
      <c r="O170" s="101"/>
      <c r="P170" s="101"/>
      <c r="Q170" s="103"/>
      <c r="R170"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0"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0"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0"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0" s="122"/>
      <c r="W170" s="101"/>
      <c r="X170" s="101"/>
      <c r="Y170" s="101"/>
      <c r="Z170" s="103"/>
      <c r="AA17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0" s="153" t="str">
        <f ca="1">IF(Delay_emissions_table[[#This Row],[Year]]="","",AE169*(1+Traffic_growth_rate))</f>
        <v/>
      </c>
      <c r="AF170" s="153">
        <f ca="1">IFERROR(((1-enviro_disc)^(Delay_emissions_table[[#This Row],[Year]]-YEAR(TODAY())))*IF(Delay_emissions_table[[#This Row],[Year]]&gt;=YEAR(TODAY()),1,0),0)</f>
        <v>0</v>
      </c>
      <c r="AG170" s="505" t="str">
        <f ca="1">IF(Delay_emissions_table[[#This Row],[Year]]="","",AG169*(1+Traffic_growth_rate))</f>
        <v/>
      </c>
      <c r="AH170" s="50"/>
    </row>
    <row r="171" spans="2:34" hidden="1" x14ac:dyDescent="0.35">
      <c r="B171" s="115" t="str">
        <f ca="1">IFERROR(IF(B170+1&lt;=YEAR(NOW())+IF('Impact Analysis'!$C$14="Indefinite",MAX('Data Entry'!$C$39:$D$39),'Impact Analysis'!$C$14),B170+1,""),"")</f>
        <v/>
      </c>
      <c r="C171" s="115" t="str">
        <f ca="1">IF(Delay_emissions_table[[#This Row],[Year]]="","",C170+1)</f>
        <v/>
      </c>
      <c r="D171" s="122"/>
      <c r="E171" s="101"/>
      <c r="F171" s="101"/>
      <c r="G171" s="101"/>
      <c r="H171" s="103"/>
      <c r="I171"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1"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1"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1"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1" s="122"/>
      <c r="N171" s="101"/>
      <c r="O171" s="101"/>
      <c r="P171" s="101"/>
      <c r="Q171" s="103"/>
      <c r="R171"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1"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1"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1"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1" s="122"/>
      <c r="W171" s="101"/>
      <c r="X171" s="101"/>
      <c r="Y171" s="101"/>
      <c r="Z171" s="103"/>
      <c r="AA17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1" s="153" t="str">
        <f ca="1">IF(Delay_emissions_table[[#This Row],[Year]]="","",AE170*(1+Traffic_growth_rate))</f>
        <v/>
      </c>
      <c r="AF171" s="153">
        <f ca="1">IFERROR(((1-enviro_disc)^(Delay_emissions_table[[#This Row],[Year]]-YEAR(TODAY())))*IF(Delay_emissions_table[[#This Row],[Year]]&gt;=YEAR(TODAY()),1,0),0)</f>
        <v>0</v>
      </c>
      <c r="AG171" s="505" t="str">
        <f ca="1">IF(Delay_emissions_table[[#This Row],[Year]]="","",AG170*(1+Traffic_growth_rate))</f>
        <v/>
      </c>
      <c r="AH171" s="50"/>
    </row>
    <row r="172" spans="2:34" hidden="1" x14ac:dyDescent="0.35">
      <c r="B172" s="115" t="str">
        <f ca="1">IFERROR(IF(B171+1&lt;=YEAR(NOW())+IF('Impact Analysis'!$C$14="Indefinite",MAX('Data Entry'!$C$39:$D$39),'Impact Analysis'!$C$14),B171+1,""),"")</f>
        <v/>
      </c>
      <c r="C172" s="115" t="str">
        <f ca="1">IF(Delay_emissions_table[[#This Row],[Year]]="","",C171+1)</f>
        <v/>
      </c>
      <c r="D172" s="122"/>
      <c r="E172" s="101"/>
      <c r="F172" s="101"/>
      <c r="G172" s="101"/>
      <c r="H172" s="103"/>
      <c r="I172"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2"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2"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2"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2" s="122"/>
      <c r="N172" s="101"/>
      <c r="O172" s="101"/>
      <c r="P172" s="101"/>
      <c r="Q172" s="103"/>
      <c r="R172"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2"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2"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2"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2" s="122"/>
      <c r="W172" s="101"/>
      <c r="X172" s="101"/>
      <c r="Y172" s="101"/>
      <c r="Z172" s="103"/>
      <c r="AA17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2" s="153" t="str">
        <f ca="1">IF(Delay_emissions_table[[#This Row],[Year]]="","",AE171*(1+Traffic_growth_rate))</f>
        <v/>
      </c>
      <c r="AF172" s="153">
        <f ca="1">IFERROR(((1-enviro_disc)^(Delay_emissions_table[[#This Row],[Year]]-YEAR(TODAY())))*IF(Delay_emissions_table[[#This Row],[Year]]&gt;=YEAR(TODAY()),1,0),0)</f>
        <v>0</v>
      </c>
      <c r="AG172" s="505" t="str">
        <f ca="1">IF(Delay_emissions_table[[#This Row],[Year]]="","",AG171*(1+Traffic_growth_rate))</f>
        <v/>
      </c>
      <c r="AH172" s="50"/>
    </row>
    <row r="173" spans="2:34" hidden="1" x14ac:dyDescent="0.35">
      <c r="B173" s="115" t="str">
        <f ca="1">IFERROR(IF(B172+1&lt;=YEAR(NOW())+IF('Impact Analysis'!$C$14="Indefinite",MAX('Data Entry'!$C$39:$D$39),'Impact Analysis'!$C$14),B172+1,""),"")</f>
        <v/>
      </c>
      <c r="C173" s="115" t="str">
        <f ca="1">IF(Delay_emissions_table[[#This Row],[Year]]="","",C172+1)</f>
        <v/>
      </c>
      <c r="D173" s="122"/>
      <c r="E173" s="101"/>
      <c r="F173" s="101"/>
      <c r="G173" s="101"/>
      <c r="H173" s="103"/>
      <c r="I173"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3"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3"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3"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3" s="122"/>
      <c r="N173" s="101"/>
      <c r="O173" s="101"/>
      <c r="P173" s="101"/>
      <c r="Q173" s="103"/>
      <c r="R173"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3"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3"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3"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3" s="122"/>
      <c r="W173" s="101"/>
      <c r="X173" s="101"/>
      <c r="Y173" s="101"/>
      <c r="Z173" s="103"/>
      <c r="AA17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3" s="153" t="str">
        <f ca="1">IF(Delay_emissions_table[[#This Row],[Year]]="","",AE172*(1+Traffic_growth_rate))</f>
        <v/>
      </c>
      <c r="AF173" s="153">
        <f ca="1">IFERROR(((1-enviro_disc)^(Delay_emissions_table[[#This Row],[Year]]-YEAR(TODAY())))*IF(Delay_emissions_table[[#This Row],[Year]]&gt;=YEAR(TODAY()),1,0),0)</f>
        <v>0</v>
      </c>
      <c r="AG173" s="505" t="str">
        <f ca="1">IF(Delay_emissions_table[[#This Row],[Year]]="","",AG172*(1+Traffic_growth_rate))</f>
        <v/>
      </c>
      <c r="AH173" s="50"/>
    </row>
    <row r="174" spans="2:34" hidden="1" x14ac:dyDescent="0.35">
      <c r="B174" s="115" t="str">
        <f ca="1">IFERROR(IF(B173+1&lt;=YEAR(NOW())+IF('Impact Analysis'!$C$14="Indefinite",MAX('Data Entry'!$C$39:$D$39),'Impact Analysis'!$C$14),B173+1,""),"")</f>
        <v/>
      </c>
      <c r="C174" s="115" t="str">
        <f ca="1">IF(Delay_emissions_table[[#This Row],[Year]]="","",C173+1)</f>
        <v/>
      </c>
      <c r="D174" s="122"/>
      <c r="E174" s="101"/>
      <c r="F174" s="101"/>
      <c r="G174" s="101"/>
      <c r="H174" s="103"/>
      <c r="I17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4"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4" s="122"/>
      <c r="N174" s="101"/>
      <c r="O174" s="101"/>
      <c r="P174" s="101"/>
      <c r="Q174" s="103"/>
      <c r="R17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4"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4" s="122"/>
      <c r="W174" s="101"/>
      <c r="X174" s="101"/>
      <c r="Y174" s="101"/>
      <c r="Z174" s="103"/>
      <c r="AA17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4" s="153" t="str">
        <f ca="1">IF(Delay_emissions_table[[#This Row],[Year]]="","",AE173*(1+Traffic_growth_rate))</f>
        <v/>
      </c>
      <c r="AF174" s="153">
        <f ca="1">IFERROR(((1-enviro_disc)^(Delay_emissions_table[[#This Row],[Year]]-YEAR(TODAY())))*IF(Delay_emissions_table[[#This Row],[Year]]&gt;=YEAR(TODAY()),1,0),0)</f>
        <v>0</v>
      </c>
      <c r="AG174" s="505" t="str">
        <f ca="1">IF(Delay_emissions_table[[#This Row],[Year]]="","",AG173*(1+Traffic_growth_rate))</f>
        <v/>
      </c>
      <c r="AH174" s="50"/>
    </row>
    <row r="175" spans="2:34" hidden="1" x14ac:dyDescent="0.35">
      <c r="B175" s="115" t="str">
        <f ca="1">IFERROR(IF(B174+1&lt;=YEAR(NOW())+IF('Impact Analysis'!$C$14="Indefinite",MAX('Data Entry'!$C$39:$D$39),'Impact Analysis'!$C$14),B174+1,""),"")</f>
        <v/>
      </c>
      <c r="C175" s="115" t="str">
        <f ca="1">IF(Delay_emissions_table[[#This Row],[Year]]="","",C174+1)</f>
        <v/>
      </c>
      <c r="D175" s="122"/>
      <c r="E175" s="101"/>
      <c r="F175" s="101"/>
      <c r="G175" s="101"/>
      <c r="H175" s="103"/>
      <c r="I175"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5"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5"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5"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5" s="122"/>
      <c r="N175" s="101"/>
      <c r="O175" s="101"/>
      <c r="P175" s="101"/>
      <c r="Q175" s="103"/>
      <c r="R175"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5"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5"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5"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5" s="122"/>
      <c r="W175" s="101"/>
      <c r="X175" s="101"/>
      <c r="Y175" s="101"/>
      <c r="Z175" s="103"/>
      <c r="AA17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5" s="153" t="str">
        <f ca="1">IF(Delay_emissions_table[[#This Row],[Year]]="","",AE174*(1+Traffic_growth_rate))</f>
        <v/>
      </c>
      <c r="AF175" s="153">
        <f ca="1">IFERROR(((1-enviro_disc)^(Delay_emissions_table[[#This Row],[Year]]-YEAR(TODAY())))*IF(Delay_emissions_table[[#This Row],[Year]]&gt;=YEAR(TODAY()),1,0),0)</f>
        <v>0</v>
      </c>
      <c r="AG175" s="505" t="str">
        <f ca="1">IF(Delay_emissions_table[[#This Row],[Year]]="","",AG174*(1+Traffic_growth_rate))</f>
        <v/>
      </c>
      <c r="AH175" s="50"/>
    </row>
    <row r="176" spans="2:34" hidden="1" x14ac:dyDescent="0.35">
      <c r="B176" s="115" t="str">
        <f ca="1">IFERROR(IF(B175+1&lt;=YEAR(NOW())+IF('Impact Analysis'!$C$14="Indefinite",MAX('Data Entry'!$C$39:$D$39),'Impact Analysis'!$C$14),B175+1,""),"")</f>
        <v/>
      </c>
      <c r="C176" s="115" t="str">
        <f ca="1">IF(Delay_emissions_table[[#This Row],[Year]]="","",C175+1)</f>
        <v/>
      </c>
      <c r="D176" s="122"/>
      <c r="E176" s="101"/>
      <c r="F176" s="101"/>
      <c r="G176" s="101"/>
      <c r="H176" s="103"/>
      <c r="I176"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6"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6"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6"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6" s="122"/>
      <c r="N176" s="101"/>
      <c r="O176" s="101"/>
      <c r="P176" s="101"/>
      <c r="Q176" s="103"/>
      <c r="R176"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6"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6"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6"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6" s="122"/>
      <c r="W176" s="101"/>
      <c r="X176" s="101"/>
      <c r="Y176" s="101"/>
      <c r="Z176" s="103"/>
      <c r="AA17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6" s="153" t="str">
        <f ca="1">IF(Delay_emissions_table[[#This Row],[Year]]="","",AE175*(1+Traffic_growth_rate))</f>
        <v/>
      </c>
      <c r="AF176" s="153">
        <f ca="1">IFERROR(((1-enviro_disc)^(Delay_emissions_table[[#This Row],[Year]]-YEAR(TODAY())))*IF(Delay_emissions_table[[#This Row],[Year]]&gt;=YEAR(TODAY()),1,0),0)</f>
        <v>0</v>
      </c>
      <c r="AG176" s="505" t="str">
        <f ca="1">IF(Delay_emissions_table[[#This Row],[Year]]="","",AG175*(1+Traffic_growth_rate))</f>
        <v/>
      </c>
      <c r="AH176" s="50"/>
    </row>
    <row r="177" spans="2:34" hidden="1" x14ac:dyDescent="0.35">
      <c r="B177" s="115" t="str">
        <f ca="1">IFERROR(IF(B176+1&lt;=YEAR(NOW())+IF('Impact Analysis'!$C$14="Indefinite",MAX('Data Entry'!$C$39:$D$39),'Impact Analysis'!$C$14),B176+1,""),"")</f>
        <v/>
      </c>
      <c r="C177" s="115" t="str">
        <f ca="1">IF(Delay_emissions_table[[#This Row],[Year]]="","",C176+1)</f>
        <v/>
      </c>
      <c r="D177" s="122"/>
      <c r="E177" s="101"/>
      <c r="F177" s="101"/>
      <c r="G177" s="101"/>
      <c r="H177" s="103"/>
      <c r="I177"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7"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7"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7"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7" s="122"/>
      <c r="N177" s="101"/>
      <c r="O177" s="101"/>
      <c r="P177" s="101"/>
      <c r="Q177" s="103"/>
      <c r="R177"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7"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7"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7"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7" s="122"/>
      <c r="W177" s="101"/>
      <c r="X177" s="101"/>
      <c r="Y177" s="101"/>
      <c r="Z177" s="103"/>
      <c r="AA17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7" s="153" t="str">
        <f ca="1">IF(Delay_emissions_table[[#This Row],[Year]]="","",AE176*(1+Traffic_growth_rate))</f>
        <v/>
      </c>
      <c r="AF177" s="153">
        <f ca="1">IFERROR(((1-enviro_disc)^(Delay_emissions_table[[#This Row],[Year]]-YEAR(TODAY())))*IF(Delay_emissions_table[[#This Row],[Year]]&gt;=YEAR(TODAY()),1,0),0)</f>
        <v>0</v>
      </c>
      <c r="AG177" s="505" t="str">
        <f ca="1">IF(Delay_emissions_table[[#This Row],[Year]]="","",AG176*(1+Traffic_growth_rate))</f>
        <v/>
      </c>
      <c r="AH177" s="50"/>
    </row>
    <row r="178" spans="2:34" hidden="1" x14ac:dyDescent="0.35">
      <c r="B178" s="115" t="str">
        <f ca="1">IFERROR(IF(B177+1&lt;=YEAR(NOW())+IF('Impact Analysis'!$C$14="Indefinite",MAX('Data Entry'!$C$39:$D$39),'Impact Analysis'!$C$14),B177+1,""),"")</f>
        <v/>
      </c>
      <c r="C178" s="115" t="str">
        <f ca="1">IF(Delay_emissions_table[[#This Row],[Year]]="","",C177+1)</f>
        <v/>
      </c>
      <c r="D178" s="122"/>
      <c r="E178" s="101"/>
      <c r="F178" s="101"/>
      <c r="G178" s="101"/>
      <c r="H178" s="103"/>
      <c r="I178"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8"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8"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8"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8" s="122"/>
      <c r="N178" s="101"/>
      <c r="O178" s="101"/>
      <c r="P178" s="101"/>
      <c r="Q178" s="103"/>
      <c r="R178"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8"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8"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8"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8" s="122"/>
      <c r="W178" s="101"/>
      <c r="X178" s="101"/>
      <c r="Y178" s="101"/>
      <c r="Z178" s="103"/>
      <c r="AA17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8" s="153" t="str">
        <f ca="1">IF(Delay_emissions_table[[#This Row],[Year]]="","",AE177*(1+Traffic_growth_rate))</f>
        <v/>
      </c>
      <c r="AF178" s="153">
        <f ca="1">IFERROR(((1-enviro_disc)^(Delay_emissions_table[[#This Row],[Year]]-YEAR(TODAY())))*IF(Delay_emissions_table[[#This Row],[Year]]&gt;=YEAR(TODAY()),1,0),0)</f>
        <v>0</v>
      </c>
      <c r="AG178" s="505" t="str">
        <f ca="1">IF(Delay_emissions_table[[#This Row],[Year]]="","",AG177*(1+Traffic_growth_rate))</f>
        <v/>
      </c>
      <c r="AH178" s="50"/>
    </row>
    <row r="179" spans="2:34" hidden="1" x14ac:dyDescent="0.35">
      <c r="B179" s="115" t="str">
        <f ca="1">IFERROR(IF(B178+1&lt;=YEAR(NOW())+IF('Impact Analysis'!$C$14="Indefinite",MAX('Data Entry'!$C$39:$D$39),'Impact Analysis'!$C$14),B178+1,""),"")</f>
        <v/>
      </c>
      <c r="C179" s="115" t="str">
        <f ca="1">IF(Delay_emissions_table[[#This Row],[Year]]="","",C178+1)</f>
        <v/>
      </c>
      <c r="D179" s="122"/>
      <c r="E179" s="101"/>
      <c r="F179" s="101"/>
      <c r="G179" s="101"/>
      <c r="H179" s="103"/>
      <c r="I179"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79"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79"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79"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79" s="122"/>
      <c r="N179" s="101"/>
      <c r="O179" s="101"/>
      <c r="P179" s="101"/>
      <c r="Q179" s="103"/>
      <c r="R179"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79"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79"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79"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79" s="122"/>
      <c r="W179" s="101"/>
      <c r="X179" s="101"/>
      <c r="Y179" s="101"/>
      <c r="Z179" s="103"/>
      <c r="AA17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7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7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7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79" s="153" t="str">
        <f ca="1">IF(Delay_emissions_table[[#This Row],[Year]]="","",AE178*(1+Traffic_growth_rate))</f>
        <v/>
      </c>
      <c r="AF179" s="153">
        <f ca="1">IFERROR(((1-enviro_disc)^(Delay_emissions_table[[#This Row],[Year]]-YEAR(TODAY())))*IF(Delay_emissions_table[[#This Row],[Year]]&gt;=YEAR(TODAY()),1,0),0)</f>
        <v>0</v>
      </c>
      <c r="AG179" s="505" t="str">
        <f ca="1">IF(Delay_emissions_table[[#This Row],[Year]]="","",AG178*(1+Traffic_growth_rate))</f>
        <v/>
      </c>
      <c r="AH179" s="50"/>
    </row>
    <row r="180" spans="2:34" hidden="1" x14ac:dyDescent="0.35">
      <c r="B180" s="115" t="str">
        <f ca="1">IFERROR(IF(B179+1&lt;=YEAR(NOW())+IF('Impact Analysis'!$C$14="Indefinite",MAX('Data Entry'!$C$39:$D$39),'Impact Analysis'!$C$14),B179+1,""),"")</f>
        <v/>
      </c>
      <c r="C180" s="115" t="str">
        <f ca="1">IF(Delay_emissions_table[[#This Row],[Year]]="","",C179+1)</f>
        <v/>
      </c>
      <c r="D180" s="122"/>
      <c r="E180" s="101"/>
      <c r="F180" s="101"/>
      <c r="G180" s="101"/>
      <c r="H180" s="103"/>
      <c r="I180"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0"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0"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0"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0" s="122"/>
      <c r="N180" s="101"/>
      <c r="O180" s="101"/>
      <c r="P180" s="101"/>
      <c r="Q180" s="103"/>
      <c r="R180"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0"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0"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0"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0" s="122"/>
      <c r="W180" s="101"/>
      <c r="X180" s="101"/>
      <c r="Y180" s="101"/>
      <c r="Z180" s="103"/>
      <c r="AA18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0" s="153" t="str">
        <f ca="1">IF(Delay_emissions_table[[#This Row],[Year]]="","",AE179*(1+Traffic_growth_rate))</f>
        <v/>
      </c>
      <c r="AF180" s="153">
        <f ca="1">IFERROR(((1-enviro_disc)^(Delay_emissions_table[[#This Row],[Year]]-YEAR(TODAY())))*IF(Delay_emissions_table[[#This Row],[Year]]&gt;=YEAR(TODAY()),1,0),0)</f>
        <v>0</v>
      </c>
      <c r="AG180" s="505" t="str">
        <f ca="1">IF(Delay_emissions_table[[#This Row],[Year]]="","",AG179*(1+Traffic_growth_rate))</f>
        <v/>
      </c>
      <c r="AH180" s="50"/>
    </row>
    <row r="181" spans="2:34" hidden="1" x14ac:dyDescent="0.35">
      <c r="B181" s="115" t="str">
        <f ca="1">IFERROR(IF(B180+1&lt;=YEAR(NOW())+IF('Impact Analysis'!$C$14="Indefinite",MAX('Data Entry'!$C$39:$D$39),'Impact Analysis'!$C$14),B180+1,""),"")</f>
        <v/>
      </c>
      <c r="C181" s="115" t="str">
        <f ca="1">IF(Delay_emissions_table[[#This Row],[Year]]="","",C180+1)</f>
        <v/>
      </c>
      <c r="D181" s="122"/>
      <c r="E181" s="101"/>
      <c r="F181" s="101"/>
      <c r="G181" s="101"/>
      <c r="H181" s="103"/>
      <c r="I181"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1"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1"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1"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1" s="122"/>
      <c r="N181" s="101"/>
      <c r="O181" s="101"/>
      <c r="P181" s="101"/>
      <c r="Q181" s="103"/>
      <c r="R181"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1"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1"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1"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1" s="122"/>
      <c r="W181" s="101"/>
      <c r="X181" s="101"/>
      <c r="Y181" s="101"/>
      <c r="Z181" s="103"/>
      <c r="AA18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1" s="153" t="str">
        <f ca="1">IF(Delay_emissions_table[[#This Row],[Year]]="","",AE180*(1+Traffic_growth_rate))</f>
        <v/>
      </c>
      <c r="AF181" s="153">
        <f ca="1">IFERROR(((1-enviro_disc)^(Delay_emissions_table[[#This Row],[Year]]-YEAR(TODAY())))*IF(Delay_emissions_table[[#This Row],[Year]]&gt;=YEAR(TODAY()),1,0),0)</f>
        <v>0</v>
      </c>
      <c r="AG181" s="505" t="str">
        <f ca="1">IF(Delay_emissions_table[[#This Row],[Year]]="","",AG180*(1+Traffic_growth_rate))</f>
        <v/>
      </c>
      <c r="AH181" s="50"/>
    </row>
    <row r="182" spans="2:34" hidden="1" x14ac:dyDescent="0.35">
      <c r="B182" s="115" t="str">
        <f ca="1">IFERROR(IF(B181+1&lt;=YEAR(NOW())+IF('Impact Analysis'!$C$14="Indefinite",MAX('Data Entry'!$C$39:$D$39),'Impact Analysis'!$C$14),B181+1,""),"")</f>
        <v/>
      </c>
      <c r="C182" s="115" t="str">
        <f ca="1">IF(Delay_emissions_table[[#This Row],[Year]]="","",C181+1)</f>
        <v/>
      </c>
      <c r="D182" s="122"/>
      <c r="E182" s="101"/>
      <c r="F182" s="101"/>
      <c r="G182" s="101"/>
      <c r="H182" s="103"/>
      <c r="I182"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2"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2"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2"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2" s="122"/>
      <c r="N182" s="101"/>
      <c r="O182" s="101"/>
      <c r="P182" s="101"/>
      <c r="Q182" s="103"/>
      <c r="R182"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2"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2"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2"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2" s="122"/>
      <c r="W182" s="101"/>
      <c r="X182" s="101"/>
      <c r="Y182" s="101"/>
      <c r="Z182" s="103"/>
      <c r="AA18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2" s="153" t="str">
        <f ca="1">IF(Delay_emissions_table[[#This Row],[Year]]="","",AE181*(1+Traffic_growth_rate))</f>
        <v/>
      </c>
      <c r="AF182" s="153">
        <f ca="1">IFERROR(((1-enviro_disc)^(Delay_emissions_table[[#This Row],[Year]]-YEAR(TODAY())))*IF(Delay_emissions_table[[#This Row],[Year]]&gt;=YEAR(TODAY()),1,0),0)</f>
        <v>0</v>
      </c>
      <c r="AG182" s="505" t="str">
        <f ca="1">IF(Delay_emissions_table[[#This Row],[Year]]="","",AG181*(1+Traffic_growth_rate))</f>
        <v/>
      </c>
      <c r="AH182" s="50"/>
    </row>
    <row r="183" spans="2:34" hidden="1" x14ac:dyDescent="0.35">
      <c r="B183" s="115" t="str">
        <f ca="1">IFERROR(IF(B182+1&lt;=YEAR(NOW())+IF('Impact Analysis'!$C$14="Indefinite",MAX('Data Entry'!$C$39:$D$39),'Impact Analysis'!$C$14),B182+1,""),"")</f>
        <v/>
      </c>
      <c r="C183" s="115" t="str">
        <f ca="1">IF(Delay_emissions_table[[#This Row],[Year]]="","",C182+1)</f>
        <v/>
      </c>
      <c r="D183" s="122"/>
      <c r="E183" s="101"/>
      <c r="F183" s="101"/>
      <c r="G183" s="101"/>
      <c r="H183" s="103"/>
      <c r="I183"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3"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3"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3"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3" s="122"/>
      <c r="N183" s="101"/>
      <c r="O183" s="101"/>
      <c r="P183" s="101"/>
      <c r="Q183" s="103"/>
      <c r="R183"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3"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3"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3"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3" s="122"/>
      <c r="W183" s="101"/>
      <c r="X183" s="101"/>
      <c r="Y183" s="101"/>
      <c r="Z183" s="103"/>
      <c r="AA18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3" s="153" t="str">
        <f ca="1">IF(Delay_emissions_table[[#This Row],[Year]]="","",AE182*(1+Traffic_growth_rate))</f>
        <v/>
      </c>
      <c r="AF183" s="153">
        <f ca="1">IFERROR(((1-enviro_disc)^(Delay_emissions_table[[#This Row],[Year]]-YEAR(TODAY())))*IF(Delay_emissions_table[[#This Row],[Year]]&gt;=YEAR(TODAY()),1,0),0)</f>
        <v>0</v>
      </c>
      <c r="AG183" s="505" t="str">
        <f ca="1">IF(Delay_emissions_table[[#This Row],[Year]]="","",AG182*(1+Traffic_growth_rate))</f>
        <v/>
      </c>
      <c r="AH183" s="50"/>
    </row>
    <row r="184" spans="2:34" hidden="1" x14ac:dyDescent="0.35">
      <c r="B184" s="115" t="str">
        <f ca="1">IFERROR(IF(B183+1&lt;=YEAR(NOW())+IF('Impact Analysis'!$C$14="Indefinite",MAX('Data Entry'!$C$39:$D$39),'Impact Analysis'!$C$14),B183+1,""),"")</f>
        <v/>
      </c>
      <c r="C184" s="115" t="str">
        <f ca="1">IF(Delay_emissions_table[[#This Row],[Year]]="","",C183+1)</f>
        <v/>
      </c>
      <c r="D184" s="122"/>
      <c r="E184" s="101"/>
      <c r="F184" s="101"/>
      <c r="G184" s="101"/>
      <c r="H184" s="103"/>
      <c r="I18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4"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4" s="122"/>
      <c r="N184" s="101"/>
      <c r="O184" s="101"/>
      <c r="P184" s="101"/>
      <c r="Q184" s="103"/>
      <c r="R18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4"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4" s="122"/>
      <c r="W184" s="101"/>
      <c r="X184" s="101"/>
      <c r="Y184" s="101"/>
      <c r="Z184" s="103"/>
      <c r="AA18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4" s="153" t="str">
        <f ca="1">IF(Delay_emissions_table[[#This Row],[Year]]="","",AE183*(1+Traffic_growth_rate))</f>
        <v/>
      </c>
      <c r="AF184" s="153">
        <f ca="1">IFERROR(((1-enviro_disc)^(Delay_emissions_table[[#This Row],[Year]]-YEAR(TODAY())))*IF(Delay_emissions_table[[#This Row],[Year]]&gt;=YEAR(TODAY()),1,0),0)</f>
        <v>0</v>
      </c>
      <c r="AG184" s="505" t="str">
        <f ca="1">IF(Delay_emissions_table[[#This Row],[Year]]="","",AG183*(1+Traffic_growth_rate))</f>
        <v/>
      </c>
      <c r="AH184" s="50"/>
    </row>
    <row r="185" spans="2:34" hidden="1" x14ac:dyDescent="0.35">
      <c r="B185" s="115" t="str">
        <f ca="1">IFERROR(IF(B184+1&lt;=YEAR(NOW())+IF('Impact Analysis'!$C$14="Indefinite",MAX('Data Entry'!$C$39:$D$39),'Impact Analysis'!$C$14),B184+1,""),"")</f>
        <v/>
      </c>
      <c r="C185" s="115" t="str">
        <f ca="1">IF(Delay_emissions_table[[#This Row],[Year]]="","",C184+1)</f>
        <v/>
      </c>
      <c r="D185" s="122"/>
      <c r="E185" s="101"/>
      <c r="F185" s="101"/>
      <c r="G185" s="101"/>
      <c r="H185" s="103"/>
      <c r="I185"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5"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5"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5"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5" s="122"/>
      <c r="N185" s="101"/>
      <c r="O185" s="101"/>
      <c r="P185" s="101"/>
      <c r="Q185" s="103"/>
      <c r="R185"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5"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5"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5"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5" s="122"/>
      <c r="W185" s="101"/>
      <c r="X185" s="101"/>
      <c r="Y185" s="101"/>
      <c r="Z185" s="103"/>
      <c r="AA185"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5"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5"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5"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5" s="153" t="str">
        <f ca="1">IF(Delay_emissions_table[[#This Row],[Year]]="","",AE184*(1+Traffic_growth_rate))</f>
        <v/>
      </c>
      <c r="AF185" s="153">
        <f ca="1">IFERROR(((1-enviro_disc)^(Delay_emissions_table[[#This Row],[Year]]-YEAR(TODAY())))*IF(Delay_emissions_table[[#This Row],[Year]]&gt;=YEAR(TODAY()),1,0),0)</f>
        <v>0</v>
      </c>
      <c r="AG185" s="505" t="str">
        <f ca="1">IF(Delay_emissions_table[[#This Row],[Year]]="","",AG184*(1+Traffic_growth_rate))</f>
        <v/>
      </c>
      <c r="AH185" s="50"/>
    </row>
    <row r="186" spans="2:34" hidden="1" x14ac:dyDescent="0.35">
      <c r="B186" s="115" t="str">
        <f ca="1">IFERROR(IF(B185+1&lt;=YEAR(NOW())+IF('Impact Analysis'!$C$14="Indefinite",MAX('Data Entry'!$C$39:$D$39),'Impact Analysis'!$C$14),B185+1,""),"")</f>
        <v/>
      </c>
      <c r="C186" s="115" t="str">
        <f ca="1">IF(Delay_emissions_table[[#This Row],[Year]]="","",C185+1)</f>
        <v/>
      </c>
      <c r="D186" s="122"/>
      <c r="E186" s="101"/>
      <c r="F186" s="101"/>
      <c r="G186" s="101"/>
      <c r="H186" s="103"/>
      <c r="I186"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6"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6"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6"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6" s="122"/>
      <c r="N186" s="101"/>
      <c r="O186" s="101"/>
      <c r="P186" s="101"/>
      <c r="Q186" s="103"/>
      <c r="R186"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6"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6"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6"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6" s="122"/>
      <c r="W186" s="101"/>
      <c r="X186" s="101"/>
      <c r="Y186" s="101"/>
      <c r="Z186" s="103"/>
      <c r="AA186"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6"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6"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6"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6" s="153" t="str">
        <f ca="1">IF(Delay_emissions_table[[#This Row],[Year]]="","",AE185*(1+Traffic_growth_rate))</f>
        <v/>
      </c>
      <c r="AF186" s="153">
        <f ca="1">IFERROR(((1-enviro_disc)^(Delay_emissions_table[[#This Row],[Year]]-YEAR(TODAY())))*IF(Delay_emissions_table[[#This Row],[Year]]&gt;=YEAR(TODAY()),1,0),0)</f>
        <v>0</v>
      </c>
      <c r="AG186" s="505" t="str">
        <f ca="1">IF(Delay_emissions_table[[#This Row],[Year]]="","",AG185*(1+Traffic_growth_rate))</f>
        <v/>
      </c>
      <c r="AH186" s="50"/>
    </row>
    <row r="187" spans="2:34" hidden="1" x14ac:dyDescent="0.35">
      <c r="B187" s="115" t="str">
        <f ca="1">IFERROR(IF(B186+1&lt;=YEAR(NOW())+IF('Impact Analysis'!$C$14="Indefinite",MAX('Data Entry'!$C$39:$D$39),'Impact Analysis'!$C$14),B186+1,""),"")</f>
        <v/>
      </c>
      <c r="C187" s="115" t="str">
        <f ca="1">IF(Delay_emissions_table[[#This Row],[Year]]="","",C186+1)</f>
        <v/>
      </c>
      <c r="D187" s="122"/>
      <c r="E187" s="101"/>
      <c r="F187" s="101"/>
      <c r="G187" s="101"/>
      <c r="H187" s="103"/>
      <c r="I187"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7"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7"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7"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7" s="122"/>
      <c r="N187" s="101"/>
      <c r="O187" s="101"/>
      <c r="P187" s="101"/>
      <c r="Q187" s="103"/>
      <c r="R187"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7"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7"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7"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7" s="122"/>
      <c r="W187" s="101"/>
      <c r="X187" s="101"/>
      <c r="Y187" s="101"/>
      <c r="Z187" s="103"/>
      <c r="AA187"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7"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7"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7"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7" s="153" t="str">
        <f ca="1">IF(Delay_emissions_table[[#This Row],[Year]]="","",AE186*(1+Traffic_growth_rate))</f>
        <v/>
      </c>
      <c r="AF187" s="153">
        <f ca="1">IFERROR(((1-enviro_disc)^(Delay_emissions_table[[#This Row],[Year]]-YEAR(TODAY())))*IF(Delay_emissions_table[[#This Row],[Year]]&gt;=YEAR(TODAY()),1,0),0)</f>
        <v>0</v>
      </c>
      <c r="AG187" s="505" t="str">
        <f ca="1">IF(Delay_emissions_table[[#This Row],[Year]]="","",AG186*(1+Traffic_growth_rate))</f>
        <v/>
      </c>
      <c r="AH187" s="50"/>
    </row>
    <row r="188" spans="2:34" hidden="1" x14ac:dyDescent="0.35">
      <c r="B188" s="115" t="str">
        <f ca="1">IFERROR(IF(B187+1&lt;=YEAR(NOW())+IF('Impact Analysis'!$C$14="Indefinite",MAX('Data Entry'!$C$39:$D$39),'Impact Analysis'!$C$14),B187+1,""),"")</f>
        <v/>
      </c>
      <c r="C188" s="115" t="str">
        <f ca="1">IF(Delay_emissions_table[[#This Row],[Year]]="","",C187+1)</f>
        <v/>
      </c>
      <c r="D188" s="122"/>
      <c r="E188" s="101"/>
      <c r="F188" s="101"/>
      <c r="G188" s="101"/>
      <c r="H188" s="103"/>
      <c r="I188"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8"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8"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8"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8" s="122"/>
      <c r="N188" s="101"/>
      <c r="O188" s="101"/>
      <c r="P188" s="101"/>
      <c r="Q188" s="103"/>
      <c r="R188"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8"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8"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8"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8" s="122"/>
      <c r="W188" s="101"/>
      <c r="X188" s="101"/>
      <c r="Y188" s="101"/>
      <c r="Z188" s="103"/>
      <c r="AA188"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8"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8"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8"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8" s="153" t="str">
        <f ca="1">IF(Delay_emissions_table[[#This Row],[Year]]="","",AE187*(1+Traffic_growth_rate))</f>
        <v/>
      </c>
      <c r="AF188" s="153">
        <f ca="1">IFERROR(((1-enviro_disc)^(Delay_emissions_table[[#This Row],[Year]]-YEAR(TODAY())))*IF(Delay_emissions_table[[#This Row],[Year]]&gt;=YEAR(TODAY()),1,0),0)</f>
        <v>0</v>
      </c>
      <c r="AG188" s="505" t="str">
        <f ca="1">IF(Delay_emissions_table[[#This Row],[Year]]="","",AG187*(1+Traffic_growth_rate))</f>
        <v/>
      </c>
      <c r="AH188" s="50"/>
    </row>
    <row r="189" spans="2:34" hidden="1" x14ac:dyDescent="0.35">
      <c r="B189" s="115" t="str">
        <f ca="1">IFERROR(IF(B188+1&lt;=YEAR(NOW())+IF('Impact Analysis'!$C$14="Indefinite",MAX('Data Entry'!$C$39:$D$39),'Impact Analysis'!$C$14),B188+1,""),"")</f>
        <v/>
      </c>
      <c r="C189" s="115" t="str">
        <f ca="1">IF(Delay_emissions_table[[#This Row],[Year]]="","",C188+1)</f>
        <v/>
      </c>
      <c r="D189" s="122"/>
      <c r="E189" s="101"/>
      <c r="F189" s="101"/>
      <c r="G189" s="101"/>
      <c r="H189" s="103"/>
      <c r="I189"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89"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89"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89"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89" s="122"/>
      <c r="N189" s="101"/>
      <c r="O189" s="101"/>
      <c r="P189" s="101"/>
      <c r="Q189" s="103"/>
      <c r="R189"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89"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89"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89"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89" s="122"/>
      <c r="W189" s="101"/>
      <c r="X189" s="101"/>
      <c r="Y189" s="101"/>
      <c r="Z189" s="103"/>
      <c r="AA189"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89"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89"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89"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89" s="153" t="str">
        <f ca="1">IF(Delay_emissions_table[[#This Row],[Year]]="","",AE188*(1+Traffic_growth_rate))</f>
        <v/>
      </c>
      <c r="AF189" s="153">
        <f ca="1">IFERROR(((1-enviro_disc)^(Delay_emissions_table[[#This Row],[Year]]-YEAR(TODAY())))*IF(Delay_emissions_table[[#This Row],[Year]]&gt;=YEAR(TODAY()),1,0),0)</f>
        <v>0</v>
      </c>
      <c r="AG189" s="505" t="str">
        <f ca="1">IF(Delay_emissions_table[[#This Row],[Year]]="","",AG188*(1+Traffic_growth_rate))</f>
        <v/>
      </c>
      <c r="AH189" s="50"/>
    </row>
    <row r="190" spans="2:34" hidden="1" x14ac:dyDescent="0.35">
      <c r="B190" s="115" t="str">
        <f ca="1">IFERROR(IF(B189+1&lt;=YEAR(NOW())+IF('Impact Analysis'!$C$14="Indefinite",MAX('Data Entry'!$C$39:$D$39),'Impact Analysis'!$C$14),B189+1,""),"")</f>
        <v/>
      </c>
      <c r="C190" s="115" t="str">
        <f ca="1">IF(Delay_emissions_table[[#This Row],[Year]]="","",C189+1)</f>
        <v/>
      </c>
      <c r="D190" s="122"/>
      <c r="E190" s="101"/>
      <c r="F190" s="101"/>
      <c r="G190" s="101"/>
      <c r="H190" s="103"/>
      <c r="I190"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90"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90"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90"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90" s="122"/>
      <c r="N190" s="101"/>
      <c r="O190" s="101"/>
      <c r="P190" s="101"/>
      <c r="Q190" s="103"/>
      <c r="R190"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90"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90"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90"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90" s="122"/>
      <c r="W190" s="101"/>
      <c r="X190" s="101"/>
      <c r="Y190" s="101"/>
      <c r="Z190" s="103"/>
      <c r="AA190"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90"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90"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90"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90" s="153" t="str">
        <f ca="1">IF(Delay_emissions_table[[#This Row],[Year]]="","",AE189*(1+Traffic_growth_rate))</f>
        <v/>
      </c>
      <c r="AF190" s="153">
        <f ca="1">IFERROR(((1-enviro_disc)^(Delay_emissions_table[[#This Row],[Year]]-YEAR(TODAY())))*IF(Delay_emissions_table[[#This Row],[Year]]&gt;=YEAR(TODAY()),1,0),0)</f>
        <v>0</v>
      </c>
      <c r="AG190" s="505" t="str">
        <f ca="1">IF(Delay_emissions_table[[#This Row],[Year]]="","",AG189*(1+Traffic_growth_rate))</f>
        <v/>
      </c>
      <c r="AH190" s="50"/>
    </row>
    <row r="191" spans="2:34" hidden="1" x14ac:dyDescent="0.35">
      <c r="B191" s="115" t="str">
        <f ca="1">IFERROR(IF(B190+1&lt;=YEAR(NOW())+IF('Impact Analysis'!$C$14="Indefinite",MAX('Data Entry'!$C$39:$D$39),'Impact Analysis'!$C$14),B190+1,""),"")</f>
        <v/>
      </c>
      <c r="C191" s="115" t="str">
        <f ca="1">IF(Delay_emissions_table[[#This Row],[Year]]="","",C190+1)</f>
        <v/>
      </c>
      <c r="D191" s="122"/>
      <c r="E191" s="101"/>
      <c r="F191" s="101"/>
      <c r="G191" s="101"/>
      <c r="H191" s="103"/>
      <c r="I191"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91"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91"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91"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91" s="122"/>
      <c r="N191" s="101"/>
      <c r="O191" s="101"/>
      <c r="P191" s="101"/>
      <c r="Q191" s="103"/>
      <c r="R191"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91"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91"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91"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91" s="122"/>
      <c r="W191" s="101"/>
      <c r="X191" s="101"/>
      <c r="Y191" s="101"/>
      <c r="Z191" s="103"/>
      <c r="AA191"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91"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91"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91"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91" s="153" t="str">
        <f ca="1">IF(Delay_emissions_table[[#This Row],[Year]]="","",AE190*(1+Traffic_growth_rate))</f>
        <v/>
      </c>
      <c r="AF191" s="153">
        <f ca="1">IFERROR(((1-enviro_disc)^(Delay_emissions_table[[#This Row],[Year]]-YEAR(TODAY())))*IF(Delay_emissions_table[[#This Row],[Year]]&gt;=YEAR(TODAY()),1,0),0)</f>
        <v>0</v>
      </c>
      <c r="AG191" s="505" t="str">
        <f ca="1">IF(Delay_emissions_table[[#This Row],[Year]]="","",AG190*(1+Traffic_growth_rate))</f>
        <v/>
      </c>
      <c r="AH191" s="50"/>
    </row>
    <row r="192" spans="2:34" hidden="1" x14ac:dyDescent="0.35">
      <c r="B192" s="115" t="str">
        <f ca="1">IFERROR(IF(B191+1&lt;=YEAR(NOW())+IF('Impact Analysis'!$C$14="Indefinite",MAX('Data Entry'!$C$39:$D$39),'Impact Analysis'!$C$14),B191+1,""),"")</f>
        <v/>
      </c>
      <c r="C192" s="115" t="str">
        <f ca="1">IF(Delay_emissions_table[[#This Row],[Year]]="","",C191+1)</f>
        <v/>
      </c>
      <c r="D192" s="122"/>
      <c r="E192" s="101"/>
      <c r="F192" s="101"/>
      <c r="G192" s="101"/>
      <c r="H192" s="103"/>
      <c r="I192"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92"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92"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92"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92" s="122"/>
      <c r="N192" s="101"/>
      <c r="O192" s="101"/>
      <c r="P192" s="101"/>
      <c r="Q192" s="103"/>
      <c r="R192"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92"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92"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92"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92" s="122"/>
      <c r="W192" s="101"/>
      <c r="X192" s="101"/>
      <c r="Y192" s="101"/>
      <c r="Z192" s="103"/>
      <c r="AA192"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92"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92"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92"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92" s="153" t="str">
        <f ca="1">IF(Delay_emissions_table[[#This Row],[Year]]="","",AE191*(1+Traffic_growth_rate))</f>
        <v/>
      </c>
      <c r="AF192" s="153">
        <f ca="1">IFERROR(((1-enviro_disc)^(Delay_emissions_table[[#This Row],[Year]]-YEAR(TODAY())))*IF(Delay_emissions_table[[#This Row],[Year]]&gt;=YEAR(TODAY()),1,0),0)</f>
        <v>0</v>
      </c>
      <c r="AG192" s="505" t="str">
        <f ca="1">IF(Delay_emissions_table[[#This Row],[Year]]="","",AG191*(1+Traffic_growth_rate))</f>
        <v/>
      </c>
      <c r="AH192" s="50"/>
    </row>
    <row r="193" spans="2:34" hidden="1" x14ac:dyDescent="0.35">
      <c r="B193" s="115" t="str">
        <f ca="1">IFERROR(IF(B192+1&lt;=YEAR(NOW())+IF('Impact Analysis'!$C$14="Indefinite",MAX('Data Entry'!$C$39:$D$39),'Impact Analysis'!$C$14),B192+1,""),"")</f>
        <v/>
      </c>
      <c r="C193" s="115" t="str">
        <f ca="1">IF(Delay_emissions_table[[#This Row],[Year]]="","",C192+1)</f>
        <v/>
      </c>
      <c r="D193" s="122"/>
      <c r="E193" s="101"/>
      <c r="F193" s="101"/>
      <c r="G193" s="101"/>
      <c r="H193" s="103"/>
      <c r="I193"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93"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93"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93"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93" s="122"/>
      <c r="N193" s="101"/>
      <c r="O193" s="101"/>
      <c r="P193" s="101"/>
      <c r="Q193" s="103"/>
      <c r="R193"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93"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93"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93"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93" s="122"/>
      <c r="W193" s="101"/>
      <c r="X193" s="101"/>
      <c r="Y193" s="101"/>
      <c r="Z193" s="103"/>
      <c r="AA193"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93"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93"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93"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93" s="153" t="str">
        <f ca="1">IF(Delay_emissions_table[[#This Row],[Year]]="","",AE192*(1+Traffic_growth_rate))</f>
        <v/>
      </c>
      <c r="AF193" s="153">
        <f ca="1">IFERROR(((1-enviro_disc)^(Delay_emissions_table[[#This Row],[Year]]-YEAR(TODAY())))*IF(Delay_emissions_table[[#This Row],[Year]]&gt;=YEAR(TODAY()),1,0),0)</f>
        <v>0</v>
      </c>
      <c r="AG193" s="505" t="str">
        <f ca="1">IF(Delay_emissions_table[[#This Row],[Year]]="","",AG192*(1+Traffic_growth_rate))</f>
        <v/>
      </c>
      <c r="AH193" s="50"/>
    </row>
    <row r="194" spans="2:34" hidden="1" x14ac:dyDescent="0.35">
      <c r="B194" s="115" t="str">
        <f ca="1">IFERROR(IF(B193+1&lt;=YEAR(NOW())+IF('Impact Analysis'!$C$14="Indefinite",MAX('Data Entry'!$C$39:$D$39),'Impact Analysis'!$C$14),B193+1,""),"")</f>
        <v/>
      </c>
      <c r="C194" s="115" t="str">
        <f ca="1">IF(Delay_emissions_table[[#This Row],[Year]]="","",C193+1)</f>
        <v/>
      </c>
      <c r="D194" s="122"/>
      <c r="E194" s="101"/>
      <c r="F194" s="101"/>
      <c r="G194" s="101"/>
      <c r="H194" s="103"/>
      <c r="I19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Scenario]]/60)/Charging_eff*(1-Rate_eff_change)^Delay_emissions_table[[#This Row],[Year number]],"")</f>
        <v/>
      </c>
      <c r="J19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K19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L194" s="153"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Primary Scenario]]*(Delay_emissions_table[[#This Row],[Average delay per vehicle '[mins'] - Primary Scenario]]/60)*(1-Rate_eff_change)^Delay_emissions_table[[#This Row],[Year number]],"")</f>
        <v/>
      </c>
      <c r="M194" s="122"/>
      <c r="N194" s="101"/>
      <c r="O194" s="101"/>
      <c r="P194" s="101"/>
      <c r="Q194" s="103"/>
      <c r="R194" s="152"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Scenario]]/60)/Charging_eff*(1-Rate_eff_change)^Delay_emissions_table[[#This Row],[Year number]],"")</f>
        <v/>
      </c>
      <c r="S194" s="153"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T194" s="153"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U194" s="154"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Secondary Scenario]]*(Delay_emissions_table[[#This Row],[Average delay per vehicle '[mins'] - Secondary Scenario]]/60)*(1-Rate_eff_change)^Delay_emissions_table[[#This Row],[Year number]],"")</f>
        <v/>
      </c>
      <c r="V194" s="122"/>
      <c r="W194" s="101"/>
      <c r="X194" s="101"/>
      <c r="Y194" s="101"/>
      <c r="Z194" s="103"/>
      <c r="AA194" s="497" t="str">
        <f ca="1">IF(Delay_emissions_table[[#This Row],[Year]]&lt;&gt;"",SUMPRODUCT(Idiling_fuel_consumption,{0;0;1;0;0;1;0},OFFSET('Fleet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Scenario]]/60)/Charging_eff*(1-Rate_eff_change)^Delay_emissions_table[[#This Row],[Year number]],"")</f>
        <v/>
      </c>
      <c r="AB194" s="498" t="str">
        <f ca="1">IF(Delay_emissions_table[[#This Row],[Year]]&lt;&gt;"",SUMPRODUCT(Idiling_fuel_consumption,{0;1;0;0;1;0;0},OFFSET('Fleet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C194" s="498" t="str">
        <f ca="1">IF(Delay_emissions_table[[#This Row],[Year]]&lt;&gt;"",SUMPRODUCT(Idiling_fuel_consumption,{1;0;0;1;0;0;0},OFFSET('Fleet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D194" s="502" t="str">
        <f ca="1">IF(Delay_emissions_table[[#This Row],[Year]]&lt;&gt;"",SUMPRODUCT(Idiling_fuel_consumption,{0;0;0;0;0;0;1},OFFSET('Fleet Projection'!$AT$27:$AT$33,0,MATCH(Delay_emissions_table[[#This Row],[Year]],Delay_emissions_table[Year],0)-1))*Delay_emissions_table[[#This Row],[Traffic flow '[vehs/hr']]]*Delay_emissions_table[[#This Row],[Total length of time to implement the maintenance '[hrs'] - Tertiary Scenario]]*(Delay_emissions_table[[#This Row],[Average delay per vehicle '[mins'] - Tertiary Scenario]]/60)*(1-Rate_eff_change)^Delay_emissions_table[[#This Row],[Year number]],"")</f>
        <v/>
      </c>
      <c r="AE194" s="153" t="str">
        <f ca="1">IF(Delay_emissions_table[[#This Row],[Year]]="","",AE193*(1+Traffic_growth_rate))</f>
        <v/>
      </c>
      <c r="AF194" s="153">
        <f ca="1">IFERROR(((1-enviro_disc)^(Delay_emissions_table[[#This Row],[Year]]-YEAR(TODAY())))*IF(Delay_emissions_table[[#This Row],[Year]]&gt;=YEAR(TODAY()),1,0),0)</f>
        <v>0</v>
      </c>
      <c r="AG194" s="505" t="str">
        <f ca="1">IF(Delay_emissions_table[[#This Row],[Year]]="","",AG193*(1+Traffic_growth_rate))</f>
        <v/>
      </c>
      <c r="AH194" s="50"/>
    </row>
    <row r="195" spans="2:34" x14ac:dyDescent="0.35">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row>
    <row r="196" spans="2:34" x14ac:dyDescent="0.35">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row>
    <row r="197" spans="2:34" x14ac:dyDescent="0.35">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row>
    <row r="198" spans="2:34" x14ac:dyDescent="0.35"/>
  </sheetData>
  <mergeCells count="35">
    <mergeCell ref="C11:F11"/>
    <mergeCell ref="C17:F17"/>
    <mergeCell ref="H49:H50"/>
    <mergeCell ref="H51:H52"/>
    <mergeCell ref="J51:J52"/>
    <mergeCell ref="J49:J50"/>
    <mergeCell ref="J33:J34"/>
    <mergeCell ref="J35:J36"/>
    <mergeCell ref="J37:J38"/>
    <mergeCell ref="J39:J40"/>
    <mergeCell ref="J41:J42"/>
    <mergeCell ref="J43:J44"/>
    <mergeCell ref="H33:H34"/>
    <mergeCell ref="H35:H36"/>
    <mergeCell ref="H37:H38"/>
    <mergeCell ref="H39:H40"/>
    <mergeCell ref="H41:H42"/>
    <mergeCell ref="H43:H44"/>
    <mergeCell ref="K53:K54"/>
    <mergeCell ref="J47:J48"/>
    <mergeCell ref="J53:J54"/>
    <mergeCell ref="K43:K44"/>
    <mergeCell ref="K45:K46"/>
    <mergeCell ref="K47:K48"/>
    <mergeCell ref="K49:K50"/>
    <mergeCell ref="K51:K52"/>
    <mergeCell ref="H45:H46"/>
    <mergeCell ref="H47:H48"/>
    <mergeCell ref="H53:H54"/>
    <mergeCell ref="J45:J46"/>
    <mergeCell ref="K33:K34"/>
    <mergeCell ref="K35:K36"/>
    <mergeCell ref="K37:K38"/>
    <mergeCell ref="K39:K40"/>
    <mergeCell ref="K41:K42"/>
  </mergeCells>
  <phoneticPr fontId="3" type="noConversion"/>
  <conditionalFormatting sqref="D27">
    <cfRule type="expression" dxfId="297" priority="4">
      <formula>#REF!="Entire Project"</formula>
    </cfRule>
    <cfRule type="containsBlanks" dxfId="296" priority="5">
      <formula>LEN(TRIM(D27))=0</formula>
    </cfRule>
  </conditionalFormatting>
  <conditionalFormatting sqref="E94:F194">
    <cfRule type="expression" dxfId="295" priority="80">
      <formula>AND(E94="",I94&gt;0,I94&lt;&gt;"")</formula>
    </cfRule>
  </conditionalFormatting>
  <conditionalFormatting sqref="H33">
    <cfRule type="expression" dxfId="294" priority="58">
      <formula>#REF!="Entire Project"</formula>
    </cfRule>
    <cfRule type="containsBlanks" dxfId="293" priority="59">
      <formula>LEN(TRIM(H33))=0</formula>
    </cfRule>
  </conditionalFormatting>
  <conditionalFormatting sqref="H35">
    <cfRule type="expression" dxfId="292" priority="56">
      <formula>#REF!="Entire Project"</formula>
    </cfRule>
    <cfRule type="containsBlanks" dxfId="291" priority="57">
      <formula>LEN(TRIM(H35))=0</formula>
    </cfRule>
  </conditionalFormatting>
  <conditionalFormatting sqref="H37">
    <cfRule type="containsBlanks" dxfId="290" priority="55">
      <formula>LEN(TRIM(H37))=0</formula>
    </cfRule>
    <cfRule type="expression" dxfId="289" priority="54">
      <formula>#REF!="Entire Project"</formula>
    </cfRule>
  </conditionalFormatting>
  <conditionalFormatting sqref="H39">
    <cfRule type="containsBlanks" dxfId="288" priority="53">
      <formula>LEN(TRIM(H39))=0</formula>
    </cfRule>
    <cfRule type="expression" dxfId="287" priority="52">
      <formula>#REF!="Entire Project"</formula>
    </cfRule>
  </conditionalFormatting>
  <conditionalFormatting sqref="H41">
    <cfRule type="containsBlanks" dxfId="286" priority="51">
      <formula>LEN(TRIM(H41))=0</formula>
    </cfRule>
    <cfRule type="expression" dxfId="285" priority="50">
      <formula>#REF!="Entire Project"</formula>
    </cfRule>
    <cfRule type="containsBlanks" dxfId="284" priority="49">
      <formula>LEN(TRIM(H41))=0</formula>
    </cfRule>
    <cfRule type="expression" dxfId="283" priority="48">
      <formula>#REF!="Entire Project"</formula>
    </cfRule>
  </conditionalFormatting>
  <conditionalFormatting sqref="H43">
    <cfRule type="expression" dxfId="282" priority="44">
      <formula>#REF!="Entire Project"</formula>
    </cfRule>
    <cfRule type="containsBlanks" dxfId="281" priority="47">
      <formula>LEN(TRIM(H43))=0</formula>
    </cfRule>
    <cfRule type="expression" dxfId="280" priority="46">
      <formula>#REF!="Entire Project"</formula>
    </cfRule>
    <cfRule type="containsBlanks" dxfId="279" priority="45">
      <formula>LEN(TRIM(H43))=0</formula>
    </cfRule>
  </conditionalFormatting>
  <conditionalFormatting sqref="H45">
    <cfRule type="expression" dxfId="278" priority="40">
      <formula>#REF!="Entire Project"</formula>
    </cfRule>
    <cfRule type="containsBlanks" dxfId="277" priority="41">
      <formula>LEN(TRIM(H45))=0</formula>
    </cfRule>
    <cfRule type="containsBlanks" dxfId="276" priority="43">
      <formula>LEN(TRIM(H45))=0</formula>
    </cfRule>
    <cfRule type="expression" dxfId="275" priority="42">
      <formula>#REF!="Entire Project"</formula>
    </cfRule>
  </conditionalFormatting>
  <conditionalFormatting sqref="J41 J43 J45 J47 J53">
    <cfRule type="containsBlanks" dxfId="274" priority="23">
      <formula>LEN(TRIM(J41))=0</formula>
    </cfRule>
    <cfRule type="expression" dxfId="273" priority="22">
      <formula>#REF!="Entire Project"</formula>
    </cfRule>
  </conditionalFormatting>
  <conditionalFormatting sqref="J33:K33">
    <cfRule type="containsBlanks" dxfId="272" priority="33">
      <formula>LEN(TRIM(J33))=0</formula>
    </cfRule>
    <cfRule type="expression" dxfId="271" priority="32">
      <formula>#REF!="Entire Project"</formula>
    </cfRule>
  </conditionalFormatting>
  <conditionalFormatting sqref="J35:K35">
    <cfRule type="containsBlanks" dxfId="270" priority="31">
      <formula>LEN(TRIM(J35))=0</formula>
    </cfRule>
    <cfRule type="expression" dxfId="269" priority="30">
      <formula>#REF!="Entire Project"</formula>
    </cfRule>
  </conditionalFormatting>
  <conditionalFormatting sqref="J37:K37">
    <cfRule type="containsBlanks" dxfId="268" priority="29">
      <formula>LEN(TRIM(J37))=0</formula>
    </cfRule>
    <cfRule type="expression" dxfId="267" priority="28">
      <formula>#REF!="Entire Project"</formula>
    </cfRule>
  </conditionalFormatting>
  <conditionalFormatting sqref="J39:K39">
    <cfRule type="containsBlanks" dxfId="266" priority="27">
      <formula>LEN(TRIM(J39))=0</formula>
    </cfRule>
    <cfRule type="expression" dxfId="265" priority="26">
      <formula>#REF!="Entire Project"</formula>
    </cfRule>
  </conditionalFormatting>
  <conditionalFormatting sqref="J41:K41 J43:K43 J45:K45 J47:K47 J53:K53">
    <cfRule type="containsBlanks" dxfId="264" priority="25">
      <formula>LEN(TRIM(J41))=0</formula>
    </cfRule>
    <cfRule type="expression" dxfId="263" priority="24">
      <formula>#REF!="Entire Project"</formula>
    </cfRule>
  </conditionalFormatting>
  <conditionalFormatting sqref="K49 K51 D54:G54">
    <cfRule type="expression" dxfId="262" priority="62">
      <formula>#REF!="Entire Project"</formula>
    </cfRule>
  </conditionalFormatting>
  <conditionalFormatting sqref="N97:N98 N99:O194">
    <cfRule type="expression" dxfId="261" priority="85">
      <formula>AND(N97="",R97&gt;0,R97&lt;&gt;"")</formula>
    </cfRule>
  </conditionalFormatting>
  <conditionalFormatting sqref="N94:O96 O97:O98">
    <cfRule type="expression" dxfId="260" priority="3">
      <formula>AND(N94="",R94&gt;0,R94&lt;&gt;"")</formula>
    </cfRule>
  </conditionalFormatting>
  <conditionalFormatting sqref="W94:X194">
    <cfRule type="expression" dxfId="259" priority="2">
      <formula>AND(W94="",AA94&gt;0,AA94&lt;&gt;"")</formula>
    </cfRule>
  </conditionalFormatting>
  <dataValidations count="11">
    <dataValidation type="list" allowBlank="1" showInputMessage="1" showErrorMessage="1" sqref="N94:N194 W94:W194 E94:E194" xr:uid="{AFA54D70-44A5-466A-89FE-212461B51D3D}">
      <formula1>"Life Extension,Replacement"</formula1>
    </dataValidation>
    <dataValidation type="list" allowBlank="1" showInputMessage="1" showErrorMessage="1" sqref="K33 K35 K37 K39 K41 K43 K45 K47 K49 K51 K53" xr:uid="{1F680BEF-B39D-45A8-B42D-4ADC90EFE614}">
      <formula1>"Truck (7.5-16t),Truck (16-32t),Truck (32+t)"</formula1>
    </dataValidation>
    <dataValidation type="list" allowBlank="1" showInputMessage="1" showErrorMessage="1" sqref="D154:D194 M154:M194 V154:V194" xr:uid="{B9B51723-454F-4CA5-BE98-CE071C2F3C8B}">
      <formula1>$C$33:$C$53</formula1>
    </dataValidation>
    <dataValidation type="list" allowBlank="1" showInputMessage="1" showErrorMessage="1" sqref="V94:V153 M94:M153 D94:D153" xr:uid="{4963CB59-2E05-4808-8E09-D3EA52D0BBCF}">
      <formula1>"Crack Sealing,Fill Cracks (Potholes),Surface Defect Repair,Shoulder Maintenance,Patch Stabilisation,Mill and Fill,Rip and Remake,Dig Out,Lay over"</formula1>
    </dataValidation>
    <dataValidation type="list" allowBlank="1" showInputMessage="1" showErrorMessage="1" sqref="D35:G35" xr:uid="{BBE3C91E-9AD7-47A9-8245-4947572F5C6A}">
      <formula1>INDIRECT("FCList[FC]")</formula1>
    </dataValidation>
    <dataValidation type="list" allowBlank="1" showInputMessage="1" showErrorMessage="1" sqref="E37 E39 E41" xr:uid="{F8419ABB-503E-448F-86DD-C669501913AC}">
      <formula1>INDIRECT("SDR_SM_Mat2List[SDR_SM_Mat2]")</formula1>
    </dataValidation>
    <dataValidation type="list" allowBlank="1" showInputMessage="1" showErrorMessage="1" sqref="F37 F39" xr:uid="{1E8F020F-93D8-4042-A3E7-8F859ADBCC64}">
      <formula1>INDIRECT("SDR_SM_Mat3List[SDR_SM_Mat3]")</formula1>
    </dataValidation>
    <dataValidation type="list" allowBlank="1" showInputMessage="1" showErrorMessage="1" sqref="G39 G37 F41:G41 F43:G43 F45:G45" xr:uid="{F03B4C91-DB33-4DFC-B3F0-1179EEC550BF}">
      <formula1>INDIRECT("M_TD_ModifiersList[M&amp;TD_Modifiers]")</formula1>
    </dataValidation>
    <dataValidation type="list" allowBlank="1" showInputMessage="1" showErrorMessage="1" sqref="D33:G33" xr:uid="{B27796AD-26AE-4C03-BFE0-D3E6109EAAF2}">
      <formula1>INDIRECT("CrackSealingList[CrackSealing]")</formula1>
    </dataValidation>
    <dataValidation type="list" allowBlank="1" showInputMessage="1" showErrorMessage="1" sqref="D51:G51 D37 D39 D41 D43 D45 D53:G53 D47:G47 D49:G49" xr:uid="{24316D83-FCB9-4940-9C87-8FB00504F7DC}">
      <formula1>INDIRECT("TypicalMaintainenceMaterialsList[TypicalMaintainenceMaterials]")</formula1>
    </dataValidation>
    <dataValidation type="list" allowBlank="1" showInputMessage="1" showErrorMessage="1" sqref="E43 E45" xr:uid="{C777C89F-9060-40C1-BDA2-CF208171BD9D}">
      <formula1>INDIRECT("MF_RR_LO_Mat2List[MF_RR_LO_Mat2]")</formula1>
    </dataValidation>
  </dataValidations>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EFBF9-2F27-41F2-BBB8-AA0613F6624C}">
  <sheetPr codeName="Sheet10">
    <tabColor rgb="FF023A5C"/>
  </sheetPr>
  <dimension ref="A1:N204"/>
  <sheetViews>
    <sheetView zoomScale="90" zoomScaleNormal="90" workbookViewId="0">
      <selection activeCell="D12" sqref="D12"/>
    </sheetView>
  </sheetViews>
  <sheetFormatPr defaultColWidth="8.7265625" defaultRowHeight="14.5" zeroHeight="1" outlineLevelRow="3" x14ac:dyDescent="0.35"/>
  <cols>
    <col min="1" max="1" width="6.1796875" customWidth="1"/>
    <col min="2" max="2" width="34.453125" customWidth="1"/>
    <col min="3" max="3" width="39.1796875" bestFit="1" customWidth="1"/>
    <col min="4" max="4" width="24.81640625" bestFit="1" customWidth="1"/>
    <col min="5" max="5" width="27.26953125" bestFit="1" customWidth="1"/>
    <col min="6" max="6" width="25.453125" customWidth="1"/>
    <col min="7" max="7" width="23.26953125" customWidth="1"/>
    <col min="8" max="8" width="25.26953125" customWidth="1"/>
    <col min="9" max="9" width="28.81640625" customWidth="1"/>
    <col min="10" max="10" width="27" customWidth="1"/>
    <col min="11" max="11" width="20.1796875" customWidth="1"/>
    <col min="12" max="14" width="8.7265625" customWidth="1"/>
  </cols>
  <sheetData>
    <row r="1" spans="1:14" s="128" customFormat="1" ht="21" x14ac:dyDescent="0.5">
      <c r="A1" s="50">
        <v>8</v>
      </c>
      <c r="B1" s="217" t="s">
        <v>12</v>
      </c>
      <c r="C1" s="177"/>
      <c r="D1" s="177"/>
      <c r="E1" s="177"/>
      <c r="F1" s="177"/>
      <c r="G1" s="177"/>
      <c r="H1" s="177"/>
      <c r="I1" s="177"/>
      <c r="J1" s="177"/>
      <c r="K1" s="177"/>
      <c r="L1" s="177"/>
      <c r="M1" s="177"/>
      <c r="N1" s="177"/>
    </row>
    <row r="2" spans="1:14" s="50" customFormat="1" x14ac:dyDescent="0.35"/>
    <row r="3" spans="1:14" s="50" customFormat="1" x14ac:dyDescent="0.35">
      <c r="G3" s="98" t="s">
        <v>33</v>
      </c>
    </row>
    <row r="4" spans="1:14" s="50" customFormat="1" x14ac:dyDescent="0.35">
      <c r="G4" s="118" t="s">
        <v>34</v>
      </c>
      <c r="H4" s="192"/>
    </row>
    <row r="5" spans="1:14" s="50" customFormat="1" x14ac:dyDescent="0.35">
      <c r="G5" s="102" t="s">
        <v>7</v>
      </c>
      <c r="H5" s="115"/>
    </row>
    <row r="6" spans="1:14" s="50" customFormat="1" x14ac:dyDescent="0.35">
      <c r="G6" s="122" t="s">
        <v>35</v>
      </c>
      <c r="H6" s="101"/>
    </row>
    <row r="7" spans="1:14" s="50" customFormat="1" x14ac:dyDescent="0.35">
      <c r="G7" s="486" t="s">
        <v>36</v>
      </c>
      <c r="H7" s="500"/>
    </row>
    <row r="8" spans="1:14" s="50" customFormat="1" x14ac:dyDescent="0.35">
      <c r="G8" s="211" t="s">
        <v>37</v>
      </c>
      <c r="H8" s="567"/>
    </row>
    <row r="9" spans="1:14" s="50" customFormat="1" x14ac:dyDescent="0.35">
      <c r="G9" s="145" t="s">
        <v>38</v>
      </c>
      <c r="H9" s="568"/>
    </row>
    <row r="10" spans="1:14" s="50" customFormat="1" x14ac:dyDescent="0.35">
      <c r="G10" s="205" t="s">
        <v>39</v>
      </c>
      <c r="H10" s="633"/>
    </row>
    <row r="11" spans="1:14" s="50" customFormat="1" x14ac:dyDescent="0.35">
      <c r="G11" s="634" t="s">
        <v>40</v>
      </c>
      <c r="H11" s="635"/>
    </row>
    <row r="12" spans="1:14" s="50" customFormat="1" x14ac:dyDescent="0.35">
      <c r="A12" s="50">
        <v>8.1</v>
      </c>
      <c r="B12" s="118" t="s">
        <v>296</v>
      </c>
      <c r="C12" s="119"/>
      <c r="G12" s="636" t="s">
        <v>41</v>
      </c>
      <c r="H12" s="637"/>
    </row>
    <row r="13" spans="1:14" s="50" customFormat="1" x14ac:dyDescent="0.35">
      <c r="B13" s="104" t="s">
        <v>297</v>
      </c>
      <c r="C13" s="407" t="s">
        <v>298</v>
      </c>
    </row>
    <row r="14" spans="1:14" s="50" customFormat="1" x14ac:dyDescent="0.35">
      <c r="B14" s="105" t="s">
        <v>299</v>
      </c>
      <c r="C14" s="447">
        <v>10</v>
      </c>
    </row>
    <row r="15" spans="1:14" s="50" customFormat="1" x14ac:dyDescent="0.35">
      <c r="B15" s="102" t="s">
        <v>300</v>
      </c>
      <c r="C15" s="448" t="b">
        <v>1</v>
      </c>
      <c r="D15" s="108" t="s">
        <v>301</v>
      </c>
      <c r="I15" s="180"/>
    </row>
    <row r="16" spans="1:14" s="50" customFormat="1" x14ac:dyDescent="0.35">
      <c r="B16" s="96" t="s">
        <v>302</v>
      </c>
      <c r="C16" s="449" t="b">
        <v>1</v>
      </c>
      <c r="D16" s="108" t="s">
        <v>303</v>
      </c>
    </row>
    <row r="17" spans="2:8" s="50" customFormat="1" x14ac:dyDescent="0.35"/>
    <row r="18" spans="2:8" s="50" customFormat="1" x14ac:dyDescent="0.35">
      <c r="F18" s="108" t="s">
        <v>304</v>
      </c>
    </row>
    <row r="19" spans="2:8" s="50" customFormat="1" ht="29" x14ac:dyDescent="0.35">
      <c r="B19" s="140" t="s">
        <v>305</v>
      </c>
      <c r="C19" s="171" t="str">
        <f>Handle_Scenario1&amp;" - Scenario 1"&amp;" (t CO2-eq)"</f>
        <v xml:space="preserve"> - Scenario 1 (t CO2-eq)</v>
      </c>
      <c r="D19" s="171" t="str">
        <f>Handle_Scenario2&amp;" - Scenario 2"&amp;" (t CO2-eq)"</f>
        <v xml:space="preserve"> - Scenario 2 (t CO2-eq)</v>
      </c>
      <c r="E19" s="172" t="str">
        <f>Handle_Scenario3&amp;" - Scenario 3"&amp;" (t CO2-eq)"</f>
        <v xml:space="preserve"> - Scenario 3 (t CO2-eq)</v>
      </c>
      <c r="F19" s="171" t="str">
        <f>"Annualised Impacts - "&amp;Handle_Scenario1&amp;" (t CO2-eq)"</f>
        <v>Annualised Impacts -  (t CO2-eq)</v>
      </c>
      <c r="G19" s="171" t="str">
        <f>"Annualised Impacts - "&amp;Handle_Scenario2&amp;" (t CO2-eq)"</f>
        <v>Annualised Impacts -  (t CO2-eq)</v>
      </c>
      <c r="H19" s="172" t="str">
        <f>"Annualised Impacts - "&amp;Handle_Scenario3&amp;" (t CO2-eq)"</f>
        <v>Annualised Impacts -  (t CO2-eq)</v>
      </c>
    </row>
    <row r="20" spans="2:8" s="50" customFormat="1" x14ac:dyDescent="0.35">
      <c r="B20" s="102" t="s">
        <v>306</v>
      </c>
      <c r="C20" s="161" t="e">
        <f>$C$34/1000</f>
        <v>#DIV/0!</v>
      </c>
      <c r="D20" s="161" t="e">
        <f>$D$34/1000</f>
        <v>#DIV/0!</v>
      </c>
      <c r="E20" s="162">
        <f>$E$34/1000</f>
        <v>0</v>
      </c>
      <c r="F20" s="161" t="e">
        <f>$C$34/1000*(1/Prim_Life)</f>
        <v>#DIV/0!</v>
      </c>
      <c r="G20" s="161" t="e">
        <f>$D$34/1000*(1/Sec_Life)</f>
        <v>#DIV/0!</v>
      </c>
      <c r="H20" s="162" t="e">
        <f>$E$34/1000*(1/Tert_life)</f>
        <v>#DIV/0!</v>
      </c>
    </row>
    <row r="21" spans="2:8" s="50" customFormat="1" x14ac:dyDescent="0.35">
      <c r="B21" s="102" t="s">
        <v>307</v>
      </c>
      <c r="C21" s="161" t="e">
        <f>$C$42/1000</f>
        <v>#DIV/0!</v>
      </c>
      <c r="D21" s="161" t="e">
        <f>$D$42/1000</f>
        <v>#DIV/0!</v>
      </c>
      <c r="E21" s="162">
        <f>$E$42/1000</f>
        <v>0</v>
      </c>
      <c r="F21" s="161" t="e">
        <f>$C$42/1000*(1/Prim_Life)</f>
        <v>#DIV/0!</v>
      </c>
      <c r="G21" s="161" t="e">
        <f>$D$42/1000*(1/Sec_Life)</f>
        <v>#DIV/0!</v>
      </c>
      <c r="H21" s="162" t="e">
        <f>$E$42/1000*(1/Tert_life)</f>
        <v>#DIV/0!</v>
      </c>
    </row>
    <row r="22" spans="2:8" s="50" customFormat="1" x14ac:dyDescent="0.35">
      <c r="B22" s="102" t="s">
        <v>308</v>
      </c>
      <c r="C22" s="161" t="e">
        <f>$C$50/1000</f>
        <v>#DIV/0!</v>
      </c>
      <c r="D22" s="161" t="e">
        <f>$D$50/1000</f>
        <v>#DIV/0!</v>
      </c>
      <c r="E22" s="162" t="e">
        <f>$E$50/1000</f>
        <v>#DIV/0!</v>
      </c>
      <c r="F22" s="161" t="e">
        <f>$C$50/1000*(1/Prim_Life)</f>
        <v>#DIV/0!</v>
      </c>
      <c r="G22" s="161" t="e">
        <f>$D$50/1000*(1/Sec_Life)</f>
        <v>#DIV/0!</v>
      </c>
      <c r="H22" s="162" t="e">
        <f>$E$50/1000*(1/Tert_life)</f>
        <v>#DIV/0!</v>
      </c>
    </row>
    <row r="23" spans="2:8" s="50" customFormat="1" x14ac:dyDescent="0.35">
      <c r="B23" s="102" t="s">
        <v>309</v>
      </c>
      <c r="C23" s="161" t="e">
        <f ca="1">SUM($C$53:$C$55)/1000+SUM($C$79:$C$81)/1000</f>
        <v>#DIV/0!</v>
      </c>
      <c r="D23" s="161" t="e">
        <f ca="1">SUM($D$53:$D$55)/1000+SUM($D$79:$D$81)/1000</f>
        <v>#DIV/0!</v>
      </c>
      <c r="E23" s="162" t="e">
        <f ca="1">SUM($E$53:$E$55)/1000+SUM($E$79:$E$81)/1000</f>
        <v>#DIV/0!</v>
      </c>
      <c r="F23" s="161" t="e">
        <f ca="1">(SUM($C$53:$C$55)/1000+SUM($C$79:$C$81)/1000)*(1/Prim_Life)</f>
        <v>#DIV/0!</v>
      </c>
      <c r="G23" s="161" t="e">
        <f ca="1">(SUM($D$53:$D$55)/1000+SUM($D$79:$D$81)/1000)*(1/Sec_Life)</f>
        <v>#DIV/0!</v>
      </c>
      <c r="H23" s="162" t="e">
        <f ca="1">(SUM($E$53:$E$55)/1000+SUM($E$79:$E$81)/1000)*(1/Tert_life)</f>
        <v>#DIV/0!</v>
      </c>
    </row>
    <row r="24" spans="2:8" s="50" customFormat="1" x14ac:dyDescent="0.35">
      <c r="B24" s="102" t="s">
        <v>310</v>
      </c>
      <c r="C24" s="161">
        <f ca="1">SUM($C$111:$C$112)/1000</f>
        <v>0</v>
      </c>
      <c r="D24" s="161">
        <f ca="1">SUM($D$111:$D$112)/1000</f>
        <v>0</v>
      </c>
      <c r="E24" s="162">
        <f ca="1">SUM($E$111:$E$112)/1000</f>
        <v>0</v>
      </c>
      <c r="F24" s="161" t="e">
        <f ca="1">SUM($C$111:$C$112)/1000*(1/Prim_Life)</f>
        <v>#DIV/0!</v>
      </c>
      <c r="G24" s="161" t="e">
        <f ca="1">SUM($D$111:$D$112)/1000*(1/Sec_Life)</f>
        <v>#DIV/0!</v>
      </c>
      <c r="H24" s="162" t="e">
        <f ca="1">SUM($D$111:$D$112)/1000*(1/Tert_life)</f>
        <v>#DIV/0!</v>
      </c>
    </row>
    <row r="25" spans="2:8" s="50" customFormat="1" x14ac:dyDescent="0.35">
      <c r="B25" s="102" t="s">
        <v>311</v>
      </c>
      <c r="C25" s="161" t="e">
        <f>C115/1000</f>
        <v>#DIV/0!</v>
      </c>
      <c r="D25" s="161" t="e">
        <f>D115/1000</f>
        <v>#DIV/0!</v>
      </c>
      <c r="E25" s="162" t="e">
        <f>E115/1000</f>
        <v>#DIV/0!</v>
      </c>
      <c r="F25" s="161" t="e">
        <f>$C$115/1000*(1/Prim_Life)</f>
        <v>#DIV/0!</v>
      </c>
      <c r="G25" s="161" t="e">
        <f>$D$115/1000*(1/Sec_Life)</f>
        <v>#DIV/0!</v>
      </c>
      <c r="H25" s="162" t="e">
        <f>$E$115/1000*(1/Tert_life)</f>
        <v>#DIV/0!</v>
      </c>
    </row>
    <row r="26" spans="2:8" s="50" customFormat="1" x14ac:dyDescent="0.35">
      <c r="B26" s="102" t="s">
        <v>312</v>
      </c>
      <c r="C26" s="161">
        <f ca="1">$C$118/1000</f>
        <v>0</v>
      </c>
      <c r="D26" s="161">
        <f ca="1">$D$118/1000</f>
        <v>0</v>
      </c>
      <c r="E26" s="162">
        <f ca="1">$E$118/1000</f>
        <v>0</v>
      </c>
      <c r="F26" s="161" t="e">
        <f ca="1">$C$118/1000*(1/Prim_Life)</f>
        <v>#DIV/0!</v>
      </c>
      <c r="G26" s="161" t="e">
        <f ca="1">$D$118/1000*(1/Sec_Life)</f>
        <v>#DIV/0!</v>
      </c>
      <c r="H26" s="162" t="e">
        <f ca="1">$E$118/1000*(1/Tert_life)</f>
        <v>#DIV/0!</v>
      </c>
    </row>
    <row r="27" spans="2:8" s="50" customFormat="1" x14ac:dyDescent="0.35">
      <c r="B27" s="102" t="s">
        <v>313</v>
      </c>
      <c r="C27" s="161" t="e">
        <f>SUM($C$121:$C$123)/1000</f>
        <v>#DIV/0!</v>
      </c>
      <c r="D27" s="161" t="e">
        <f>SUM($D$121:$D$123)/1000</f>
        <v>#DIV/0!</v>
      </c>
      <c r="E27" s="162" t="e">
        <f>SUM($E$121:$E$123)/1000</f>
        <v>#DIV/0!</v>
      </c>
      <c r="F27" s="161" t="e">
        <f>SUM($C$121:$C$123)/1000*(1/Prim_Life)</f>
        <v>#DIV/0!</v>
      </c>
      <c r="G27" s="161" t="e">
        <f>SUM($D$121:$D$123)/1000*(1/Sec_Life)</f>
        <v>#DIV/0!</v>
      </c>
      <c r="H27" s="162" t="e">
        <f>SUM($E$121:$E$123)/1000*(1/Tert_life)</f>
        <v>#DIV/0!</v>
      </c>
    </row>
    <row r="28" spans="2:8" s="50" customFormat="1" x14ac:dyDescent="0.35">
      <c r="B28" s="202" t="s">
        <v>314</v>
      </c>
      <c r="C28" s="200" t="e">
        <f t="shared" ref="C28:H28" si="0">SUM(C20:C27)</f>
        <v>#DIV/0!</v>
      </c>
      <c r="D28" s="200" t="e">
        <f t="shared" si="0"/>
        <v>#DIV/0!</v>
      </c>
      <c r="E28" s="201" t="e">
        <f t="shared" si="0"/>
        <v>#DIV/0!</v>
      </c>
      <c r="F28" s="200" t="e">
        <f t="shared" si="0"/>
        <v>#DIV/0!</v>
      </c>
      <c r="G28" s="200" t="e">
        <f t="shared" si="0"/>
        <v>#DIV/0!</v>
      </c>
      <c r="H28" s="201" t="e">
        <f t="shared" si="0"/>
        <v>#DIV/0!</v>
      </c>
    </row>
    <row r="29" spans="2:8" s="50" customFormat="1" x14ac:dyDescent="0.35"/>
    <row r="30" spans="2:8" s="50" customFormat="1" x14ac:dyDescent="0.35"/>
    <row r="31" spans="2:8" s="50" customFormat="1" outlineLevel="1" x14ac:dyDescent="0.35"/>
    <row r="32" spans="2:8" s="50" customFormat="1" outlineLevel="1" x14ac:dyDescent="0.35"/>
    <row r="33" spans="1:7" s="50" customFormat="1" outlineLevel="1" x14ac:dyDescent="0.35">
      <c r="B33" s="338" t="s">
        <v>315</v>
      </c>
      <c r="C33" s="339" t="str">
        <f>Handle_Scenario1&amp;" - Scenario 1"&amp;" (kgCO2-eq)"</f>
        <v xml:space="preserve"> - Scenario 1 (kgCO2-eq)</v>
      </c>
      <c r="D33" s="339" t="str">
        <f>Handle_Scenario2&amp;" - Scenario 2"&amp;" (kgCO2-eq)"</f>
        <v xml:space="preserve"> - Scenario 2 (kgCO2-eq)</v>
      </c>
      <c r="E33" s="340" t="str">
        <f>Handle_Scenario3&amp;" - Scenario 3"&amp;" (kgCO2-eq)"</f>
        <v xml:space="preserve"> - Scenario 3 (kgCO2-eq)</v>
      </c>
      <c r="G33" s="226"/>
    </row>
    <row r="34" spans="1:7" s="50" customFormat="1" outlineLevel="1" x14ac:dyDescent="0.35">
      <c r="B34" s="160" t="s">
        <v>82</v>
      </c>
      <c r="C34" s="89" t="e">
        <f>SUM(C35:C41)</f>
        <v>#DIV/0!</v>
      </c>
      <c r="D34" s="89" t="e">
        <f>SUM(D35:D41)</f>
        <v>#DIV/0!</v>
      </c>
      <c r="E34" s="47">
        <f>SUM(E35:E41)</f>
        <v>0</v>
      </c>
    </row>
    <row r="35" spans="1:7" s="50" customFormat="1" hidden="1" outlineLevel="2" x14ac:dyDescent="0.35">
      <c r="B35" s="213" t="s">
        <v>316</v>
      </c>
      <c r="C35" s="214" t="e" cm="1">
        <f t="array" ref="C35:C41">(INDEX(Indicators,MATCH(EPD_version&amp;"GWP",Materials!$D:$D,0),MATCH(Prim_Materials[Material],Materials!$1:$1,0))*INDEX(Materials!$1:$2,2,MATCH(Prim_Materials[Material],Materials!$1:$1,0))*((Prim_Materials[Thickness of Layer (mm)]+Prim_Materials[Thickness of Layer (mm)]*(IF(Prim_Lays&gt;1,INDEX(--(Prim_EoL="Removed"),0,1),0)+IF(Prim_Lays&gt;2,INDEX(--(Prim_EoL="Removed"),0,2),0)+IF(Prim_Lays&gt;=3,--(INDEX(Prim_EoL,0,3)="Removed")*(Prim_Lays-3),0)))/1000)*Project_Area)*Area_trans</f>
        <v>#DIV/0!</v>
      </c>
      <c r="D35" s="214" t="e" cm="1">
        <f t="array" ref="D35:D41">(INDEX(Indicators,MATCH(EPD_version&amp;"GWP",Materials!$D:$D,0),MATCH(Sec_Materials[Material],Materials!$1:$1,0))*INDEX(Materials!$1:$2,2,MATCH(Sec_Materials[Material],Materials!$1:$1,0))*((Sec_Materials[Thickness of Layer (mm)]+Sec_Materials[Thickness of Layer (mm)]*(IF(Sec_Lays&gt;1,INDEX(--(Sec_EoL="Removed"),0,1),0)+IF(Sec_Lays&gt;2,INDEX(--(Sec_EoL="Removed"),0,2),0)+IF(Sec_Lays&gt;=3,--(INDEX(Sec_EoL,0,3)="Removed")*(Sec_Lays-3),0)))/1000)*Project_Area)*Area_trans</f>
        <v>#DIV/0!</v>
      </c>
      <c r="E35" s="84" cm="1">
        <f t="array" ref="E35:E41">IFERROR((INDEX(Indicators,MATCH(EPD_version&amp;"GWP",Materials!$D:$D,0),MATCH(Tert_Materials[Material],Materials!$1:$1,0))*INDEX(Materials!$1:$2,2,MATCH(Tert_Materials[Material],Materials!$1:$1,0))*((Tert_Materials[Thickness of Layer (mm)]+Tert_Materials[Thickness of Layer (mm)]*(IF(Tert_Lays&gt;1,INDEX(--(Tert_EoL="Removed"),0,1),0)+IF(Tert_Lays&gt;2,INDEX(--(Tert_EoL="Removed"),0,2),0)+IF(Tert_Lays&gt;=3,--(INDEX(Tert_EoL,0,3)="Removed")*(Tert_Lays-3),0)))/1000)*Project_Area)*Area_trans, 0)</f>
        <v>0</v>
      </c>
      <c r="F35" s="100"/>
    </row>
    <row r="36" spans="1:7" s="50" customFormat="1" hidden="1" outlineLevel="2" x14ac:dyDescent="0.35">
      <c r="B36" s="213" t="s">
        <v>317</v>
      </c>
      <c r="C36" s="214" t="e">
        <v>#DIV/0!</v>
      </c>
      <c r="D36" s="214" t="e">
        <v>#DIV/0!</v>
      </c>
      <c r="E36" s="84">
        <v>0</v>
      </c>
    </row>
    <row r="37" spans="1:7" s="50" customFormat="1" hidden="1" outlineLevel="2" x14ac:dyDescent="0.35">
      <c r="B37" s="213" t="s">
        <v>318</v>
      </c>
      <c r="C37" s="214" t="e">
        <v>#DIV/0!</v>
      </c>
      <c r="D37" s="214" t="e">
        <v>#DIV/0!</v>
      </c>
      <c r="E37" s="84">
        <v>0</v>
      </c>
    </row>
    <row r="38" spans="1:7" s="50" customFormat="1" hidden="1" outlineLevel="2" x14ac:dyDescent="0.35">
      <c r="B38" s="213" t="s">
        <v>319</v>
      </c>
      <c r="C38" s="214" t="e">
        <v>#DIV/0!</v>
      </c>
      <c r="D38" s="214" t="e">
        <v>#DIV/0!</v>
      </c>
      <c r="E38" s="84">
        <v>0</v>
      </c>
    </row>
    <row r="39" spans="1:7" s="50" customFormat="1" hidden="1" outlineLevel="2" x14ac:dyDescent="0.35">
      <c r="B39" s="213" t="s">
        <v>320</v>
      </c>
      <c r="C39" s="214" t="e">
        <v>#DIV/0!</v>
      </c>
      <c r="D39" s="214" t="e">
        <v>#DIV/0!</v>
      </c>
      <c r="E39" s="84">
        <v>0</v>
      </c>
    </row>
    <row r="40" spans="1:7" s="50" customFormat="1" hidden="1" outlineLevel="2" x14ac:dyDescent="0.35">
      <c r="B40" s="213" t="s">
        <v>321</v>
      </c>
      <c r="C40" s="214" t="e">
        <v>#DIV/0!</v>
      </c>
      <c r="D40" s="214" t="e">
        <v>#DIV/0!</v>
      </c>
      <c r="E40" s="84">
        <v>0</v>
      </c>
    </row>
    <row r="41" spans="1:7" s="50" customFormat="1" hidden="1" outlineLevel="2" x14ac:dyDescent="0.35">
      <c r="B41" s="213" t="s">
        <v>322</v>
      </c>
      <c r="C41" s="214" t="e">
        <v>#DIV/0!</v>
      </c>
      <c r="D41" s="214" t="e">
        <v>#DIV/0!</v>
      </c>
      <c r="E41" s="84">
        <v>0</v>
      </c>
    </row>
    <row r="42" spans="1:7" s="50" customFormat="1" outlineLevel="1" collapsed="1" x14ac:dyDescent="0.35">
      <c r="A42" s="379" t="s">
        <v>323</v>
      </c>
      <c r="B42" s="158" t="s">
        <v>324</v>
      </c>
      <c r="C42" s="88" t="e">
        <f>SUM(C43:C49)</f>
        <v>#DIV/0!</v>
      </c>
      <c r="D42" s="88" t="e">
        <f>SUM(D43:D49)</f>
        <v>#DIV/0!</v>
      </c>
      <c r="E42" s="196">
        <f>SUM(E43:E49)</f>
        <v>0</v>
      </c>
    </row>
    <row r="43" spans="1:7" s="50" customFormat="1" outlineLevel="3" x14ac:dyDescent="0.35">
      <c r="B43" s="213" t="s">
        <v>325</v>
      </c>
      <c r="C43" s="215" t="e" cm="1">
        <f t="array" ref="C43:C49">INDEX(Materials!$1:$2,2,MATCH(Prim_Materials[Material],Materials!$1:$1,0))*(Prim_Materials[Thickness of Layer (mm)]/1000)*Project_Area*INDEX(Indicators,MATCH(EPD_version&amp;"GWP",Materials!$D:$D,0),MATCH(Prim_Materials[Material Delivery Truck],Materials!$1:$1,0))*Prim_Materials[Trucking Distance to Site (km)]*Prim_Lays*Area_trans</f>
        <v>#DIV/0!</v>
      </c>
      <c r="D43" s="215" t="e" cm="1">
        <f t="array" ref="D43:D49">INDEX(Materials!$1:$2,2,MATCH(Sec_Materials[Material],Materials!$1:$1,0))*(Sec_Materials[Thickness of Layer (mm)]/1000)*Project_Area*INDEX(Indicators,MATCH(EPD_version&amp;"GWP",Materials!$D:$D,0),MATCH(Sec_Materials[Material Delivery Truck],Materials!$1:$1,0))*Sec_Materials[Trucking Distance to Site (km)]*Sec_Lays*Area_trans</f>
        <v>#DIV/0!</v>
      </c>
      <c r="E43" s="216" cm="1">
        <f t="array" ref="E43:E49">IFERROR(INDEX(Materials!$1:$2,2,MATCH(Tert_Materials[Material],Materials!$1:$1,0))*(Tert_Materials[Thickness of Layer (mm)]/1000)*Project_Area*INDEX(Indicators,MATCH(EPD_version&amp;"GWP",Materials!$D:$D,0),MATCH(Tert_Materials[Material Delivery Truck],Materials!$1:$1,0))*Tert_Materials[Trucking Distance to Site (km)]*Tert_Lays*Area_trans, 0)</f>
        <v>0</v>
      </c>
      <c r="F43" s="100"/>
    </row>
    <row r="44" spans="1:7" s="50" customFormat="1" outlineLevel="3" x14ac:dyDescent="0.35">
      <c r="B44" s="213" t="s">
        <v>326</v>
      </c>
      <c r="C44" s="215" t="e">
        <v>#DIV/0!</v>
      </c>
      <c r="D44" s="215" t="e">
        <v>#DIV/0!</v>
      </c>
      <c r="E44" s="216">
        <v>0</v>
      </c>
    </row>
    <row r="45" spans="1:7" s="50" customFormat="1" outlineLevel="3" x14ac:dyDescent="0.35">
      <c r="B45" s="213" t="s">
        <v>327</v>
      </c>
      <c r="C45" s="215" t="e">
        <v>#DIV/0!</v>
      </c>
      <c r="D45" s="215" t="e">
        <v>#DIV/0!</v>
      </c>
      <c r="E45" s="216">
        <v>0</v>
      </c>
    </row>
    <row r="46" spans="1:7" s="50" customFormat="1" outlineLevel="3" x14ac:dyDescent="0.35">
      <c r="B46" s="213" t="s">
        <v>328</v>
      </c>
      <c r="C46" s="215" t="e">
        <v>#DIV/0!</v>
      </c>
      <c r="D46" s="215" t="e">
        <v>#DIV/0!</v>
      </c>
      <c r="E46" s="216">
        <v>0</v>
      </c>
    </row>
    <row r="47" spans="1:7" s="50" customFormat="1" outlineLevel="3" x14ac:dyDescent="0.35">
      <c r="B47" s="213" t="s">
        <v>329</v>
      </c>
      <c r="C47" s="215" t="e">
        <v>#DIV/0!</v>
      </c>
      <c r="D47" s="215" t="e">
        <v>#DIV/0!</v>
      </c>
      <c r="E47" s="216">
        <v>0</v>
      </c>
    </row>
    <row r="48" spans="1:7" s="50" customFormat="1" outlineLevel="3" x14ac:dyDescent="0.35">
      <c r="B48" s="213" t="s">
        <v>330</v>
      </c>
      <c r="C48" s="215" t="e">
        <v>#DIV/0!</v>
      </c>
      <c r="D48" s="215" t="e">
        <v>#DIV/0!</v>
      </c>
      <c r="E48" s="216">
        <v>0</v>
      </c>
    </row>
    <row r="49" spans="1:6" s="50" customFormat="1" outlineLevel="3" x14ac:dyDescent="0.35">
      <c r="B49" s="213" t="s">
        <v>331</v>
      </c>
      <c r="C49" s="215" t="e">
        <v>#DIV/0!</v>
      </c>
      <c r="D49" s="215" t="e">
        <v>#DIV/0!</v>
      </c>
      <c r="E49" s="216">
        <v>0</v>
      </c>
    </row>
    <row r="50" spans="1:6" s="50" customFormat="1" outlineLevel="1" x14ac:dyDescent="0.35">
      <c r="A50" s="379" t="s">
        <v>323</v>
      </c>
      <c r="B50" s="159" t="s">
        <v>332</v>
      </c>
      <c r="C50" s="90" t="e">
        <f>Diesel_RawM_Prim*INDEX(Indicators,MATCH(EPD_version&amp;"GWP",Materials!$D:$D,0),MATCH("Diesel Combustion",Materials!$1:$1,0))*Diesel_density*Project_Area*Prim_Lays*Area_trans</f>
        <v>#DIV/0!</v>
      </c>
      <c r="D50" s="90" t="e">
        <f>Diesel_RawM_Sec*INDEX(Indicators,MATCH(EPD_version&amp;"GWP",Materials!$D:$D,0),MATCH("Diesel Combustion",Materials!$1:$1,0))*Diesel_density*Project_Area*Sec_Lays*Area_trans</f>
        <v>#DIV/0!</v>
      </c>
      <c r="E50" s="49" t="e">
        <f>Diesel_RawM_Tert*INDEX(Indicators,MATCH(EPD_version&amp;"GWP",Materials!$D:$D,0),MATCH("Diesel Combustion",Materials!$1:$1,0))*Diesel_density*Project_Area*Tert_Lays*Area_trans</f>
        <v>#DIV/0!</v>
      </c>
    </row>
    <row r="51" spans="1:6" s="50" customFormat="1" outlineLevel="1" x14ac:dyDescent="0.35"/>
    <row r="52" spans="1:6" s="50" customFormat="1" outlineLevel="1" x14ac:dyDescent="0.35">
      <c r="B52" s="338" t="s">
        <v>333</v>
      </c>
      <c r="C52" s="339" t="str">
        <f>Handle_Scenario1&amp;" - Scenario 1"&amp;" (kgCO2-eq)"</f>
        <v xml:space="preserve"> - Scenario 1 (kgCO2-eq)</v>
      </c>
      <c r="D52" s="339" t="str">
        <f>Handle_Scenario2&amp;" - Scenario 2"&amp;" (kgCO2-eq)"</f>
        <v xml:space="preserve"> - Scenario 2 (kgCO2-eq)</v>
      </c>
      <c r="E52" s="340" t="str">
        <f>Handle_Scenario3&amp;" - Scenario 3"&amp;" (kgCO2-eq)"</f>
        <v xml:space="preserve"> - Scenario 3 (kgCO2-eq)</v>
      </c>
    </row>
    <row r="53" spans="1:6" s="50" customFormat="1" outlineLevel="1" x14ac:dyDescent="0.35">
      <c r="B53" s="160" t="s">
        <v>16</v>
      </c>
      <c r="C53" s="89" t="e">
        <f ca="1">'Impact Analysis'!C58+'Impact Analysis'!C63+C68+C73</f>
        <v>#DIV/0!</v>
      </c>
      <c r="D53" s="89" t="e">
        <f ca="1">'Impact Analysis'!D58+'Impact Analysis'!D63+D68+D73</f>
        <v>#DIV/0!</v>
      </c>
      <c r="E53" s="47" t="e">
        <f ca="1">'Impact Analysis'!E58+'Impact Analysis'!E63+E68+E73</f>
        <v>#DIV/0!</v>
      </c>
    </row>
    <row r="54" spans="1:6" s="50" customFormat="1" outlineLevel="1" x14ac:dyDescent="0.35">
      <c r="B54" s="158" t="s">
        <v>334</v>
      </c>
      <c r="C54" s="87" t="e">
        <f ca="1">'Impact Analysis'!C59+'Impact Analysis'!C64+C69+C74</f>
        <v>#DIV/0!</v>
      </c>
      <c r="D54" s="87" t="e">
        <f ca="1">'Impact Analysis'!D59+'Impact Analysis'!D64+D69+D74</f>
        <v>#DIV/0!</v>
      </c>
      <c r="E54" s="48" t="e">
        <f ca="1">'Impact Analysis'!E59+'Impact Analysis'!E64+E69+E74</f>
        <v>#DIV/0!</v>
      </c>
    </row>
    <row r="55" spans="1:6" s="50" customFormat="1" outlineLevel="1" x14ac:dyDescent="0.35">
      <c r="B55" s="159" t="s">
        <v>335</v>
      </c>
      <c r="C55" s="90" t="e">
        <f ca="1">'Impact Analysis'!C60+'Impact Analysis'!C65+C70+C75</f>
        <v>#DIV/0!</v>
      </c>
      <c r="D55" s="90" t="e">
        <f ca="1">'Impact Analysis'!D60+'Impact Analysis'!D65+D70+D75</f>
        <v>#DIV/0!</v>
      </c>
      <c r="E55" s="49" t="e">
        <f ca="1">'Impact Analysis'!E60+'Impact Analysis'!E65+E70+E75</f>
        <v>#DIV/0!</v>
      </c>
    </row>
    <row r="56" spans="1:6" s="50" customFormat="1" outlineLevel="2" x14ac:dyDescent="0.35"/>
    <row r="57" spans="1:6" s="50" customFormat="1" outlineLevel="2" x14ac:dyDescent="0.35">
      <c r="B57" s="341" t="s">
        <v>336</v>
      </c>
      <c r="C57" s="342" t="str">
        <f>Handle_Scenario1&amp;" - Scenario 1"&amp;" (kgCO2-eq)"</f>
        <v xml:space="preserve"> - Scenario 1 (kgCO2-eq)</v>
      </c>
      <c r="D57" s="342" t="str">
        <f>Handle_Scenario2&amp;" - Scenario 2"&amp;" (kgCO2-eq)"</f>
        <v xml:space="preserve"> - Scenario 2 (kgCO2-eq)</v>
      </c>
      <c r="E57" s="343" t="str">
        <f>Handle_Scenario3&amp;" - Scenario 3"&amp;" (kgCO2-eq)"</f>
        <v xml:space="preserve"> - Scenario 3 (kgCO2-eq)</v>
      </c>
      <c r="F57" s="125"/>
    </row>
    <row r="58" spans="1:6" s="50" customFormat="1" outlineLevel="2" x14ac:dyDescent="0.35">
      <c r="B58" s="482" t="s">
        <v>16</v>
      </c>
      <c r="C58" s="483" t="e">
        <f ca="1">'Maintenance &amp; Traffic Delay'!J58</f>
        <v>#DIV/0!</v>
      </c>
      <c r="D58" s="483" t="e">
        <f ca="1">'Maintenance &amp; Traffic Delay'!J70</f>
        <v>#DIV/0!</v>
      </c>
      <c r="E58" s="484" t="e">
        <f ca="1">'Maintenance &amp; Traffic Delay'!J82</f>
        <v>#DIV/0!</v>
      </c>
      <c r="F58" s="125"/>
    </row>
    <row r="59" spans="1:6" s="50" customFormat="1" outlineLevel="2" x14ac:dyDescent="0.35">
      <c r="B59" s="213" t="s">
        <v>334</v>
      </c>
      <c r="C59" s="239" t="e">
        <f ca="1">'Maintenance &amp; Traffic Delay'!K58</f>
        <v>#DIV/0!</v>
      </c>
      <c r="D59" s="239" t="e">
        <f ca="1">'Maintenance &amp; Traffic Delay'!K70</f>
        <v>#DIV/0!</v>
      </c>
      <c r="E59" s="485" t="e">
        <f ca="1">'Maintenance &amp; Traffic Delay'!K82</f>
        <v>#DIV/0!</v>
      </c>
      <c r="F59" s="125"/>
    </row>
    <row r="60" spans="1:6" s="50" customFormat="1" outlineLevel="2" x14ac:dyDescent="0.35">
      <c r="B60" s="218" t="s">
        <v>337</v>
      </c>
      <c r="C60" s="85" t="e">
        <f ca="1">'Maintenance &amp; Traffic Delay'!L58</f>
        <v>#DIV/0!</v>
      </c>
      <c r="D60" s="85" t="e">
        <f ca="1">'Maintenance &amp; Traffic Delay'!L70</f>
        <v>#DIV/0!</v>
      </c>
      <c r="E60" s="86" t="e">
        <f ca="1">'Maintenance &amp; Traffic Delay'!L82</f>
        <v>#DIV/0!</v>
      </c>
      <c r="F60" s="125"/>
    </row>
    <row r="61" spans="1:6" s="50" customFormat="1" outlineLevel="2" x14ac:dyDescent="0.35">
      <c r="B61" s="125"/>
      <c r="C61" s="125"/>
      <c r="D61" s="125"/>
      <c r="E61" s="125"/>
      <c r="F61" s="125"/>
    </row>
    <row r="62" spans="1:6" s="50" customFormat="1" outlineLevel="2" x14ac:dyDescent="0.35">
      <c r="B62" s="341" t="s">
        <v>338</v>
      </c>
      <c r="C62" s="342" t="str">
        <f>Handle_Scenario1&amp;" - Scenario 1"&amp;" (kgCO2-eq)"</f>
        <v xml:space="preserve"> - Scenario 1 (kgCO2-eq)</v>
      </c>
      <c r="D62" s="342" t="str">
        <f>Handle_Scenario2&amp;" - Scenario 2"&amp;" (kgCO2-eq)"</f>
        <v xml:space="preserve"> - Scenario 2 (kgCO2-eq)</v>
      </c>
      <c r="E62" s="343" t="str">
        <f>Handle_Scenario3&amp;" - Scenario 3"&amp;" (kgCO2-eq)"</f>
        <v xml:space="preserve"> - Scenario 3 (kgCO2-eq)</v>
      </c>
      <c r="F62" s="125"/>
    </row>
    <row r="63" spans="1:6" s="50" customFormat="1" outlineLevel="2" x14ac:dyDescent="0.35">
      <c r="B63" s="219" t="s">
        <v>16</v>
      </c>
      <c r="C63" s="197" t="e">
        <f ca="1">'Maintenance &amp; Traffic Delay'!J59</f>
        <v>#DIV/0!</v>
      </c>
      <c r="D63" s="197" t="e">
        <f ca="1">'Maintenance &amp; Traffic Delay'!J71</f>
        <v>#DIV/0!</v>
      </c>
      <c r="E63" s="198" t="e">
        <f ca="1">'Maintenance &amp; Traffic Delay'!J83</f>
        <v>#DIV/0!</v>
      </c>
      <c r="F63" s="125"/>
    </row>
    <row r="64" spans="1:6" s="50" customFormat="1" outlineLevel="2" x14ac:dyDescent="0.35">
      <c r="B64" s="213" t="s">
        <v>334</v>
      </c>
      <c r="C64" s="83" t="e">
        <f ca="1">'Maintenance &amp; Traffic Delay'!K59</f>
        <v>#DIV/0!</v>
      </c>
      <c r="D64" s="83" t="e">
        <f ca="1">'Maintenance &amp; Traffic Delay'!K71</f>
        <v>#DIV/0!</v>
      </c>
      <c r="E64" s="84" t="e">
        <f ca="1">'Maintenance &amp; Traffic Delay'!K83</f>
        <v>#DIV/0!</v>
      </c>
      <c r="F64" s="125"/>
    </row>
    <row r="65" spans="1:13" s="50" customFormat="1" outlineLevel="2" x14ac:dyDescent="0.35">
      <c r="B65" s="218" t="s">
        <v>337</v>
      </c>
      <c r="C65" s="85" t="e">
        <f ca="1">'Maintenance &amp; Traffic Delay'!L59</f>
        <v>#DIV/0!</v>
      </c>
      <c r="D65" s="85" t="e">
        <f ca="1">'Maintenance &amp; Traffic Delay'!L71</f>
        <v>#DIV/0!</v>
      </c>
      <c r="E65" s="86" t="e">
        <f ca="1">'Maintenance &amp; Traffic Delay'!L83</f>
        <v>#DIV/0!</v>
      </c>
      <c r="F65" s="125"/>
    </row>
    <row r="66" spans="1:13" s="50" customFormat="1" outlineLevel="2" x14ac:dyDescent="0.35"/>
    <row r="67" spans="1:13" s="50" customFormat="1" outlineLevel="2" x14ac:dyDescent="0.35">
      <c r="B67" s="341" t="s">
        <v>339</v>
      </c>
      <c r="C67" s="342" t="str">
        <f>Handle_Scenario1&amp;" - Scenario 1"&amp;" (kgCO2-eq)"</f>
        <v xml:space="preserve"> - Scenario 1 (kgCO2-eq)</v>
      </c>
      <c r="D67" s="342" t="str">
        <f>Handle_Scenario2&amp;" - Scenario 2"&amp;" (kgCO2-eq)"</f>
        <v xml:space="preserve"> - Scenario 2 (kgCO2-eq)</v>
      </c>
      <c r="E67" s="343" t="str">
        <f>Handle_Scenario3&amp;" - Scenario 3"&amp;" (kgCO2-eq)"</f>
        <v xml:space="preserve"> - Scenario 3 (kgCO2-eq)</v>
      </c>
      <c r="F67" s="125"/>
    </row>
    <row r="68" spans="1:13" s="50" customFormat="1" outlineLevel="2" x14ac:dyDescent="0.35">
      <c r="B68" s="219" t="s">
        <v>16</v>
      </c>
      <c r="C68" s="197" t="e">
        <f ca="1">'Maintenance &amp; Traffic Delay'!J60</f>
        <v>#DIV/0!</v>
      </c>
      <c r="D68" s="197" t="e">
        <f ca="1">'Maintenance &amp; Traffic Delay'!J72</f>
        <v>#DIV/0!</v>
      </c>
      <c r="E68" s="198" t="e">
        <f ca="1">'Maintenance &amp; Traffic Delay'!J84</f>
        <v>#DIV/0!</v>
      </c>
      <c r="F68" s="125"/>
    </row>
    <row r="69" spans="1:13" s="50" customFormat="1" outlineLevel="2" x14ac:dyDescent="0.35">
      <c r="B69" s="213" t="s">
        <v>334</v>
      </c>
      <c r="C69" s="83" t="e">
        <f ca="1">'Maintenance &amp; Traffic Delay'!K60</f>
        <v>#DIV/0!</v>
      </c>
      <c r="D69" s="83" t="e">
        <f ca="1">'Maintenance &amp; Traffic Delay'!K72</f>
        <v>#DIV/0!</v>
      </c>
      <c r="E69" s="84" t="e">
        <f ca="1">'Maintenance &amp; Traffic Delay'!K84</f>
        <v>#DIV/0!</v>
      </c>
      <c r="F69" s="125"/>
    </row>
    <row r="70" spans="1:13" s="50" customFormat="1" outlineLevel="2" x14ac:dyDescent="0.35">
      <c r="B70" s="218" t="s">
        <v>337</v>
      </c>
      <c r="C70" s="85" t="e">
        <f ca="1">'Maintenance &amp; Traffic Delay'!L60</f>
        <v>#DIV/0!</v>
      </c>
      <c r="D70" s="85" t="e">
        <f ca="1">'Maintenance &amp; Traffic Delay'!L72</f>
        <v>#DIV/0!</v>
      </c>
      <c r="E70" s="86" t="e">
        <f ca="1">'Maintenance &amp; Traffic Delay'!L84</f>
        <v>#DIV/0!</v>
      </c>
      <c r="F70" s="125"/>
    </row>
    <row r="71" spans="1:13" s="50" customFormat="1" outlineLevel="2" x14ac:dyDescent="0.35"/>
    <row r="72" spans="1:13" s="50" customFormat="1" outlineLevel="2" x14ac:dyDescent="0.35">
      <c r="B72" s="341" t="s">
        <v>340</v>
      </c>
      <c r="C72" s="342" t="str">
        <f>Handle_Scenario1&amp;" - Scenario 1"&amp;" (kgCO2-eq)"</f>
        <v xml:space="preserve"> - Scenario 1 (kgCO2-eq)</v>
      </c>
      <c r="D72" s="342" t="str">
        <f>Handle_Scenario2&amp;" - Scenario 2"&amp;" (kgCO2-eq)"</f>
        <v xml:space="preserve"> - Scenario 2 (kgCO2-eq)</v>
      </c>
      <c r="E72" s="343" t="str">
        <f>Handle_Scenario3&amp;" - Scenario 3"&amp;" (kgCO2-eq)"</f>
        <v xml:space="preserve"> - Scenario 3 (kgCO2-eq)</v>
      </c>
      <c r="F72" s="125"/>
    </row>
    <row r="73" spans="1:13" s="50" customFormat="1" outlineLevel="2" x14ac:dyDescent="0.35">
      <c r="B73" s="219" t="s">
        <v>16</v>
      </c>
      <c r="C73" s="197" t="e">
        <f ca="1">'Maintenance &amp; Traffic Delay'!J61</f>
        <v>#DIV/0!</v>
      </c>
      <c r="D73" s="197" t="e">
        <f ca="1">'Maintenance &amp; Traffic Delay'!J73</f>
        <v>#DIV/0!</v>
      </c>
      <c r="E73" s="198" t="e">
        <f ca="1">'Maintenance &amp; Traffic Delay'!J85</f>
        <v>#DIV/0!</v>
      </c>
      <c r="F73" s="125"/>
    </row>
    <row r="74" spans="1:13" s="50" customFormat="1" outlineLevel="2" x14ac:dyDescent="0.35">
      <c r="B74" s="213" t="s">
        <v>334</v>
      </c>
      <c r="C74" s="83" t="e">
        <f ca="1">'Maintenance &amp; Traffic Delay'!K61</f>
        <v>#DIV/0!</v>
      </c>
      <c r="D74" s="83" t="e">
        <f ca="1">'Maintenance &amp; Traffic Delay'!K73</f>
        <v>#DIV/0!</v>
      </c>
      <c r="E74" s="84" t="e">
        <f ca="1">'Maintenance &amp; Traffic Delay'!K85</f>
        <v>#DIV/0!</v>
      </c>
      <c r="F74" s="125"/>
    </row>
    <row r="75" spans="1:13" s="50" customFormat="1" outlineLevel="2" x14ac:dyDescent="0.35">
      <c r="B75" s="218" t="s">
        <v>337</v>
      </c>
      <c r="C75" s="85" t="e">
        <f ca="1">'Maintenance &amp; Traffic Delay'!L61</f>
        <v>#DIV/0!</v>
      </c>
      <c r="D75" s="85" t="e">
        <f ca="1">'Maintenance &amp; Traffic Delay'!L73</f>
        <v>#DIV/0!</v>
      </c>
      <c r="E75" s="86" t="e">
        <f ca="1">'Maintenance &amp; Traffic Delay'!L85</f>
        <v>#DIV/0!</v>
      </c>
      <c r="F75" s="125"/>
    </row>
    <row r="76" spans="1:13" s="50" customFormat="1" outlineLevel="2" x14ac:dyDescent="0.35"/>
    <row r="77" spans="1:13" s="50" customFormat="1" outlineLevel="1" x14ac:dyDescent="0.35">
      <c r="A77" s="379" t="s">
        <v>323</v>
      </c>
      <c r="M77"/>
    </row>
    <row r="78" spans="1:13" s="50" customFormat="1" outlineLevel="1" x14ac:dyDescent="0.35">
      <c r="B78" s="338" t="s">
        <v>341</v>
      </c>
      <c r="C78" s="339" t="str">
        <f>Handle_Scenario1&amp;" - Scenario 1"&amp;" (kgCO2-eq)"</f>
        <v xml:space="preserve"> - Scenario 1 (kgCO2-eq)</v>
      </c>
      <c r="D78" s="339" t="str">
        <f>Handle_Scenario2&amp;" - Scenario 2"&amp;" (kgCO2-eq)"</f>
        <v xml:space="preserve"> - Scenario 2 (kgCO2-eq)</v>
      </c>
      <c r="E78" s="340" t="str">
        <f>Handle_Scenario3&amp;" - Scenario 3"&amp;" (kgCO2-eq)"</f>
        <v xml:space="preserve"> - Scenario 3 (kgCO2-eq)</v>
      </c>
    </row>
    <row r="79" spans="1:13" s="50" customFormat="1" outlineLevel="1" x14ac:dyDescent="0.35">
      <c r="B79" s="158" t="s">
        <v>16</v>
      </c>
      <c r="C79" s="87" t="e">
        <f ca="1">'Impact Analysis'!C84+C89+C95+'Impact Analysis'!C101+'Impact Analysis'!C106</f>
        <v>#DIV/0!</v>
      </c>
      <c r="D79" s="87" t="e">
        <f ca="1">'Impact Analysis'!D84+D89+D95+'Impact Analysis'!D101+'Impact Analysis'!D106</f>
        <v>#DIV/0!</v>
      </c>
      <c r="E79" s="48" t="e">
        <f ca="1">'Impact Analysis'!E84+E89+E95+'Impact Analysis'!E101+'Impact Analysis'!E106</f>
        <v>#DIV/0!</v>
      </c>
    </row>
    <row r="80" spans="1:13" s="50" customFormat="1" outlineLevel="1" x14ac:dyDescent="0.35">
      <c r="B80" s="158" t="s">
        <v>334</v>
      </c>
      <c r="C80" s="87" t="e">
        <f ca="1">'Impact Analysis'!C85+C90+C96+'Impact Analysis'!C102+'Impact Analysis'!C107</f>
        <v>#DIV/0!</v>
      </c>
      <c r="D80" s="87" t="e">
        <f ca="1">'Impact Analysis'!D85+D90+D96+'Impact Analysis'!D102+'Impact Analysis'!D107</f>
        <v>#DIV/0!</v>
      </c>
      <c r="E80" s="48" t="e">
        <f ca="1">'Impact Analysis'!E85+E90+E96+'Impact Analysis'!E102+'Impact Analysis'!E107</f>
        <v>#DIV/0!</v>
      </c>
    </row>
    <row r="81" spans="2:13" s="50" customFormat="1" outlineLevel="1" x14ac:dyDescent="0.35">
      <c r="B81" s="159" t="s">
        <v>335</v>
      </c>
      <c r="C81" s="90" t="e">
        <f ca="1">'Impact Analysis'!C86+C91+C97+'Impact Analysis'!C103+'Impact Analysis'!C108</f>
        <v>#DIV/0!</v>
      </c>
      <c r="D81" s="90" t="e">
        <f ca="1">'Impact Analysis'!D86+D91+D97+'Impact Analysis'!D103+'Impact Analysis'!D108</f>
        <v>#DIV/0!</v>
      </c>
      <c r="E81" s="49" t="e">
        <f ca="1">'Impact Analysis'!E86+E91+E97+'Impact Analysis'!E103+'Impact Analysis'!E108</f>
        <v>#DIV/0!</v>
      </c>
    </row>
    <row r="82" spans="2:13" s="125" customFormat="1" outlineLevel="2" x14ac:dyDescent="0.35">
      <c r="G82" s="50"/>
      <c r="H82" s="50"/>
      <c r="I82" s="50"/>
      <c r="J82" s="50"/>
      <c r="M82" s="19"/>
    </row>
    <row r="83" spans="2:13" s="125" customFormat="1" outlineLevel="2" x14ac:dyDescent="0.35">
      <c r="B83" s="341" t="s">
        <v>342</v>
      </c>
      <c r="C83" s="344" t="str">
        <f>Handle_Scenario1&amp;" - Scenario 1"&amp;" (kgCO2-eq)"</f>
        <v xml:space="preserve"> - Scenario 1 (kgCO2-eq)</v>
      </c>
      <c r="D83" s="342" t="str">
        <f>Handle_Scenario2&amp;" - Scenario 2"&amp;" (kgCO2-eq)"</f>
        <v xml:space="preserve"> - Scenario 2 (kgCO2-eq)</v>
      </c>
      <c r="E83" s="343" t="str">
        <f>Handle_Scenario3&amp;" - Scenario 3"&amp;" (kgCO2-eq)"</f>
        <v xml:space="preserve"> - Scenario 3 (kgCO2-eq)</v>
      </c>
      <c r="G83" s="50"/>
      <c r="H83" s="50"/>
      <c r="I83" s="50"/>
      <c r="J83" s="50"/>
    </row>
    <row r="84" spans="2:13" s="125" customFormat="1" outlineLevel="2" x14ac:dyDescent="0.35">
      <c r="B84" s="219" t="s">
        <v>16</v>
      </c>
      <c r="C84" s="197" t="e">
        <f ca="1">'Maintenance &amp; Traffic Delay'!J62</f>
        <v>#DIV/0!</v>
      </c>
      <c r="D84" s="197" t="e">
        <f ca="1">'Maintenance &amp; Traffic Delay'!J74</f>
        <v>#DIV/0!</v>
      </c>
      <c r="E84" s="198" t="e">
        <f ca="1">'Maintenance &amp; Traffic Delay'!J86</f>
        <v>#DIV/0!</v>
      </c>
      <c r="G84" s="50"/>
      <c r="H84" s="50"/>
      <c r="I84" s="50"/>
      <c r="J84" s="50"/>
    </row>
    <row r="85" spans="2:13" s="125" customFormat="1" outlineLevel="2" x14ac:dyDescent="0.35">
      <c r="B85" s="213" t="s">
        <v>334</v>
      </c>
      <c r="C85" s="83" t="e">
        <f ca="1">'Maintenance &amp; Traffic Delay'!K62</f>
        <v>#DIV/0!</v>
      </c>
      <c r="D85" s="83" t="e">
        <f ca="1">'Maintenance &amp; Traffic Delay'!K74</f>
        <v>#DIV/0!</v>
      </c>
      <c r="E85" s="84" t="e">
        <f ca="1">'Maintenance &amp; Traffic Delay'!K86</f>
        <v>#DIV/0!</v>
      </c>
      <c r="G85" s="50"/>
      <c r="H85" s="50"/>
      <c r="I85" s="50"/>
      <c r="J85" s="50"/>
    </row>
    <row r="86" spans="2:13" s="125" customFormat="1" outlineLevel="2" x14ac:dyDescent="0.35">
      <c r="B86" s="218" t="s">
        <v>337</v>
      </c>
      <c r="C86" s="85" t="e">
        <f ca="1">'Maintenance &amp; Traffic Delay'!L62</f>
        <v>#DIV/0!</v>
      </c>
      <c r="D86" s="85" t="e">
        <f ca="1">'Maintenance &amp; Traffic Delay'!L74</f>
        <v>#DIV/0!</v>
      </c>
      <c r="E86" s="86" t="e">
        <f ca="1">'Maintenance &amp; Traffic Delay'!L86</f>
        <v>#DIV/0!</v>
      </c>
      <c r="G86" s="50"/>
      <c r="H86" s="50"/>
      <c r="I86" s="50"/>
      <c r="J86" s="50"/>
    </row>
    <row r="87" spans="2:13" s="125" customFormat="1" outlineLevel="2" x14ac:dyDescent="0.35">
      <c r="G87" s="50"/>
      <c r="H87" s="50"/>
      <c r="I87" s="50"/>
      <c r="J87" s="50"/>
    </row>
    <row r="88" spans="2:13" s="125" customFormat="1" outlineLevel="2" x14ac:dyDescent="0.35">
      <c r="B88" s="341" t="s">
        <v>343</v>
      </c>
      <c r="C88" s="344" t="str">
        <f>Handle_Scenario1&amp;" - Scenario 1"&amp;" (kgCO2-eq)"</f>
        <v xml:space="preserve"> - Scenario 1 (kgCO2-eq)</v>
      </c>
      <c r="D88" s="342" t="str">
        <f>Handle_Scenario2&amp;" - Scenario 2"&amp;" (kgCO2-eq)"</f>
        <v xml:space="preserve"> - Scenario 2 (kgCO2-eq)</v>
      </c>
      <c r="E88" s="343" t="str">
        <f>Handle_Scenario3&amp;" - Scenario 3"&amp;" (kgCO2-eq)"</f>
        <v xml:space="preserve"> - Scenario 3 (kgCO2-eq)</v>
      </c>
      <c r="G88" s="50"/>
      <c r="H88" s="50"/>
      <c r="I88" s="50"/>
      <c r="J88" s="50"/>
    </row>
    <row r="89" spans="2:13" s="125" customFormat="1" outlineLevel="2" x14ac:dyDescent="0.35">
      <c r="B89" s="219" t="s">
        <v>16</v>
      </c>
      <c r="C89" s="197" t="e">
        <f ca="1">'Maintenance &amp; Traffic Delay'!J63</f>
        <v>#DIV/0!</v>
      </c>
      <c r="D89" s="197" t="e">
        <f ca="1">'Maintenance &amp; Traffic Delay'!J75</f>
        <v>#DIV/0!</v>
      </c>
      <c r="E89" s="198" t="e">
        <f ca="1">'Maintenance &amp; Traffic Delay'!J87</f>
        <v>#DIV/0!</v>
      </c>
      <c r="G89" s="50"/>
      <c r="H89" s="50"/>
      <c r="I89" s="50"/>
      <c r="J89" s="50"/>
    </row>
    <row r="90" spans="2:13" s="125" customFormat="1" outlineLevel="2" x14ac:dyDescent="0.35">
      <c r="B90" s="213" t="s">
        <v>334</v>
      </c>
      <c r="C90" s="83" t="e">
        <f ca="1">'Maintenance &amp; Traffic Delay'!K63</f>
        <v>#DIV/0!</v>
      </c>
      <c r="D90" s="83" t="e">
        <f ca="1">'Maintenance &amp; Traffic Delay'!K75</f>
        <v>#DIV/0!</v>
      </c>
      <c r="E90" s="84" t="e">
        <f ca="1">'Maintenance &amp; Traffic Delay'!K87</f>
        <v>#DIV/0!</v>
      </c>
      <c r="G90" s="50"/>
      <c r="H90" s="50"/>
      <c r="I90" s="50"/>
      <c r="J90" s="50"/>
    </row>
    <row r="91" spans="2:13" s="125" customFormat="1" outlineLevel="2" x14ac:dyDescent="0.35">
      <c r="B91" s="218" t="s">
        <v>337</v>
      </c>
      <c r="C91" s="85" t="e">
        <f ca="1">'Maintenance &amp; Traffic Delay'!L63</f>
        <v>#DIV/0!</v>
      </c>
      <c r="D91" s="85" t="e">
        <f ca="1">'Maintenance &amp; Traffic Delay'!L75</f>
        <v>#DIV/0!</v>
      </c>
      <c r="E91" s="86" t="e">
        <f ca="1">'Maintenance &amp; Traffic Delay'!L87</f>
        <v>#DIV/0!</v>
      </c>
      <c r="G91" s="50"/>
      <c r="H91" s="50"/>
      <c r="I91" s="50"/>
      <c r="J91" s="50"/>
    </row>
    <row r="92" spans="2:13" s="125" customFormat="1" outlineLevel="2" x14ac:dyDescent="0.35">
      <c r="G92" s="50"/>
      <c r="H92" s="50"/>
      <c r="I92" s="50"/>
      <c r="J92" s="50"/>
    </row>
    <row r="93" spans="2:13" s="125" customFormat="1" outlineLevel="2" x14ac:dyDescent="0.35">
      <c r="G93" s="50"/>
      <c r="H93" s="50"/>
      <c r="I93" s="50"/>
      <c r="J93" s="50"/>
    </row>
    <row r="94" spans="2:13" s="125" customFormat="1" outlineLevel="2" x14ac:dyDescent="0.35">
      <c r="B94" s="341" t="s">
        <v>344</v>
      </c>
      <c r="C94" s="344" t="str">
        <f>Handle_Scenario1&amp;" - Scenario 1"&amp;" (kgCO2-eq)"</f>
        <v xml:space="preserve"> - Scenario 1 (kgCO2-eq)</v>
      </c>
      <c r="D94" s="342" t="str">
        <f>Handle_Scenario2&amp;" - Scenario 2"&amp;" (kgCO2-eq)"</f>
        <v xml:space="preserve"> - Scenario 2 (kgCO2-eq)</v>
      </c>
      <c r="E94" s="343" t="str">
        <f>Handle_Scenario3&amp;" - Scenario 3"&amp;" (kgCO2-eq)"</f>
        <v xml:space="preserve"> - Scenario 3 (kgCO2-eq)</v>
      </c>
      <c r="G94" s="50"/>
      <c r="H94" s="50"/>
      <c r="I94" s="50"/>
      <c r="J94" s="50"/>
    </row>
    <row r="95" spans="2:13" s="125" customFormat="1" outlineLevel="2" x14ac:dyDescent="0.35">
      <c r="B95" s="219" t="s">
        <v>16</v>
      </c>
      <c r="C95" s="197" t="e">
        <f ca="1">'Maintenance &amp; Traffic Delay'!J64</f>
        <v>#DIV/0!</v>
      </c>
      <c r="D95" s="197" t="e">
        <f ca="1">'Maintenance &amp; Traffic Delay'!J76</f>
        <v>#DIV/0!</v>
      </c>
      <c r="E95" s="198" t="e">
        <f ca="1">'Maintenance &amp; Traffic Delay'!J88</f>
        <v>#DIV/0!</v>
      </c>
      <c r="G95" s="50"/>
      <c r="H95" s="50"/>
      <c r="I95" s="50"/>
      <c r="J95" s="50"/>
    </row>
    <row r="96" spans="2:13" s="125" customFormat="1" outlineLevel="2" x14ac:dyDescent="0.35">
      <c r="B96" s="213" t="s">
        <v>334</v>
      </c>
      <c r="C96" s="83" t="e">
        <f ca="1">'Maintenance &amp; Traffic Delay'!K64</f>
        <v>#DIV/0!</v>
      </c>
      <c r="D96" s="83" t="e">
        <f ca="1">'Maintenance &amp; Traffic Delay'!K76</f>
        <v>#DIV/0!</v>
      </c>
      <c r="E96" s="84" t="e">
        <f ca="1">'Maintenance &amp; Traffic Delay'!K88</f>
        <v>#DIV/0!</v>
      </c>
      <c r="G96" s="50"/>
      <c r="H96" s="50"/>
      <c r="I96" s="50"/>
      <c r="J96" s="50"/>
    </row>
    <row r="97" spans="1:13" s="125" customFormat="1" outlineLevel="2" x14ac:dyDescent="0.35">
      <c r="B97" s="218" t="s">
        <v>337</v>
      </c>
      <c r="C97" s="85" t="e">
        <f ca="1">'Maintenance &amp; Traffic Delay'!L64</f>
        <v>#DIV/0!</v>
      </c>
      <c r="D97" s="85" t="e">
        <f ca="1">'Maintenance &amp; Traffic Delay'!L76</f>
        <v>#DIV/0!</v>
      </c>
      <c r="E97" s="86" t="e">
        <f ca="1">'Maintenance &amp; Traffic Delay'!L88</f>
        <v>#DIV/0!</v>
      </c>
      <c r="G97" s="50"/>
      <c r="H97" s="50"/>
      <c r="I97" s="50"/>
      <c r="J97" s="50"/>
    </row>
    <row r="98" spans="1:13" s="125" customFormat="1" outlineLevel="2" x14ac:dyDescent="0.35">
      <c r="G98" s="50"/>
      <c r="H98" s="50"/>
      <c r="I98" s="50"/>
      <c r="J98" s="50"/>
    </row>
    <row r="99" spans="1:13" s="125" customFormat="1" outlineLevel="2" x14ac:dyDescent="0.35">
      <c r="G99" s="50"/>
      <c r="H99" s="50"/>
      <c r="I99" s="50"/>
      <c r="J99" s="50"/>
    </row>
    <row r="100" spans="1:13" s="125" customFormat="1" outlineLevel="2" x14ac:dyDescent="0.35">
      <c r="B100" s="341" t="s">
        <v>345</v>
      </c>
      <c r="C100" s="342" t="str">
        <f>Handle_Scenario1&amp;" - Scenario 1"&amp;" (kgCO2-eq)"</f>
        <v xml:space="preserve"> - Scenario 1 (kgCO2-eq)</v>
      </c>
      <c r="D100" s="342" t="str">
        <f>Handle_Scenario2&amp;" - Scenario 2"&amp;" (kgCO2-eq)"</f>
        <v xml:space="preserve"> - Scenario 2 (kgCO2-eq)</v>
      </c>
      <c r="E100" s="343" t="str">
        <f>Handle_Scenario3&amp;" - Scenario 3"&amp;" (kgCO2-eq)"</f>
        <v xml:space="preserve"> - Scenario 3 (kgCO2-eq)</v>
      </c>
      <c r="G100" s="50"/>
      <c r="H100" s="50"/>
      <c r="I100" s="50"/>
      <c r="J100" s="50"/>
    </row>
    <row r="101" spans="1:13" s="125" customFormat="1" outlineLevel="2" x14ac:dyDescent="0.35">
      <c r="B101" s="213" t="s">
        <v>16</v>
      </c>
      <c r="C101" s="83" t="e">
        <f ca="1">'Maintenance &amp; Traffic Delay'!J65</f>
        <v>#DIV/0!</v>
      </c>
      <c r="D101" s="83" t="e">
        <f ca="1">'Maintenance &amp; Traffic Delay'!J77</f>
        <v>#DIV/0!</v>
      </c>
      <c r="E101" s="84" t="e">
        <f ca="1">'Maintenance &amp; Traffic Delay'!J89</f>
        <v>#DIV/0!</v>
      </c>
      <c r="G101" s="50"/>
      <c r="H101" s="50"/>
      <c r="I101" s="50"/>
      <c r="J101" s="50"/>
    </row>
    <row r="102" spans="1:13" s="125" customFormat="1" outlineLevel="2" x14ac:dyDescent="0.35">
      <c r="B102" s="213" t="s">
        <v>334</v>
      </c>
      <c r="C102" s="83" t="e">
        <f ca="1">'Maintenance &amp; Traffic Delay'!K65</f>
        <v>#DIV/0!</v>
      </c>
      <c r="D102" s="83" t="e">
        <f ca="1">'Maintenance &amp; Traffic Delay'!K77</f>
        <v>#DIV/0!</v>
      </c>
      <c r="E102" s="84" t="e">
        <f ca="1">'Maintenance &amp; Traffic Delay'!K89</f>
        <v>#DIV/0!</v>
      </c>
      <c r="G102" s="50"/>
      <c r="H102" s="50"/>
      <c r="I102" s="50"/>
      <c r="J102" s="50"/>
    </row>
    <row r="103" spans="1:13" s="125" customFormat="1" outlineLevel="2" x14ac:dyDescent="0.35">
      <c r="B103" s="218" t="s">
        <v>337</v>
      </c>
      <c r="C103" s="85" t="e">
        <f ca="1">'Maintenance &amp; Traffic Delay'!L65</f>
        <v>#DIV/0!</v>
      </c>
      <c r="D103" s="85" t="e">
        <f ca="1">'Maintenance &amp; Traffic Delay'!L77</f>
        <v>#DIV/0!</v>
      </c>
      <c r="E103" s="86" t="e">
        <f ca="1">'Maintenance &amp; Traffic Delay'!L89</f>
        <v>#DIV/0!</v>
      </c>
      <c r="G103" s="50"/>
      <c r="H103" s="50"/>
      <c r="I103" s="50"/>
      <c r="J103" s="50"/>
    </row>
    <row r="104" spans="1:13" s="125" customFormat="1" outlineLevel="2" x14ac:dyDescent="0.35">
      <c r="G104" s="50"/>
      <c r="H104" s="50"/>
      <c r="I104" s="50"/>
      <c r="J104" s="50"/>
    </row>
    <row r="105" spans="1:13" s="125" customFormat="1" outlineLevel="2" x14ac:dyDescent="0.35">
      <c r="B105" s="341" t="s">
        <v>346</v>
      </c>
      <c r="C105" s="342" t="str">
        <f>Handle_Scenario1&amp;" - Scenario 1"&amp;" (kgCO2-eq)"</f>
        <v xml:space="preserve"> - Scenario 1 (kgCO2-eq)</v>
      </c>
      <c r="D105" s="342" t="str">
        <f>Handle_Scenario2&amp;" - Scenario 2"&amp;" (kgCO2-eq)"</f>
        <v xml:space="preserve"> - Scenario 2 (kgCO2-eq)</v>
      </c>
      <c r="E105" s="343" t="str">
        <f>Handle_Scenario3&amp;" - Scenario 3"&amp;" (kgCO2-eq)"</f>
        <v xml:space="preserve"> - Scenario 3 (kgCO2-eq)</v>
      </c>
      <c r="G105" s="50"/>
      <c r="H105" s="50"/>
      <c r="I105" s="50"/>
      <c r="J105" s="50"/>
    </row>
    <row r="106" spans="1:13" s="125" customFormat="1" outlineLevel="2" x14ac:dyDescent="0.35">
      <c r="B106" s="219" t="s">
        <v>16</v>
      </c>
      <c r="C106" s="197" t="e">
        <f ca="1">'Maintenance &amp; Traffic Delay'!J66</f>
        <v>#DIV/0!</v>
      </c>
      <c r="D106" s="197" t="e">
        <f ca="1">'Maintenance &amp; Traffic Delay'!J78</f>
        <v>#DIV/0!</v>
      </c>
      <c r="E106" s="198" t="e">
        <f ca="1">'Maintenance &amp; Traffic Delay'!J90</f>
        <v>#DIV/0!</v>
      </c>
      <c r="G106" s="50"/>
      <c r="H106" s="50"/>
      <c r="I106" s="50"/>
      <c r="J106" s="50"/>
    </row>
    <row r="107" spans="1:13" s="125" customFormat="1" outlineLevel="2" x14ac:dyDescent="0.35">
      <c r="B107" s="213" t="s">
        <v>334</v>
      </c>
      <c r="C107" s="83" t="e">
        <f ca="1">'Maintenance &amp; Traffic Delay'!K66</f>
        <v>#DIV/0!</v>
      </c>
      <c r="D107" s="83" t="e">
        <f ca="1">'Maintenance &amp; Traffic Delay'!K78</f>
        <v>#DIV/0!</v>
      </c>
      <c r="E107" s="84" t="e">
        <f ca="1">'Maintenance &amp; Traffic Delay'!K90</f>
        <v>#DIV/0!</v>
      </c>
      <c r="G107" s="50"/>
      <c r="H107" s="50"/>
      <c r="I107" s="50"/>
      <c r="J107" s="50"/>
    </row>
    <row r="108" spans="1:13" s="125" customFormat="1" outlineLevel="2" x14ac:dyDescent="0.35">
      <c r="B108" s="218" t="s">
        <v>337</v>
      </c>
      <c r="C108" s="85" t="e">
        <f ca="1">'Maintenance &amp; Traffic Delay'!L66</f>
        <v>#DIV/0!</v>
      </c>
      <c r="D108" s="85" t="e">
        <f ca="1">'Maintenance &amp; Traffic Delay'!L78</f>
        <v>#DIV/0!</v>
      </c>
      <c r="E108" s="86" t="e">
        <f ca="1">'Maintenance &amp; Traffic Delay'!L90</f>
        <v>#DIV/0!</v>
      </c>
      <c r="G108" s="50"/>
      <c r="H108" s="50"/>
      <c r="I108" s="50"/>
      <c r="J108" s="50"/>
    </row>
    <row r="109" spans="1:13" s="50" customFormat="1" outlineLevel="1" x14ac:dyDescent="0.35">
      <c r="A109" s="379" t="s">
        <v>323</v>
      </c>
      <c r="M109"/>
    </row>
    <row r="110" spans="1:13" s="50" customFormat="1" outlineLevel="1" x14ac:dyDescent="0.35">
      <c r="B110" s="345" t="s">
        <v>347</v>
      </c>
      <c r="C110" s="339" t="str">
        <f>Handle_Scenario1&amp;" - Scenario 1"&amp;" (kgCO2-eq)"</f>
        <v xml:space="preserve"> - Scenario 1 (kgCO2-eq)</v>
      </c>
      <c r="D110" s="339" t="str">
        <f>Handle_Scenario2&amp;" - Scenario 2"&amp;" (kgCO2-eq)"</f>
        <v xml:space="preserve"> - Scenario 2 (kgCO2-eq)</v>
      </c>
      <c r="E110" s="340" t="str">
        <f>Handle_Scenario3&amp;" - Scenario 3"&amp;" (kgCO2-eq)"</f>
        <v xml:space="preserve"> - Scenario 3 (kgCO2-eq)</v>
      </c>
    </row>
    <row r="111" spans="1:13" s="50" customFormat="1" outlineLevel="1" x14ac:dyDescent="0.35">
      <c r="B111" s="199" t="s">
        <v>348</v>
      </c>
      <c r="C111" s="197">
        <f ca="1">'Maintenance &amp; Traffic Delay'!D23</f>
        <v>0</v>
      </c>
      <c r="D111" s="197">
        <f ca="1">'Maintenance &amp; Traffic Delay'!E23</f>
        <v>0</v>
      </c>
      <c r="E111" s="198">
        <f ca="1">'Maintenance &amp; Traffic Delay'!F23</f>
        <v>0</v>
      </c>
    </row>
    <row r="112" spans="1:13" s="50" customFormat="1" outlineLevel="1" x14ac:dyDescent="0.35">
      <c r="B112" s="157" t="s">
        <v>349</v>
      </c>
      <c r="C112" s="85">
        <f ca="1">'Maintenance &amp; Traffic Delay'!D24</f>
        <v>0</v>
      </c>
      <c r="D112" s="85">
        <f ca="1">'Maintenance &amp; Traffic Delay'!E24</f>
        <v>0</v>
      </c>
      <c r="E112" s="86">
        <f ca="1">'Maintenance &amp; Traffic Delay'!F24</f>
        <v>0</v>
      </c>
    </row>
    <row r="113" spans="2:10" s="50" customFormat="1" outlineLevel="1" x14ac:dyDescent="0.35"/>
    <row r="114" spans="2:10" s="50" customFormat="1" outlineLevel="1" x14ac:dyDescent="0.35">
      <c r="B114" s="345" t="s">
        <v>350</v>
      </c>
      <c r="C114" s="339" t="str">
        <f>Handle_Scenario1&amp;" - Scenario 1"&amp;" (kgCO2-eq)"</f>
        <v xml:space="preserve"> - Scenario 1 (kgCO2-eq)</v>
      </c>
      <c r="D114" s="339" t="str">
        <f>Handle_Scenario2&amp;" - Scenario 2"&amp;" (kgCO2-eq)"</f>
        <v xml:space="preserve"> - Scenario 2 (kgCO2-eq)</v>
      </c>
      <c r="E114" s="340" t="str">
        <f>Handle_Scenario3&amp;" - Scenario 3"&amp;" (kgCO2-eq)"</f>
        <v xml:space="preserve"> - Scenario 3 (kgCO2-eq)</v>
      </c>
    </row>
    <row r="115" spans="2:10" s="50" customFormat="1" outlineLevel="1" x14ac:dyDescent="0.35">
      <c r="B115" s="156" t="s">
        <v>351</v>
      </c>
      <c r="C115" s="85" t="e">
        <f>IF(SUM(C20:C24)=0, 0, 'Surface Roughness'!B92)</f>
        <v>#DIV/0!</v>
      </c>
      <c r="D115" s="85" t="e">
        <f>IF(SUM(D20:D24)=0, 0, 'Surface Roughness'!B93)</f>
        <v>#DIV/0!</v>
      </c>
      <c r="E115" s="86" t="e">
        <f>IF(SUM(E20:E24)=0, 0, 'Surface Roughness'!B94)</f>
        <v>#DIV/0!</v>
      </c>
    </row>
    <row r="116" spans="2:10" s="50" customFormat="1" outlineLevel="1" x14ac:dyDescent="0.35"/>
    <row r="117" spans="2:10" s="50" customFormat="1" outlineLevel="1" x14ac:dyDescent="0.35">
      <c r="B117" s="345" t="s">
        <v>352</v>
      </c>
      <c r="C117" s="339" t="str">
        <f>Handle_Scenario1&amp;" - Scenario 1"&amp;" (kgCO2-eq)"</f>
        <v xml:space="preserve"> - Scenario 1 (kgCO2-eq)</v>
      </c>
      <c r="D117" s="339" t="str">
        <f>Handle_Scenario2&amp;" - Scenario 2"&amp;" (kgCO2-eq)"</f>
        <v xml:space="preserve"> - Scenario 2 (kgCO2-eq)</v>
      </c>
      <c r="E117" s="340" t="str">
        <f>Handle_Scenario3&amp;" - Scenario 3"&amp;" (kgCO2-eq)"</f>
        <v xml:space="preserve"> - Scenario 3 (kgCO2-eq)</v>
      </c>
    </row>
    <row r="118" spans="2:10" s="50" customFormat="1" outlineLevel="1" x14ac:dyDescent="0.35">
      <c r="B118" s="156" t="s">
        <v>353</v>
      </c>
      <c r="C118" s="79">
        <f ca="1">((E_modulus_Prim/40114)^-0.25)*((Subgrade_stiffness_Prim/35)^-0.25)*((Surface_thickness_Prim/0.22)^-0.75)*E40_PVI_deflec*Area_trans*delflec_switch</f>
        <v>0</v>
      </c>
      <c r="D118" s="79">
        <f ca="1">((E_modulus_Sec/40114)^-0.25)*((Subgrade_stiffness_Sec/35)^-0.25)*((Surface_thickness_Sec/0.22)^-0.75)*E40_PVI_deflec*Area_trans*delflec_switch</f>
        <v>0</v>
      </c>
      <c r="E118" s="80">
        <f ca="1">((E_modulus_Tert/40114)^-0.25)*((Subgrade_stiffness_Tert/35)^-0.25)*((Surface_thickness_Tert/0.22)^-0.75)*E40_PVI_deflec*Area_trans*delflec_switch</f>
        <v>0</v>
      </c>
    </row>
    <row r="119" spans="2:10" s="50" customFormat="1" outlineLevel="1" x14ac:dyDescent="0.35"/>
    <row r="120" spans="2:10" s="50" customFormat="1" outlineLevel="1" x14ac:dyDescent="0.35">
      <c r="B120" s="381" t="s">
        <v>354</v>
      </c>
      <c r="C120" s="382" t="str">
        <f>Handle_Scenario1&amp;" - Scenario 1"&amp;" (kgCO2-eq)"</f>
        <v xml:space="preserve"> - Scenario 1 (kgCO2-eq)</v>
      </c>
      <c r="D120" s="382" t="str">
        <f>Handle_Scenario2&amp;" - Scenario 2"&amp;" (kgCO2-eq)"</f>
        <v xml:space="preserve"> - Scenario 2 (kgCO2-eq)</v>
      </c>
      <c r="E120" s="383" t="str">
        <f>Handle_Scenario3&amp;" - Scenario 3"&amp;" (kgCO2-eq)"</f>
        <v xml:space="preserve"> - Scenario 3 (kgCO2-eq)</v>
      </c>
    </row>
    <row r="121" spans="2:10" s="50" customFormat="1" outlineLevel="1" x14ac:dyDescent="0.35">
      <c r="B121" s="160" t="s">
        <v>355</v>
      </c>
      <c r="C121" s="197" t="e" cm="1">
        <f t="array" ref="C121">(SUM(Prim_Materials[Thickness of Layer (mm)]*(INDEX(--(Prim_EoL="Removed"),0,1)+IF(Prim_Lays&gt;1,INDEX(--(Prim_EoL="Removed"),0,2),0)+IF(Prim_Lays&gt;=3,--(INDEX(Prim_EoL,0,3)="Removed")*(Prim_Lays-2),0)))/1000)*Project_Area*EoL_diesel_combustion*Diesel_density*INDEX(Indicators,MATCH(EPD_version&amp;"GWP",Materials!$D:$D,0),MATCH("Diesel Combustion",Materials!$1:$1,0))*((1-enviro_disc)^(Prim_Life))*Area_trans</f>
        <v>#DIV/0!</v>
      </c>
      <c r="D121" s="197" t="e" cm="1">
        <f t="array" ref="D121">(SUM(Sec_Materials[Thickness of Layer (mm)]*(INDEX(--(Sec_EoL="Removed"),0,1)+IF(Sec_Lays&gt;1,INDEX(--(Sec_EoL="Removed"),0,2),0)+IF(Sec_Lays&gt;=3,--(INDEX(Sec_EoL,0,3)="Removed")*(Sec_Lays-2),0)))/1000)*Project_Area*EoL_diesel_combustion*Diesel_density*INDEX(Indicators,MATCH(EPD_version&amp;"GWP",Materials!$D:$D,0),MATCH("Diesel Combustion",Materials!$1:$1,0))*((1-enviro_disc)^(Sec_Life))*Area_trans</f>
        <v>#DIV/0!</v>
      </c>
      <c r="E121" s="198" t="e" cm="1">
        <f t="array" ref="E121">(SUM(Tert_Materials[Thickness of Layer (mm)]*(INDEX(--(Tert_EoL="Removed"),0,1)+IF(Tert_Lays&gt;1,INDEX(--(Tert_EoL="Removed"),0,2),0)+IF(Tert_Lays&gt;=3,--(INDEX(Tert_EoL,0,3)="Removed")*(Tert_Lays-2),0)))/1000)*Project_Area*EoL_diesel_combustion*Diesel_density*INDEX(Indicators,MATCH(EPD_version&amp;"GWP",Materials!$D:$D,0),MATCH("Diesel Combustion",Materials!$1:$1,0))*((1-enviro_disc)^(Tert_life))*Area_trans</f>
        <v>#DIV/0!</v>
      </c>
    </row>
    <row r="122" spans="2:10" s="50" customFormat="1" outlineLevel="1" x14ac:dyDescent="0.35">
      <c r="B122" s="158" t="s">
        <v>356</v>
      </c>
      <c r="C122" s="83" t="e" cm="1">
        <f t="array" ref="C122">SUM((Prim_Materials[Thickness of Layer (mm)]*(INDEX(--(Prim_EoL="Removed"),0,1)+IF(Prim_Lays&gt;1,INDEX(--(Prim_EoL="Removed"),0,2),0)+IF(Prim_Lays&gt;=3,--(INDEX(Prim_EoL,0,3)="Removed")*(Prim_Lays-2),0))/1000)*INDEX(Materials!$1:$2,2,MATCH(Prim_Materials[Material],Materials!$1:$1,0))*IF(RCC_switch_Prim=TRUE,INDEX(Prim_Materials[],0,2)&lt;&gt;"Concrete",1))*Area_trans*EoL_Recyc_distance_Prim*EoL_recycl_rate_Prim*Project_Area*INDEX(Indicators,MATCH(EPD_version&amp;"GWP",Materials!$D:$D,0),MATCH(EoL_treatment_Prim,Materials!$1:$1,0))</f>
        <v>#DIV/0!</v>
      </c>
      <c r="D122" s="83" t="e" cm="1">
        <f t="array" ref="D122">SUM((Sec_Materials[Thickness of Layer (mm)]*(INDEX(--(Sec_EoL="Removed"),0,1)+IF(Sec_Lays&gt;1,INDEX(--(Sec_EoL="Removed"),0,2),0)+IF(Sec_Lays&gt;=3,--(INDEX(Sec_EoL,0,3)="Removed")*(Sec_Lays-2),0))/1000)*INDEX(Materials!$1:$2,2,MATCH(Sec_Materials[Material],Materials!$1:$1,0)))*Area_trans*EoL_Recyc_distance_Sec*EoL_recycl_rate_Sec*Project_Area*INDEX(Indicators,MATCH(EPD_version&amp;"GWP",Materials!$D:$D,0),MATCH(EoL_Treatment_Sec,Materials!$1:$1,0))</f>
        <v>#DIV/0!</v>
      </c>
      <c r="E122" s="84" t="e" cm="1">
        <f t="array" ref="E122">SUM((Tert_Materials[Thickness of Layer (mm)]*(INDEX(--(Tert_EoL="Removed"),0,1)+IF(Tert_Lays&gt;1,INDEX(--(Tert_EoL="Removed"),0,2),0)+IF(Tert_Lays&gt;=3,--(INDEX(Tert_EoL,0,3)="Removed")*(Tert_Lays-2),0))/1000)*INDEX(Materials!$1:$2,2,MATCH(Tert_Materials[Material],Materials!$1:$1,0)))*Area_trans*EoL_Recyc_distance_Tert*EoL_recycl_rate_Tert*Project_Area*INDEX(Indicators,MATCH(EPD_version&amp;"GWP",Materials!$D:$D,0),MATCH(EoL_Treatment_Tert,Materials!$1:$1,0))</f>
        <v>#DIV/0!</v>
      </c>
    </row>
    <row r="123" spans="2:10" s="50" customFormat="1" outlineLevel="1" x14ac:dyDescent="0.35">
      <c r="B123" s="158" t="s">
        <v>357</v>
      </c>
      <c r="C123" s="380" t="e" cm="1">
        <f t="array" ref="C123">SUM((Prim_Materials[Thickness of Layer (mm)]*(INDEX(--(Prim_EoL="Removed"),0,1)+IF(Prim_Lays&gt;1,INDEX(--(Prim_EoL="Removed"),0,2),0)+IF(Prim_Lays&gt;=3,--(INDEX(Prim_EoL,0,3)="Removed")*(Prim_Lays-2),0))/1000)*INDEX(Materials!$1:$2,2,MATCH(Prim_Materials[Material],Materials!$1:$1,0))*IF(RCC_switch_Prim=TRUE,INDEX(Prim_Materials[],0,2)&lt;&gt;"Concrete",1))*Area_trans*EoL_Landfill_distance_Prim*(1-EoL_recycl_rate_Prim)*Project_Area*INDEX(Indicators,MATCH(EPD_version&amp;"GWP",Materials!$D:$D,0),MATCH(EoL_treatment_Prim,Materials!$1:$1,0))</f>
        <v>#DIV/0!</v>
      </c>
      <c r="D123" s="380" t="e" cm="1">
        <f t="array" ref="D123">SUM((Sec_Materials[Thickness of Layer (mm)]*(INDEX(--(Sec_EoL="Removed"),0,1)+IF(Sec_Lays&gt;1,INDEX(--(Sec_EoL="Removed"),0,2),0)+IF(Sec_Lays&gt;=3,--(INDEX(Sec_EoL,0,3)="Removed")*(Sec_Lays-2),0))/1000)*INDEX(Materials!$1:$2,2,MATCH(Sec_Materials[Material],Materials!$1:$1,0)))*Area_trans*EoL_Landfill_distance_Sec*(1-EoL_recycl_rate_Sec)*Project_Area*INDEX(Indicators,MATCH(EPD_version&amp;"GWP",Materials!$D:$D,0),MATCH(EoL_Treatment_Sec,Materials!$1:$1,0))</f>
        <v>#DIV/0!</v>
      </c>
      <c r="E123" s="384" t="e" cm="1">
        <f t="array" ref="E123">SUM((Tert_Materials[Thickness of Layer (mm)]*(INDEX(--(Tert_EoL="Removed"),0,1)+IF(Tert_Lays&gt;1,INDEX(--(Tert_EoL="Removed"),0,2),0)+IF(Tert_Lays&gt;=3,--(INDEX(Tert_EoL,0,3)="Removed")*(Tert_Lays-2),0))/1000)*INDEX(Materials!$1:$2,2,MATCH(Tert_Materials[Material],Materials!$1:$1,0)))*Area_trans*EoL_Landfill_distance_Tert*(1-EoL_recycl_rate_Tert)*Project_Area*INDEX(Indicators,MATCH(EPD_version&amp;"GWP",Materials!$D:$D,0),MATCH(EoL_Treatment_Tert,Materials!$1:$1,0))</f>
        <v>#DIV/0!</v>
      </c>
    </row>
    <row r="124" spans="2:10" s="50" customFormat="1" outlineLevel="1" x14ac:dyDescent="0.35">
      <c r="B124" s="159" t="s">
        <v>358</v>
      </c>
      <c r="C124" s="81" t="e" cm="1">
        <f t="array" ref="C124">SUM(((Prim_Materials[Thickness of Layer (mm)]*(INDEX(--(Prim_EoL="Removed"),0,1)+IF(Prim_Lays&gt;1,INDEX(--(Prim_EoL="Removed"),0,2),0)+IF(Prim_Lays&gt;=3,--(INDEX(Prim_EoL,0,3)="Removed")*(Prim_Lays-2),0))/1000)*INDEX(Materials!$1:$2,2,MATCH(Prim_Materials[Material],Materials!$1:$1,0)))*IF(RCC_switch_Prim=TRUE,INDEX(Prim_Materials[],0,2)="Concrete",1))*INDEX(Indicators,MATCH(EPD_version&amp;"GWP",Materials!$D:$D,0),MATCH("Diesel Combustion",Materials!$1:$1,0))*Diesel_density*0.5</f>
        <v>#DIV/0!</v>
      </c>
      <c r="D124" s="81" t="e" cm="1">
        <f t="array" ref="D124">SUM(((Sec_Materials[Thickness of Layer (mm)]*(INDEX(--(Sec_EoL="Removed"),0,1)+IF(Sec_Lays&gt;1,INDEX(--(Sec_EoL="Removed"),0,2),0)+IF(Sec_Lays&gt;=3,--(INDEX(Sec_EoL,0,3)="Removed")*(Sec_Lays-2),0))/1000)*INDEX(Materials!$1:$2,2,MATCH(Sec_Materials[Material],Materials!$1:$1,0)))*IF(RCC_switch_Sec=TRUE,INDEX(Sec_Materials[],0,2)="Concrete",1))*INDEX(Indicators,MATCH(EPD_version&amp;"GWP",Materials!$D:$D,0),MATCH("Diesel Combustion",Materials!$1:$1,0))*Diesel_density*0.5</f>
        <v>#DIV/0!</v>
      </c>
      <c r="E124" s="82" t="e" cm="1">
        <f t="array" ref="E124">SUM(((Tert_Materials[Thickness of Layer (mm)]*(INDEX(--(Tert_EoL="Removed"),0,1)+IF(Tert_Lays&gt;1,INDEX(--(Tert_EoL="Removed"),0,2),0)+IF(Tert_Lays&gt;=3,--(INDEX(Tert_EoL,0,3)="Removed")*(Tert_Lays-2),0))/1000)*INDEX(Materials!$1:$2,2,MATCH(Tert_Materials[Material],Materials!$1:$1,0)))*IF(RCC_switch_Tert=TRUE,INDEX(Tert_Materials[],0,2)="Concrete",1))*INDEX(Indicators,MATCH(EPD_version&amp;"GWP",Materials!$D:$D,0),MATCH("Diesel Combustion",Materials!$1:$1,0))*Diesel_density*0.5</f>
        <v>#DIV/0!</v>
      </c>
    </row>
    <row r="125" spans="2:10" s="50" customFormat="1" outlineLevel="1" x14ac:dyDescent="0.35"/>
    <row r="126" spans="2:10" s="50" customFormat="1" outlineLevel="1" x14ac:dyDescent="0.35"/>
    <row r="127" spans="2:10" s="50" customFormat="1" x14ac:dyDescent="0.35">
      <c r="B127" s="379" t="s">
        <v>359</v>
      </c>
      <c r="J127" s="180"/>
    </row>
    <row r="128" spans="2:10" s="50" customFormat="1" x14ac:dyDescent="0.35">
      <c r="J128" s="180"/>
    </row>
    <row r="129" spans="9:10" s="50" customFormat="1" x14ac:dyDescent="0.35">
      <c r="I129" s="180"/>
    </row>
    <row r="130" spans="9:10" s="50" customFormat="1" x14ac:dyDescent="0.35"/>
    <row r="131" spans="9:10" s="50" customFormat="1" x14ac:dyDescent="0.35"/>
    <row r="132" spans="9:10" s="50" customFormat="1" x14ac:dyDescent="0.35"/>
    <row r="133" spans="9:10" s="50" customFormat="1" x14ac:dyDescent="0.35"/>
    <row r="134" spans="9:10" s="50" customFormat="1" x14ac:dyDescent="0.35"/>
    <row r="135" spans="9:10" s="50" customFormat="1" x14ac:dyDescent="0.35"/>
    <row r="136" spans="9:10" s="50" customFormat="1" x14ac:dyDescent="0.35"/>
    <row r="137" spans="9:10" s="50" customFormat="1" x14ac:dyDescent="0.35">
      <c r="I137" s="226"/>
      <c r="J137" s="180"/>
    </row>
    <row r="138" spans="9:10" s="50" customFormat="1" x14ac:dyDescent="0.35"/>
    <row r="139" spans="9:10" s="50" customFormat="1" x14ac:dyDescent="0.35"/>
    <row r="140" spans="9:10" s="50" customFormat="1" x14ac:dyDescent="0.35"/>
    <row r="141" spans="9:10" s="50" customFormat="1" x14ac:dyDescent="0.35"/>
    <row r="142" spans="9:10" s="50" customFormat="1" x14ac:dyDescent="0.35"/>
    <row r="143" spans="9:10" s="50" customFormat="1" x14ac:dyDescent="0.35"/>
    <row r="144" spans="9:10" s="50" customFormat="1" x14ac:dyDescent="0.35"/>
    <row r="145" s="50" customFormat="1" x14ac:dyDescent="0.35"/>
    <row r="146" s="50" customFormat="1" x14ac:dyDescent="0.35"/>
    <row r="147" s="50" customFormat="1" x14ac:dyDescent="0.35"/>
    <row r="148" s="50" customFormat="1" x14ac:dyDescent="0.35"/>
    <row r="149" s="50" customFormat="1" x14ac:dyDescent="0.35"/>
    <row r="150" s="50" customFormat="1" x14ac:dyDescent="0.35"/>
    <row r="151" s="50" customFormat="1" x14ac:dyDescent="0.35"/>
    <row r="152" s="50" customFormat="1" x14ac:dyDescent="0.35"/>
    <row r="153" s="50" customFormat="1" x14ac:dyDescent="0.35"/>
    <row r="154" s="50" customFormat="1" x14ac:dyDescent="0.35"/>
    <row r="155" s="50" customFormat="1" x14ac:dyDescent="0.35"/>
    <row r="156" s="50" customFormat="1" x14ac:dyDescent="0.35"/>
    <row r="157" s="50" customFormat="1" x14ac:dyDescent="0.35"/>
    <row r="158" s="50" customFormat="1" x14ac:dyDescent="0.35"/>
    <row r="159" s="50" customFormat="1" x14ac:dyDescent="0.35"/>
    <row r="160" s="50" customFormat="1" x14ac:dyDescent="0.35"/>
    <row r="161" spans="2:7" s="50" customFormat="1" x14ac:dyDescent="0.35">
      <c r="B161" s="108" t="s">
        <v>360</v>
      </c>
    </row>
    <row r="162" spans="2:7" s="50" customFormat="1" x14ac:dyDescent="0.35"/>
    <row r="163" spans="2:7" s="50" customFormat="1" x14ac:dyDescent="0.35">
      <c r="B163" s="140" t="s">
        <v>361</v>
      </c>
      <c r="C163" s="171" t="str">
        <f>Handle_Scenario1&amp;" - Scenario 1"</f>
        <v xml:space="preserve"> - Scenario 1</v>
      </c>
      <c r="D163" s="171" t="str">
        <f>Handle_Scenario2&amp;" - Scenario 2"</f>
        <v xml:space="preserve"> - Scenario 2</v>
      </c>
      <c r="E163" s="172" t="str">
        <f>Handle_Scenario3&amp;" - Scenario 3"</f>
        <v xml:space="preserve"> - Scenario 3</v>
      </c>
    </row>
    <row r="164" spans="2:7" s="50" customFormat="1" x14ac:dyDescent="0.35">
      <c r="B164" s="169" t="s">
        <v>362</v>
      </c>
      <c r="C164" s="1" t="e">
        <f ca="1">'Additional Impact Indicators'!AS60</f>
        <v>#DIV/0!</v>
      </c>
      <c r="D164" s="1" t="e">
        <f ca="1">'Additional Impact Indicators'!CO60</f>
        <v>#DIV/0!</v>
      </c>
      <c r="E164" s="212">
        <f>'Additional Impact Indicators'!CP60</f>
        <v>0</v>
      </c>
    </row>
    <row r="165" spans="2:7" s="50" customFormat="1" x14ac:dyDescent="0.35">
      <c r="B165" s="168" t="s">
        <v>363</v>
      </c>
      <c r="C165" s="304" t="e">
        <f ca="1">'Additional Impact Indicators'!AS40</f>
        <v>#DIV/0!</v>
      </c>
      <c r="D165" s="304" t="e">
        <f ca="1">'Additional Impact Indicators'!CO40</f>
        <v>#DIV/0!</v>
      </c>
      <c r="E165" s="305">
        <f>'Additional Impact Indicators'!CP40</f>
        <v>0</v>
      </c>
    </row>
    <row r="166" spans="2:7" s="50" customFormat="1" x14ac:dyDescent="0.35"/>
    <row r="167" spans="2:7" s="50" customFormat="1" x14ac:dyDescent="0.35"/>
    <row r="168" spans="2:7" s="50" customFormat="1" ht="73.5" customHeight="1" x14ac:dyDescent="0.35">
      <c r="B168" s="440" t="s">
        <v>364</v>
      </c>
      <c r="C168" s="173" t="str">
        <f>Handle_Scenario1&amp;" - Scenario 1"</f>
        <v xml:space="preserve"> - Scenario 1</v>
      </c>
      <c r="D168" s="173" t="str">
        <f>Handle_Scenario2&amp;" - Scenario 2"</f>
        <v xml:space="preserve"> - Scenario 2</v>
      </c>
      <c r="E168" s="174" t="str">
        <f>Handle_Scenario3&amp;" - Scenario 3"</f>
        <v xml:space="preserve"> - Scenario 3</v>
      </c>
      <c r="F168" s="673" t="s">
        <v>365</v>
      </c>
      <c r="G168" s="674"/>
    </row>
    <row r="169" spans="2:7" s="50" customFormat="1" x14ac:dyDescent="0.35">
      <c r="B169" s="222" t="s">
        <v>366</v>
      </c>
      <c r="C169" s="405" t="e">
        <f ca="1">451*VLOOKUP("A2Consequential"&amp;F169,'Additional Impact Indicators'!$A:$AT,45,FALSE)</f>
        <v>#DIV/0!</v>
      </c>
      <c r="D169" s="405" t="e">
        <f ca="1">451*VLOOKUP("A2Consequential"&amp;F169,'Additional Impact Indicators'!$AW:$CO,45,FALSE)</f>
        <v>#DIV/0!</v>
      </c>
      <c r="E169" s="406" t="e">
        <f ca="1">451*VLOOKUP("A2Consequential"&amp;F169,'Additional Impact Indicators'!$CT:$EL,45,FALSE)</f>
        <v>#DIV/0!</v>
      </c>
      <c r="F169" s="109" t="s">
        <v>367</v>
      </c>
      <c r="G169" s="388"/>
    </row>
    <row r="170" spans="2:7" s="50" customFormat="1" ht="16.5" x14ac:dyDescent="0.45">
      <c r="B170" s="168" t="s">
        <v>368</v>
      </c>
      <c r="C170" s="441" t="e">
        <f>65.99*C28</f>
        <v>#DIV/0!</v>
      </c>
      <c r="D170" s="441" t="e">
        <f>65.99*D28</f>
        <v>#DIV/0!</v>
      </c>
      <c r="E170" s="442" t="e">
        <f>65.99*E28</f>
        <v>#DIV/0!</v>
      </c>
    </row>
    <row r="171" spans="2:7" s="50" customFormat="1" x14ac:dyDescent="0.35">
      <c r="B171" s="170" t="s">
        <v>363</v>
      </c>
      <c r="C171" s="306" t="s">
        <v>126</v>
      </c>
      <c r="D171" s="306" t="s">
        <v>126</v>
      </c>
      <c r="E171" s="307" t="s">
        <v>126</v>
      </c>
    </row>
    <row r="172" spans="2:7" s="50" customFormat="1" x14ac:dyDescent="0.35">
      <c r="B172" s="97"/>
      <c r="C172" s="108"/>
    </row>
    <row r="173" spans="2:7" s="50" customFormat="1" x14ac:dyDescent="0.35">
      <c r="B173" s="97"/>
      <c r="C173" s="108"/>
    </row>
    <row r="174" spans="2:7" s="50" customFormat="1" x14ac:dyDescent="0.35">
      <c r="B174" s="140" t="s">
        <v>369</v>
      </c>
      <c r="C174" s="171" t="str">
        <f>Handle_Scenario1&amp;" - Scenario 1"</f>
        <v xml:space="preserve"> - Scenario 1</v>
      </c>
      <c r="D174" s="171" t="str">
        <f>Handle_Scenario2&amp;" - Scenario 2"</f>
        <v xml:space="preserve"> - Scenario 2</v>
      </c>
      <c r="E174" s="172" t="str">
        <f>Handle_Scenario3&amp;" - Scenario 3"</f>
        <v xml:space="preserve"> - Scenario 3</v>
      </c>
    </row>
    <row r="175" spans="2:7" s="50" customFormat="1" ht="16.5" x14ac:dyDescent="0.35">
      <c r="B175" s="227" t="s">
        <v>370</v>
      </c>
      <c r="C175" s="228" t="e" cm="1">
        <f t="array" ref="C175">SUM(((Prim_Materials[Thickness of Layer (mm)]+Prim_Materials[Thickness of Layer (mm)]*(IF(Prim_Lays&gt;1,INDEX(--(Prim_EoL="Removed"),0,1),0)+IF(Prim_Lays&gt;2,INDEX(--(Prim_EoL="Removed"),0,2),0)+IF(Prim_Lays&gt;=3,--(INDEX(Prim_EoL,0,3)="Removed")*(Prim_Lays-3),0)))/1000)*Project_Area*Area_trans*(--(INDEX(Prim_Materials[],0,2)="Aggregate (7mm)")+--(INDEX(Prim_Materials[],0,2)="Aggregate (10mm)")+--(INDEX(Prim_Materials[],0,2)="Aggregate (14mm)")+--(INDEX(Prim_Materials[],0,2)="Aggregate (20mm)")))</f>
        <v>#DIV/0!</v>
      </c>
      <c r="D175" s="228" t="e" cm="1">
        <f t="array" ref="D175">SUM(((Sec_Materials[Thickness of Layer (mm)]+Sec_Materials[Thickness of Layer (mm)]*(IF(Sec_Lays&gt;1,INDEX(--(Sec_EoL="Removed"),0,1),0)+IF(Sec_Lays&gt;2,INDEX(--(Sec_EoL="Removed"),0,2),0)+IF(Sec_Lays&gt;=3,--(INDEX(Sec_EoL,0,3)="Removed")*(Sec_Lays-3),0)))/1000)*Project_Area*Area_trans*(--(INDEX(Sec_Materials[],0,2)="Aggregate (7mm)")+--(INDEX(Sec_Materials[],0,2)="Aggregate (10mm)")+--(INDEX(Sec_Materials[],0,2)="Aggregate (14mm)")+--(INDEX(Sec_Materials[],0,2)="Aggregate (20mm)")))</f>
        <v>#DIV/0!</v>
      </c>
      <c r="E175" s="230" t="e" cm="1">
        <f t="array" ref="E175">SUM(((Tert_Materials[Thickness of Layer (mm)]+Tert_Materials[Thickness of Layer (mm)]*(IF(Tert_Lays&gt;1,INDEX(--(Tert_EoL="Removed"),0,1),0)+IF(Tert_Lays&gt;2,INDEX(--(Tert_EoL="Removed"),0,2),0)+IF(Tert_Lays&gt;=3,--(INDEX(Tert_EoL,0,3)="Removed")*(Tert_Lays-3),0)))/1000)*Project_Area*Area_trans*(--(INDEX(Tert_Materials[],0,2)="Aggregate (7mm)")+--(INDEX(Tert_Materials[],0,2)="Aggregate (10mm)")+--(INDEX(Tert_Materials[],0,2)="Aggregate (14mm)")+--(INDEX(Tert_Materials[],0,2)="Aggregate (20mm)")))</f>
        <v>#DIV/0!</v>
      </c>
    </row>
    <row r="176" spans="2:7" s="50" customFormat="1" ht="16.5" x14ac:dyDescent="0.35">
      <c r="B176" s="169" t="s">
        <v>371</v>
      </c>
      <c r="C176" s="166" t="e" cm="1">
        <f t="array" ref="C176">SUM(((Prim_Materials[Thickness of Layer (mm)]+Prim_Materials[Thickness of Layer (mm)]*(IF(Prim_Lays&gt;1,INDEX(--(Prim_EoL="Removed"),0,1),0)+IF(Prim_Lays&gt;2,INDEX(--(Prim_EoL="Removed"),0,2),0)+IF(Prim_Lays&gt;=3,--(INDEX(Prim_EoL,0,3)="Removed")*(Prim_Lays-3),0)))/1000)*Project_Area*Area_trans*--(INDEX(Prim_Materials[],0,2)="Sand"))</f>
        <v>#DIV/0!</v>
      </c>
      <c r="D176" s="166" t="e" cm="1">
        <f t="array" ref="D176">SUM(((Sec_Materials[Thickness of Layer (mm)]+Sec_Materials[Thickness of Layer (mm)]*(IF(Sec_Lays&gt;1,INDEX(--(Sec_EoL="Removed"),0,1),0)+IF(Sec_Lays&gt;2,INDEX(--(Sec_EoL="Removed"),0,2),0)+IF(Sec_Lays&gt;=3,--(INDEX(Sec_EoL,0,3)="Removed")*(Sec_Lays-3),0)))/1000)*Project_Area*Area_trans*--(INDEX(Sec_Materials[],0,2)="Sand"))</f>
        <v>#DIV/0!</v>
      </c>
      <c r="E176" s="231" t="e" cm="1">
        <f t="array" ref="E176">SUM(((Tert_Materials[Thickness of Layer (mm)]+Tert_Materials[Thickness of Layer (mm)]*(IF(Tert_Lays&gt;1,INDEX(--(Tert_EoL="Removed"),0,1),0)+IF(Tert_Lays&gt;2,INDEX(--(Tert_EoL="Removed"),0,2),0)+IF(Tert_Lays&gt;=3,--(INDEX(Tert_EoL,0,3)="Removed")*(Tert_Lays-3),0)))/1000)*Project_Area*Area_trans*--(INDEX(Tert_Materials[],0,2)="Sand"))</f>
        <v>#DIV/0!</v>
      </c>
    </row>
    <row r="177" spans="2:7" s="50" customFormat="1" ht="16.5" x14ac:dyDescent="0.35">
      <c r="B177" s="169" t="s">
        <v>372</v>
      </c>
      <c r="C177" s="166" t="e" cm="1">
        <f t="array" ref="C177">SUM(((Prim_Materials[Thickness of Layer (mm)]+Prim_Materials[Thickness of Layer (mm)]*(IF(Prim_Lays&gt;1,INDEX(--(Prim_EoL="Removed"),0,1),0)+IF(Prim_Lays&gt;2,INDEX(--(Prim_EoL="Removed"),0,2),0)+IF(Prim_Lays&gt;=3,--(INDEX(Prim_EoL,0,3)="Removed")*(Prim_Lays-3),0)))/1000)*Project_Area*Area_trans*(--(INDEX(Prim_Materials[],0,2)="Cement Modified Subgrade")*0.05+--(INDEX(Prim_Materials[],0,2)="Hi-Lab")*0.07+--(INDEX(Prim_Materials[],0,2)="Slurry")*0.67))</f>
        <v>#DIV/0!</v>
      </c>
      <c r="D177" s="166" t="e" cm="1">
        <f t="array" ref="D177">SUM(((Sec_Materials[Thickness of Layer (mm)]+Sec_Materials[Thickness of Layer (mm)]*(IF(Sec_Lays&gt;1,INDEX(--(Sec_EoL="Removed"),0,1),0)+IF(Sec_Lays&gt;2,INDEX(--(Sec_EoL="Removed"),0,2),0)+IF(Sec_Lays&gt;=3,--(INDEX(Sec_EoL,0,3)="Removed")*(Sec_Lays-3),0)))/1000)*Project_Area*Area_trans*(--(INDEX(Sec_Materials[],0,2)="Cement Modified Subgrade")*0.05+--(INDEX(Sec_Materials[],0,2)="Hi-Lab")*0.07+--(INDEX(Sec_Materials[],0,2)="Slurry")*0.67))</f>
        <v>#DIV/0!</v>
      </c>
      <c r="E177" s="231" t="e" cm="1">
        <f t="array" ref="E177">SUM(((Tert_Materials[Thickness of Layer (mm)]+Tert_Materials[Thickness of Layer (mm)]*(IF(Tert_Lays&gt;1,INDEX(--(Tert_EoL="Removed"),0,1),0)+IF(Tert_Lays&gt;2,INDEX(--(Tert_EoL="Removed"),0,2),0)+IF(Tert_Lays&gt;=3,--(INDEX(Tert_EoL,0,3)="Removed")*(Tert_Lays-3),0)))/1000)*Project_Area*Area_trans*(--(INDEX(Tert_Materials[],0,2)="Cement Modified Subgrade")*0.05+--(INDEX(Tert_Materials[],0,2)="Hi-Lab")*0.07+--(INDEX(Tert_Materials[],0,2)="Slurry")*0.67))</f>
        <v>#DIV/0!</v>
      </c>
    </row>
    <row r="178" spans="2:7" s="50" customFormat="1" ht="16.5" x14ac:dyDescent="0.35">
      <c r="B178" s="169" t="s">
        <v>373</v>
      </c>
      <c r="C178" s="166" t="e" cm="1">
        <f t="array" ref="C178">SUM(((Prim_Materials[Thickness of Layer (mm)]+Prim_Materials[Thickness of Layer (mm)]*(IF(Prim_Lays&gt;1,INDEX(--(Prim_EoL="Removed"),0,1),0)+IF(Prim_Lays&gt;2,INDEX(--(Prim_EoL="Removed"),0,2),0)+IF(Prim_Lays&gt;=3,--(INDEX(Prim_EoL,0,3)="Removed")*(Prim_Lays-3),0)))/1000)*Project_Area*Area_trans*(--(INDEX(Prim_Materials[],0,2)="Recycled Crushed Concrete")+--(INDEX(Prim_Materials[],0,2)="Reclaimed Glass")))</f>
        <v>#DIV/0!</v>
      </c>
      <c r="D178" s="166" t="e" cm="1">
        <f t="array" ref="D178">SUM(((Sec_Materials[Thickness of Layer (mm)]+Sec_Materials[Thickness of Layer (mm)]*(IF(Sec_Lays&gt;1,INDEX(--(Sec_EoL="Removed"),0,1),0)+IF(Sec_Lays&gt;2,INDEX(--(Sec_EoL="Removed"),0,2),0)+IF(Sec_Lays&gt;=3,--(INDEX(Sec_EoL,0,3)="Removed")*(Sec_Lays-3),0)))/1000)*Project_Area*Area_trans*(--(INDEX(Sec_Materials[],0,2)="Recycled Crushed Concrete")+--(INDEX(Sec_Materials[],0,2)="Reclaimed Glass")))</f>
        <v>#DIV/0!</v>
      </c>
      <c r="E178" s="231" t="e" cm="1">
        <f t="array" ref="E178">SUM(((Tert_Materials[Thickness of Layer (mm)]+Tert_Materials[Thickness of Layer (mm)]*(IF(Tert_Lays&gt;1,INDEX(--(Tert_EoL="Removed"),0,1),0)+IF(Tert_Lays&gt;2,INDEX(--(Tert_EoL="Removed"),0,2),0)+IF(Tert_Lays&gt;=3,--(INDEX(Tert_EoL,0,3)="Removed")*(Tert_Lays-3),0)))/1000)*Project_Area*Area_trans*(--(INDEX(Tert_Materials[],0,2)="Recycled Crushed Concrete")+--(INDEX(Tert_Materials[],0,2)="Reclaimed Glass")))</f>
        <v>#DIV/0!</v>
      </c>
    </row>
    <row r="179" spans="2:7" s="50" customFormat="1" x14ac:dyDescent="0.35">
      <c r="B179" s="168" t="s">
        <v>374</v>
      </c>
      <c r="C179" s="229" t="e" cm="1">
        <f t="array" ref="C179">SUM(((Prim_Materials[Thickness of Layer (mm)]+Prim_Materials[Thickness of Layer (mm)]*(IF(Prim_Lays&gt;1,INDEX(--(Prim_EoL="Removed"),0,1),0)+IF(Prim_Lays&gt;2,INDEX(--(Prim_EoL="Removed"),0,2),0)+IF(Prim_Lays&gt;=3,--(INDEX(Prim_EoL,0,3)="Removed")*(Prim_Lays-3),0)))/1000)*(--(INDEX(Prim_Materials[],0,2)="Recycled Crushed Concrete")+--(INDEX(Prim_Materials[],0,2)="Reclaimed Glass")))/SUM(((Prim_Materials[Thickness of Layer (mm)]+Prim_Materials[Thickness of Layer (mm)]*(IF(Prim_Lays&gt;1,INDEX(--(Prim_EoL="Removed"),0,1),0)+IF(Prim_Lays&gt;2,INDEX(--(Prim_EoL="Removed"),0,2),0)+IF(Prim_Lays&gt;=3,--(INDEX(Prim_EoL,0,3)="Removed")*(Prim_Lays-3),0)))/1000))</f>
        <v>#DIV/0!</v>
      </c>
      <c r="D179" s="229" t="e" cm="1">
        <f t="array" ref="D179">SUM(((Sec_Materials[Thickness of Layer (mm)]+Sec_Materials[Thickness of Layer (mm)]*(IF(Sec_Lays&gt;1,INDEX(--(Sec_EoL="Removed"),0,1),0)+IF(Sec_Lays&gt;2,INDEX(--(Sec_EoL="Removed"),0,2),0)+IF(Sec_Lays&gt;=3,--(INDEX(Sec_EoL,0,3)="Removed")*(Sec_Lays-3),0)))/1000)*(--(INDEX(Sec_Materials[],0,2)="Recycled Crushed Concrete")+--(INDEX(Sec_Materials[],0,2)="Reclaimed Glass")))/SUM(((Sec_Materials[Thickness of Layer (mm)]+Sec_Materials[Thickness of Layer (mm)]*(IF(Sec_Lays&gt;1,INDEX(--(Sec_EoL="Removed"),0,1),0)+IF(Sec_Lays&gt;2,INDEX(--(Sec_EoL="Removed"),0,2),0)+IF(Sec_Lays&gt;=3,--(INDEX(Sec_EoL,0,3)="Removed")*(Sec_Lays-3),0)))/1000))</f>
        <v>#DIV/0!</v>
      </c>
      <c r="E179" s="232" t="e" cm="1">
        <f t="array" ref="E179">SUM(((Tert_Materials[Thickness of Layer (mm)]+Tert_Materials[Thickness of Layer (mm)]*(IF(Tert_Lays&gt;1,INDEX(--(Tert_EoL="Removed"),0,1),0)+IF(Tert_Lays&gt;2,INDEX(--(Tert_EoL="Removed"),0,2),0)+IF(Tert_Lays&gt;=3,--(INDEX(Tert_EoL,0,3)="Removed")*(Tert_Lays-3),0)))/1000)*(--(INDEX(Tert_Materials[],0,2)="Recycled Crushed Concrete")+--(INDEX(Tert_Materials[],0,2)="Reclaimed Glass")))/SUM(((Tert_Materials[Thickness of Layer (mm)]+Tert_Materials[Thickness of Layer (mm)]*(IF(Tert_Lays&gt;1,INDEX(--(Tert_EoL="Removed"),0,1),0)+IF(Tert_Lays&gt;2,INDEX(--(Tert_EoL="Removed"),0,2),0)+IF(Tert_Lays&gt;=3,--(INDEX(Tert_EoL,0,3)="Removed")*(Tert_Lays-3),0)))/1000))</f>
        <v>#DIV/0!</v>
      </c>
    </row>
    <row r="180" spans="2:7" s="50" customFormat="1" x14ac:dyDescent="0.35">
      <c r="B180" s="97"/>
      <c r="C180" s="108"/>
    </row>
    <row r="181" spans="2:7" s="50" customFormat="1" x14ac:dyDescent="0.35">
      <c r="B181" s="97"/>
      <c r="C181" s="108"/>
    </row>
    <row r="182" spans="2:7" s="50" customFormat="1" ht="29" x14ac:dyDescent="0.35">
      <c r="B182" s="140" t="s">
        <v>375</v>
      </c>
      <c r="C182" s="141" t="s">
        <v>88</v>
      </c>
      <c r="D182" s="171" t="str">
        <f>Handle_Scenario1&amp;" - Scenario 1"</f>
        <v xml:space="preserve"> - Scenario 1</v>
      </c>
      <c r="E182" s="171" t="str">
        <f>Handle_Scenario2&amp;" - Scenario 2"</f>
        <v xml:space="preserve"> - Scenario 2</v>
      </c>
      <c r="F182" s="172" t="str">
        <f>Handle_Scenario3&amp;" - Scenario 3"</f>
        <v xml:space="preserve"> - Scenario 3</v>
      </c>
      <c r="G182" s="273" t="s">
        <v>376</v>
      </c>
    </row>
    <row r="183" spans="2:7" s="50" customFormat="1" x14ac:dyDescent="0.35">
      <c r="B183" s="233" t="s">
        <v>377</v>
      </c>
      <c r="C183" s="176" t="s">
        <v>378</v>
      </c>
      <c r="D183" s="336" t="e">
        <f ca="1">VLOOKUP("A2Consequential"&amp;G183,'Additional Impact Indicators'!$A:$AT,45,FALSE)</f>
        <v>#DIV/0!</v>
      </c>
      <c r="E183" s="336" t="e">
        <f ca="1">VLOOKUP("A2Consequential"&amp;G183,'Additional Impact Indicators'!$AW:$CO,45,FALSE)</f>
        <v>#DIV/0!</v>
      </c>
      <c r="F183" s="337" t="e">
        <f ca="1">VLOOKUP("A2Consequential"&amp;G183,'Additional Impact Indicators'!$CT:$EL,45,FALSE)</f>
        <v>#DIV/0!</v>
      </c>
      <c r="G183" s="97" t="s">
        <v>379</v>
      </c>
    </row>
    <row r="184" spans="2:7" s="50" customFormat="1" x14ac:dyDescent="0.35">
      <c r="B184" s="233" t="s">
        <v>380</v>
      </c>
      <c r="C184" s="176" t="s">
        <v>381</v>
      </c>
      <c r="D184" s="178" t="e">
        <f ca="1">VLOOKUP("A2Consequential"&amp;G184,'Additional Impact Indicators'!$A:$AT,45,FALSE)</f>
        <v>#DIV/0!</v>
      </c>
      <c r="E184" s="178" t="e">
        <f ca="1">VLOOKUP("A2Consequential"&amp;G184,'Additional Impact Indicators'!$AW:$CO,45,FALSE)</f>
        <v>#DIV/0!</v>
      </c>
      <c r="F184" s="271" t="e">
        <f ca="1">VLOOKUP("A2Consequential"&amp;G184,'Additional Impact Indicators'!$CT:$EL,45,FALSE)</f>
        <v>#DIV/0!</v>
      </c>
      <c r="G184" s="97" t="s">
        <v>382</v>
      </c>
    </row>
    <row r="185" spans="2:7" s="50" customFormat="1" ht="29" x14ac:dyDescent="0.35">
      <c r="B185" s="233" t="s">
        <v>383</v>
      </c>
      <c r="C185" s="176" t="s">
        <v>381</v>
      </c>
      <c r="D185" s="178" t="e">
        <f ca="1">VLOOKUP("A2Consequential"&amp;G185,'Additional Impact Indicators'!$A:$AT,45,FALSE)</f>
        <v>#DIV/0!</v>
      </c>
      <c r="E185" s="178" t="e">
        <f ca="1">VLOOKUP("A2Consequential"&amp;G185,'Additional Impact Indicators'!$AW:$CO,45,FALSE)</f>
        <v>#DIV/0!</v>
      </c>
      <c r="F185" s="271" t="e">
        <f ca="1">VLOOKUP("A2Consequential"&amp;G185,'Additional Impact Indicators'!$CT:$EL,45,FALSE)</f>
        <v>#DIV/0!</v>
      </c>
      <c r="G185" s="97" t="s">
        <v>384</v>
      </c>
    </row>
    <row r="186" spans="2:7" s="50" customFormat="1" ht="29" x14ac:dyDescent="0.35">
      <c r="B186" s="234" t="s">
        <v>385</v>
      </c>
      <c r="C186" s="175" t="s">
        <v>381</v>
      </c>
      <c r="D186" s="178" t="e">
        <f ca="1">VLOOKUP("A2Consequential"&amp;G186,'Additional Impact Indicators'!$A:$AT,45,FALSE)</f>
        <v>#DIV/0!</v>
      </c>
      <c r="E186" s="178" t="e">
        <f ca="1">VLOOKUP("A2Consequential"&amp;G186,'Additional Impact Indicators'!$AW:$CO,45,FALSE)</f>
        <v>#DIV/0!</v>
      </c>
      <c r="F186" s="271" t="e">
        <f ca="1">VLOOKUP("A2Consequential"&amp;G186,'Additional Impact Indicators'!$CT:$EL,45,FALSE)</f>
        <v>#DIV/0!</v>
      </c>
      <c r="G186" s="97" t="s">
        <v>386</v>
      </c>
    </row>
    <row r="187" spans="2:7" s="50" customFormat="1" ht="29" x14ac:dyDescent="0.35">
      <c r="B187" s="233" t="s">
        <v>387</v>
      </c>
      <c r="C187" s="176" t="s">
        <v>381</v>
      </c>
      <c r="D187" s="178" t="e">
        <f ca="1">VLOOKUP("A2Consequential"&amp;G187,'Additional Impact Indicators'!$A:$AT,45,FALSE)</f>
        <v>#DIV/0!</v>
      </c>
      <c r="E187" s="178" t="e">
        <f ca="1">VLOOKUP("A2Consequential"&amp;G187,'Additional Impact Indicators'!$AW:$CO,45,FALSE)</f>
        <v>#DIV/0!</v>
      </c>
      <c r="F187" s="271" t="e">
        <f ca="1">VLOOKUP("A2Consequential"&amp;G187,'Additional Impact Indicators'!$CT:$EL,45,FALSE)</f>
        <v>#DIV/0!</v>
      </c>
      <c r="G187" s="97" t="s">
        <v>388</v>
      </c>
    </row>
    <row r="188" spans="2:7" s="50" customFormat="1" ht="29" x14ac:dyDescent="0.35">
      <c r="B188" s="233" t="s">
        <v>389</v>
      </c>
      <c r="C188" s="176" t="s">
        <v>390</v>
      </c>
      <c r="D188" s="178" t="e">
        <f ca="1">VLOOKUP("A2Consequential"&amp;G188,'Additional Impact Indicators'!$A:$AT,45,FALSE)</f>
        <v>#DIV/0!</v>
      </c>
      <c r="E188" s="178" t="e">
        <f ca="1">VLOOKUP("A2Consequential"&amp;G188,'Additional Impact Indicators'!$AW:$CO,45,FALSE)</f>
        <v>#DIV/0!</v>
      </c>
      <c r="F188" s="271" t="e">
        <f ca="1">VLOOKUP("A2Consequential"&amp;G188,'Additional Impact Indicators'!$CT:$EL,45,FALSE)</f>
        <v>#DIV/0!</v>
      </c>
      <c r="G188" s="97" t="s">
        <v>391</v>
      </c>
    </row>
    <row r="189" spans="2:7" s="50" customFormat="1" x14ac:dyDescent="0.35">
      <c r="B189" s="234" t="s">
        <v>392</v>
      </c>
      <c r="C189" s="175" t="s">
        <v>393</v>
      </c>
      <c r="D189" s="178" t="e">
        <f ca="1">VLOOKUP("A2Consequential"&amp;G189,'Additional Impact Indicators'!$A:$AT,45,FALSE)</f>
        <v>#DIV/0!</v>
      </c>
      <c r="E189" s="178" t="e">
        <f ca="1">VLOOKUP("A2Consequential"&amp;G189,'Additional Impact Indicators'!$AW:$CO,45,FALSE)</f>
        <v>#DIV/0!</v>
      </c>
      <c r="F189" s="271" t="e">
        <f ca="1">VLOOKUP("A2Consequential"&amp;G189,'Additional Impact Indicators'!$CT:$EL,45,FALSE)</f>
        <v>#DIV/0!</v>
      </c>
      <c r="G189" s="97" t="s">
        <v>394</v>
      </c>
    </row>
    <row r="190" spans="2:7" s="50" customFormat="1" x14ac:dyDescent="0.35">
      <c r="B190" s="234" t="s">
        <v>395</v>
      </c>
      <c r="C190" s="175" t="s">
        <v>396</v>
      </c>
      <c r="D190" s="178" t="e">
        <f ca="1">VLOOKUP("A2Consequential"&amp;G190,'Additional Impact Indicators'!$A:$AT,45,FALSE)</f>
        <v>#DIV/0!</v>
      </c>
      <c r="E190" s="178" t="e">
        <f ca="1">VLOOKUP("A2Consequential"&amp;G190,'Additional Impact Indicators'!$AW:$CO,45,FALSE)</f>
        <v>#DIV/0!</v>
      </c>
      <c r="F190" s="271" t="e">
        <f ca="1">VLOOKUP("A2Consequential"&amp;G190,'Additional Impact Indicators'!$CT:$EL,45,FALSE)</f>
        <v>#DIV/0!</v>
      </c>
      <c r="G190" s="97" t="s">
        <v>397</v>
      </c>
    </row>
    <row r="191" spans="2:7" s="50" customFormat="1" x14ac:dyDescent="0.35">
      <c r="B191" s="234" t="s">
        <v>398</v>
      </c>
      <c r="C191" s="175" t="s">
        <v>399</v>
      </c>
      <c r="D191" s="178" t="e">
        <f ca="1">VLOOKUP("A2Consequential"&amp;G191,'Additional Impact Indicators'!$A:$AT,45,FALSE)</f>
        <v>#DIV/0!</v>
      </c>
      <c r="E191" s="178" t="e">
        <f ca="1">VLOOKUP("A2Consequential"&amp;G191,'Additional Impact Indicators'!$AW:$CO,45,FALSE)</f>
        <v>#DIV/0!</v>
      </c>
      <c r="F191" s="271" t="e">
        <f ca="1">VLOOKUP("A2Consequential"&amp;G191,'Additional Impact Indicators'!$CT:$EL,45,FALSE)</f>
        <v>#DIV/0!</v>
      </c>
      <c r="G191" s="97" t="s">
        <v>400</v>
      </c>
    </row>
    <row r="192" spans="2:7" s="50" customFormat="1" x14ac:dyDescent="0.35">
      <c r="B192" s="234" t="s">
        <v>401</v>
      </c>
      <c r="C192" s="175" t="s">
        <v>402</v>
      </c>
      <c r="D192" s="178" t="e">
        <f ca="1">VLOOKUP("A2Consequential"&amp;G192,'Additional Impact Indicators'!$A:$AT,45,FALSE)</f>
        <v>#DIV/0!</v>
      </c>
      <c r="E192" s="178" t="e">
        <f ca="1">VLOOKUP("A2Consequential"&amp;G192,'Additional Impact Indicators'!$AW:$CO,45,FALSE)</f>
        <v>#DIV/0!</v>
      </c>
      <c r="F192" s="271" t="e">
        <f ca="1">VLOOKUP("A2Consequential"&amp;G192,'Additional Impact Indicators'!$CT:$EL,45,FALSE)</f>
        <v>#DIV/0!</v>
      </c>
      <c r="G192" s="97" t="s">
        <v>403</v>
      </c>
    </row>
    <row r="193" spans="2:7" s="50" customFormat="1" x14ac:dyDescent="0.35">
      <c r="B193" s="234" t="s">
        <v>404</v>
      </c>
      <c r="C193" s="175" t="s">
        <v>405</v>
      </c>
      <c r="D193" s="178" t="e">
        <f ca="1">VLOOKUP("A2Consequential"&amp;G193,'Additional Impact Indicators'!$A:$AT,45,FALSE)</f>
        <v>#DIV/0!</v>
      </c>
      <c r="E193" s="178" t="e">
        <f ca="1">VLOOKUP("A2Consequential"&amp;G193,'Additional Impact Indicators'!$AW:$CO,45,FALSE)</f>
        <v>#DIV/0!</v>
      </c>
      <c r="F193" s="271" t="e">
        <f ca="1">VLOOKUP("A2Consequential"&amp;G193,'Additional Impact Indicators'!$CT:$EL,45,FALSE)</f>
        <v>#DIV/0!</v>
      </c>
      <c r="G193" s="97" t="s">
        <v>406</v>
      </c>
    </row>
    <row r="194" spans="2:7" s="50" customFormat="1" ht="29" x14ac:dyDescent="0.35">
      <c r="B194" s="234" t="s">
        <v>407</v>
      </c>
      <c r="C194" s="175" t="s">
        <v>408</v>
      </c>
      <c r="D194" s="178" t="e">
        <f ca="1">VLOOKUP("A2Consequential"&amp;G194,'Additional Impact Indicators'!$A:$AT,45,FALSE)</f>
        <v>#DIV/0!</v>
      </c>
      <c r="E194" s="178" t="e">
        <f ca="1">VLOOKUP("A2Consequential"&amp;G194,'Additional Impact Indicators'!$AW:$CO,45,FALSE)</f>
        <v>#DIV/0!</v>
      </c>
      <c r="F194" s="271" t="e">
        <f ca="1">VLOOKUP("A2Consequential"&amp;G194,'Additional Impact Indicators'!$CT:$EL,45,FALSE)</f>
        <v>#DIV/0!</v>
      </c>
      <c r="G194" s="97" t="s">
        <v>409</v>
      </c>
    </row>
    <row r="195" spans="2:7" s="50" customFormat="1" ht="29" x14ac:dyDescent="0.35">
      <c r="B195" s="234" t="s">
        <v>410</v>
      </c>
      <c r="C195" s="175" t="s">
        <v>408</v>
      </c>
      <c r="D195" s="178" t="e">
        <f ca="1">VLOOKUP("A2Consequential"&amp;G195,'Additional Impact Indicators'!$A:$AT,45,FALSE)</f>
        <v>#DIV/0!</v>
      </c>
      <c r="E195" s="178" t="e">
        <f ca="1">VLOOKUP("A2Consequential"&amp;G195,'Additional Impact Indicators'!$AW:$CO,45,FALSE)</f>
        <v>#DIV/0!</v>
      </c>
      <c r="F195" s="271" t="e">
        <f ca="1">VLOOKUP("A2Consequential"&amp;G195,'Additional Impact Indicators'!$CT:$EL,45,FALSE)</f>
        <v>#DIV/0!</v>
      </c>
      <c r="G195" s="97" t="s">
        <v>411</v>
      </c>
    </row>
    <row r="196" spans="2:7" s="50" customFormat="1" x14ac:dyDescent="0.35">
      <c r="B196" s="234" t="s">
        <v>412</v>
      </c>
      <c r="C196" s="175" t="s">
        <v>405</v>
      </c>
      <c r="D196" s="178" t="e">
        <f ca="1">VLOOKUP("A2Consequential"&amp;G196,'Additional Impact Indicators'!$A:$AT,45,FALSE)</f>
        <v>#DIV/0!</v>
      </c>
      <c r="E196" s="178" t="e">
        <f ca="1">VLOOKUP("A2Consequential"&amp;G196,'Additional Impact Indicators'!$AW:$CO,45,FALSE)</f>
        <v>#DIV/0!</v>
      </c>
      <c r="F196" s="271" t="e">
        <f ca="1">VLOOKUP("A2Consequential"&amp;G196,'Additional Impact Indicators'!$CT:$EL,45,FALSE)</f>
        <v>#DIV/0!</v>
      </c>
      <c r="G196" s="97" t="s">
        <v>413</v>
      </c>
    </row>
    <row r="197" spans="2:7" s="50" customFormat="1" x14ac:dyDescent="0.35">
      <c r="B197" s="234" t="s">
        <v>414</v>
      </c>
      <c r="C197" s="175" t="s">
        <v>415</v>
      </c>
      <c r="D197" s="178" t="e">
        <f ca="1">VLOOKUP("A2Consequential"&amp;G197,'Additional Impact Indicators'!$A:$AT,45,FALSE)</f>
        <v>#DIV/0!</v>
      </c>
      <c r="E197" s="178" t="e">
        <f ca="1">VLOOKUP("A2Consequential"&amp;G197,'Additional Impact Indicators'!$AW:$CO,45,FALSE)</f>
        <v>#DIV/0!</v>
      </c>
      <c r="F197" s="271" t="e">
        <f ca="1">VLOOKUP("A2Consequential"&amp;G197,'Additional Impact Indicators'!$CT:$EL,45,FALSE)</f>
        <v>#DIV/0!</v>
      </c>
      <c r="G197" s="97" t="s">
        <v>416</v>
      </c>
    </row>
    <row r="198" spans="2:7" s="50" customFormat="1" x14ac:dyDescent="0.35">
      <c r="B198" s="234" t="s">
        <v>417</v>
      </c>
      <c r="C198" s="175" t="s">
        <v>418</v>
      </c>
      <c r="D198" s="178" t="e">
        <f ca="1">VLOOKUP("A2Consequential"&amp;G198,'Additional Impact Indicators'!$A:$AT,45,FALSE)</f>
        <v>#DIV/0!</v>
      </c>
      <c r="E198" s="178" t="e">
        <f ca="1">VLOOKUP("A2Consequential"&amp;G198,'Additional Impact Indicators'!$AW:$CO,45,FALSE)</f>
        <v>#DIV/0!</v>
      </c>
      <c r="F198" s="271" t="e">
        <f ca="1">VLOOKUP("A2Consequential"&amp;G198,'Additional Impact Indicators'!$CT:$EL,45,FALSE)</f>
        <v>#DIV/0!</v>
      </c>
      <c r="G198" s="97" t="s">
        <v>419</v>
      </c>
    </row>
    <row r="199" spans="2:7" s="50" customFormat="1" x14ac:dyDescent="0.35">
      <c r="B199" s="234" t="s">
        <v>420</v>
      </c>
      <c r="C199" s="175" t="s">
        <v>418</v>
      </c>
      <c r="D199" s="178" t="e">
        <f ca="1">VLOOKUP("A2Consequential"&amp;G199,'Additional Impact Indicators'!$A:$AT,45,FALSE)</f>
        <v>#DIV/0!</v>
      </c>
      <c r="E199" s="178" t="e">
        <f ca="1">VLOOKUP("A2Consequential"&amp;G199,'Additional Impact Indicators'!$AW:$CO,45,FALSE)</f>
        <v>#DIV/0!</v>
      </c>
      <c r="F199" s="271" t="e">
        <f ca="1">VLOOKUP("A2Consequential"&amp;G199,'Additional Impact Indicators'!$CT:$EL,45,FALSE)</f>
        <v>#DIV/0!</v>
      </c>
      <c r="G199" s="97" t="s">
        <v>421</v>
      </c>
    </row>
    <row r="200" spans="2:7" s="50" customFormat="1" x14ac:dyDescent="0.35">
      <c r="B200" s="235" t="s">
        <v>422</v>
      </c>
      <c r="C200" s="177" t="s">
        <v>423</v>
      </c>
      <c r="D200" s="179" t="e">
        <f ca="1">VLOOKUP("A2Consequential"&amp;G200,'Additional Impact Indicators'!$A:$AT,45,FALSE)</f>
        <v>#DIV/0!</v>
      </c>
      <c r="E200" s="179" t="e">
        <f ca="1">VLOOKUP("A2Consequential"&amp;G200,'Additional Impact Indicators'!$AW:$CO,45,FALSE)</f>
        <v>#DIV/0!</v>
      </c>
      <c r="F200" s="272" t="e">
        <f ca="1">VLOOKUP("A2Consequential"&amp;G200,'Additional Impact Indicators'!$CT:$EL,45,FALSE)</f>
        <v>#DIV/0!</v>
      </c>
      <c r="G200" s="97" t="s">
        <v>424</v>
      </c>
    </row>
    <row r="201" spans="2:7" s="50" customFormat="1" x14ac:dyDescent="0.35"/>
    <row r="202" spans="2:7" s="50" customFormat="1" x14ac:dyDescent="0.35"/>
    <row r="203" spans="2:7" s="50" customFormat="1" hidden="1" x14ac:dyDescent="0.35"/>
    <row r="204" spans="2:7" s="50" customFormat="1" hidden="1" x14ac:dyDescent="0.35"/>
  </sheetData>
  <mergeCells count="1">
    <mergeCell ref="F168:G168"/>
  </mergeCells>
  <phoneticPr fontId="3" type="noConversion"/>
  <conditionalFormatting sqref="C15:C16">
    <cfRule type="expression" dxfId="225" priority="99">
      <formula>#REF!="Entire Project"</formula>
    </cfRule>
    <cfRule type="containsBlanks" dxfId="224" priority="100">
      <formula>LEN(TRIM(C15))=0</formula>
    </cfRule>
  </conditionalFormatting>
  <conditionalFormatting sqref="C164:E164">
    <cfRule type="colorScale" priority="98">
      <colorScale>
        <cfvo type="min"/>
        <cfvo type="percentile" val="50"/>
        <cfvo type="max"/>
        <color rgb="FF63BE7B"/>
        <color rgb="FFFCFCFF"/>
        <color rgb="FFF8696B"/>
      </colorScale>
    </cfRule>
  </conditionalFormatting>
  <conditionalFormatting sqref="C165:E165">
    <cfRule type="colorScale" priority="97">
      <colorScale>
        <cfvo type="min"/>
        <cfvo type="percentile" val="50"/>
        <cfvo type="max"/>
        <color rgb="FF63BE7B"/>
        <color rgb="FFFCFCFF"/>
        <color rgb="FFF8696B"/>
      </colorScale>
    </cfRule>
  </conditionalFormatting>
  <conditionalFormatting sqref="C169:E169">
    <cfRule type="colorScale" priority="1">
      <colorScale>
        <cfvo type="min"/>
        <cfvo type="percentile" val="50"/>
        <cfvo type="max"/>
        <color rgb="FF63BE7B"/>
        <color rgb="FFFCFCFF"/>
        <color rgb="FFF8696B"/>
      </colorScale>
    </cfRule>
  </conditionalFormatting>
  <conditionalFormatting sqref="C170:E170">
    <cfRule type="colorScale" priority="34">
      <colorScale>
        <cfvo type="min"/>
        <cfvo type="percentile" val="50"/>
        <cfvo type="max"/>
        <color rgb="FF63BE7B"/>
        <color rgb="FFFCFCFF"/>
        <color rgb="FFF8696B"/>
      </colorScale>
    </cfRule>
  </conditionalFormatting>
  <conditionalFormatting sqref="C171:E171">
    <cfRule type="colorScale" priority="33">
      <colorScale>
        <cfvo type="min"/>
        <cfvo type="percentile" val="50"/>
        <cfvo type="max"/>
        <color rgb="FF63BE7B"/>
        <color rgb="FFFCFCFF"/>
        <color rgb="FFF8696B"/>
      </colorScale>
    </cfRule>
  </conditionalFormatting>
  <conditionalFormatting sqref="C175:E175">
    <cfRule type="colorScale" priority="28">
      <colorScale>
        <cfvo type="min"/>
        <cfvo type="percentile" val="50"/>
        <cfvo type="max"/>
        <color rgb="FF63BE7B"/>
        <color rgb="FFFCFCFF"/>
        <color rgb="FFF8696B"/>
      </colorScale>
    </cfRule>
  </conditionalFormatting>
  <conditionalFormatting sqref="C176:E176">
    <cfRule type="colorScale" priority="214">
      <colorScale>
        <cfvo type="min"/>
        <cfvo type="percentile" val="50"/>
        <cfvo type="max"/>
        <color rgb="FF63BE7B"/>
        <color rgb="FFFCFCFF"/>
        <color rgb="FFF8696B"/>
      </colorScale>
    </cfRule>
  </conditionalFormatting>
  <conditionalFormatting sqref="C177:E177">
    <cfRule type="colorScale" priority="21">
      <colorScale>
        <cfvo type="min"/>
        <cfvo type="percentile" val="50"/>
        <cfvo type="max"/>
        <color rgb="FF63BE7B"/>
        <color rgb="FFFCFCFF"/>
        <color rgb="FFF8696B"/>
      </colorScale>
    </cfRule>
  </conditionalFormatting>
  <conditionalFormatting sqref="C178:E178">
    <cfRule type="colorScale" priority="20">
      <colorScale>
        <cfvo type="min"/>
        <cfvo type="percentile" val="50"/>
        <cfvo type="max"/>
        <color rgb="FF63BE7B"/>
        <color rgb="FFFCFCFF"/>
        <color rgb="FFF8696B"/>
      </colorScale>
    </cfRule>
  </conditionalFormatting>
  <conditionalFormatting sqref="C179:E179">
    <cfRule type="colorScale" priority="19">
      <colorScale>
        <cfvo type="min"/>
        <cfvo type="percentile" val="50"/>
        <cfvo type="max"/>
        <color rgb="FF63BE7B"/>
        <color rgb="FFFCFCFF"/>
        <color rgb="FFF8696B"/>
      </colorScale>
    </cfRule>
  </conditionalFormatting>
  <conditionalFormatting sqref="D183:F183">
    <cfRule type="colorScale" priority="11">
      <colorScale>
        <cfvo type="min"/>
        <cfvo type="percentile" val="50"/>
        <cfvo type="max"/>
        <color rgb="FF63BE7B"/>
        <color rgb="FFFCFCFF"/>
        <color rgb="FFF8696B"/>
      </colorScale>
    </cfRule>
  </conditionalFormatting>
  <conditionalFormatting sqref="D184:F184">
    <cfRule type="colorScale" priority="16">
      <colorScale>
        <cfvo type="min"/>
        <cfvo type="percentile" val="50"/>
        <cfvo type="max"/>
        <color rgb="FF63BE7B"/>
        <color rgb="FFFCFCFF"/>
        <color rgb="FFF8696B"/>
      </colorScale>
    </cfRule>
  </conditionalFormatting>
  <conditionalFormatting sqref="D185:F185">
    <cfRule type="colorScale" priority="17">
      <colorScale>
        <cfvo type="min"/>
        <cfvo type="percentile" val="50"/>
        <cfvo type="max"/>
        <color rgb="FF63BE7B"/>
        <color rgb="FFFCFCFF"/>
        <color rgb="FFF8696B"/>
      </colorScale>
    </cfRule>
  </conditionalFormatting>
  <conditionalFormatting sqref="D186:F186">
    <cfRule type="colorScale" priority="18">
      <colorScale>
        <cfvo type="min"/>
        <cfvo type="percentile" val="50"/>
        <cfvo type="max"/>
        <color rgb="FF63BE7B"/>
        <color rgb="FFFCFCFF"/>
        <color rgb="FFF8696B"/>
      </colorScale>
    </cfRule>
  </conditionalFormatting>
  <conditionalFormatting sqref="D187:F187">
    <cfRule type="colorScale" priority="35">
      <colorScale>
        <cfvo type="min"/>
        <cfvo type="percentile" val="50"/>
        <cfvo type="max"/>
        <color rgb="FF63BE7B"/>
        <color rgb="FFFCFCFF"/>
        <color rgb="FFF8696B"/>
      </colorScale>
    </cfRule>
  </conditionalFormatting>
  <conditionalFormatting sqref="D188:F188">
    <cfRule type="colorScale" priority="15">
      <colorScale>
        <cfvo type="min"/>
        <cfvo type="percentile" val="50"/>
        <cfvo type="max"/>
        <color rgb="FF63BE7B"/>
        <color rgb="FFFCFCFF"/>
        <color rgb="FFF8696B"/>
      </colorScale>
    </cfRule>
  </conditionalFormatting>
  <conditionalFormatting sqref="D189:F189">
    <cfRule type="colorScale" priority="14">
      <colorScale>
        <cfvo type="min"/>
        <cfvo type="percentile" val="50"/>
        <cfvo type="max"/>
        <color rgb="FF63BE7B"/>
        <color rgb="FFFCFCFF"/>
        <color rgb="FFF8696B"/>
      </colorScale>
    </cfRule>
  </conditionalFormatting>
  <conditionalFormatting sqref="D190:F190">
    <cfRule type="colorScale" priority="13">
      <colorScale>
        <cfvo type="min"/>
        <cfvo type="percentile" val="50"/>
        <cfvo type="max"/>
        <color rgb="FF63BE7B"/>
        <color rgb="FFFCFCFF"/>
        <color rgb="FFF8696B"/>
      </colorScale>
    </cfRule>
  </conditionalFormatting>
  <conditionalFormatting sqref="D191:F191">
    <cfRule type="colorScale" priority="12">
      <colorScale>
        <cfvo type="min"/>
        <cfvo type="percentile" val="50"/>
        <cfvo type="max"/>
        <color rgb="FF63BE7B"/>
        <color rgb="FFFCFCFF"/>
        <color rgb="FFF8696B"/>
      </colorScale>
    </cfRule>
  </conditionalFormatting>
  <conditionalFormatting sqref="D192:F192">
    <cfRule type="colorScale" priority="6">
      <colorScale>
        <cfvo type="min"/>
        <cfvo type="percentile" val="50"/>
        <cfvo type="max"/>
        <color rgb="FF63BE7B"/>
        <color rgb="FFFCFCFF"/>
        <color rgb="FFF8696B"/>
      </colorScale>
    </cfRule>
  </conditionalFormatting>
  <conditionalFormatting sqref="D193:F193">
    <cfRule type="colorScale" priority="7">
      <colorScale>
        <cfvo type="min"/>
        <cfvo type="percentile" val="50"/>
        <cfvo type="max"/>
        <color rgb="FF63BE7B"/>
        <color rgb="FFFCFCFF"/>
        <color rgb="FFF8696B"/>
      </colorScale>
    </cfRule>
  </conditionalFormatting>
  <conditionalFormatting sqref="D194:F194">
    <cfRule type="colorScale" priority="8">
      <colorScale>
        <cfvo type="min"/>
        <cfvo type="percentile" val="50"/>
        <cfvo type="max"/>
        <color rgb="FF63BE7B"/>
        <color rgb="FFFCFCFF"/>
        <color rgb="FFF8696B"/>
      </colorScale>
    </cfRule>
  </conditionalFormatting>
  <conditionalFormatting sqref="D195:F195">
    <cfRule type="colorScale" priority="9">
      <colorScale>
        <cfvo type="min"/>
        <cfvo type="percentile" val="50"/>
        <cfvo type="max"/>
        <color rgb="FF63BE7B"/>
        <color rgb="FFFCFCFF"/>
        <color rgb="FFF8696B"/>
      </colorScale>
    </cfRule>
  </conditionalFormatting>
  <conditionalFormatting sqref="D196:F196">
    <cfRule type="colorScale" priority="10">
      <colorScale>
        <cfvo type="min"/>
        <cfvo type="percentile" val="50"/>
        <cfvo type="max"/>
        <color rgb="FF63BE7B"/>
        <color rgb="FFFCFCFF"/>
        <color rgb="FFF8696B"/>
      </colorScale>
    </cfRule>
  </conditionalFormatting>
  <conditionalFormatting sqref="D197:F197">
    <cfRule type="colorScale" priority="3">
      <colorScale>
        <cfvo type="min"/>
        <cfvo type="percentile" val="50"/>
        <cfvo type="max"/>
        <color rgb="FF63BE7B"/>
        <color rgb="FFFCFCFF"/>
        <color rgb="FFF8696B"/>
      </colorScale>
    </cfRule>
  </conditionalFormatting>
  <conditionalFormatting sqref="D198:F198">
    <cfRule type="colorScale" priority="4">
      <colorScale>
        <cfvo type="min"/>
        <cfvo type="percentile" val="50"/>
        <cfvo type="max"/>
        <color rgb="FF63BE7B"/>
        <color rgb="FFFCFCFF"/>
        <color rgb="FFF8696B"/>
      </colorScale>
    </cfRule>
  </conditionalFormatting>
  <conditionalFormatting sqref="D199:F199">
    <cfRule type="colorScale" priority="5">
      <colorScale>
        <cfvo type="min"/>
        <cfvo type="percentile" val="50"/>
        <cfvo type="max"/>
        <color rgb="FF63BE7B"/>
        <color rgb="FFFCFCFF"/>
        <color rgb="FFF8696B"/>
      </colorScale>
    </cfRule>
  </conditionalFormatting>
  <conditionalFormatting sqref="D200:F200">
    <cfRule type="colorScale" priority="2">
      <colorScale>
        <cfvo type="min"/>
        <cfvo type="percentile" val="50"/>
        <cfvo type="max"/>
        <color rgb="FF63BE7B"/>
        <color rgb="FFFCFCFF"/>
        <color rgb="FFF8696B"/>
      </colorScale>
    </cfRule>
  </conditionalFormatting>
  <dataValidations count="3">
    <dataValidation type="list" allowBlank="1" showInputMessage="1" showErrorMessage="1" sqref="C15:C16" xr:uid="{142CC49E-98BC-4190-B428-EFB83E5A12D0}">
      <formula1>"TRUE,FALSE"</formula1>
    </dataValidation>
    <dataValidation type="list" allowBlank="1" showInputMessage="1" showErrorMessage="1" sqref="C14" xr:uid="{B263F4B8-A747-4E15-8C28-2026D7178A4D}">
      <formula1>"10,15,20,25,30,40,50,60,80,100"</formula1>
    </dataValidation>
    <dataValidation type="list" allowBlank="1" showInputMessage="1" showErrorMessage="1" sqref="C13" xr:uid="{86CA7489-9517-4B33-B2BF-3935AEECC1EB}">
      <formula1>"1m2,1 lane km, Entire Project"</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85FB9-DF49-4705-AB48-9E2A66852ED6}">
  <sheetPr codeName="Sheet4">
    <tabColor theme="0" tint="-0.499984740745262"/>
  </sheetPr>
  <dimension ref="A1:EL116"/>
  <sheetViews>
    <sheetView topLeftCell="A8" workbookViewId="0"/>
  </sheetViews>
  <sheetFormatPr defaultRowHeight="14.5" x14ac:dyDescent="0.35"/>
  <cols>
    <col min="1" max="1" width="24.7265625" customWidth="1"/>
    <col min="2" max="3" width="21.1796875" customWidth="1"/>
    <col min="4" max="6" width="15.54296875" customWidth="1"/>
    <col min="7" max="7" width="15.54296875" bestFit="1" customWidth="1"/>
    <col min="8" max="8" width="16" customWidth="1"/>
    <col min="9" max="9" width="15.54296875" customWidth="1"/>
    <col min="10" max="10" width="22.453125" customWidth="1"/>
    <col min="11" max="11" width="22.26953125" customWidth="1"/>
    <col min="12" max="12" width="20" customWidth="1"/>
    <col min="13" max="13" width="25" customWidth="1"/>
    <col min="14" max="14" width="24.81640625" customWidth="1"/>
    <col min="15" max="15" width="22.54296875" customWidth="1"/>
    <col min="16" max="16" width="18" customWidth="1"/>
    <col min="17" max="23" width="28.81640625" customWidth="1"/>
    <col min="24" max="30" width="28.7265625" customWidth="1"/>
    <col min="31" max="31" width="26.453125" customWidth="1"/>
    <col min="32" max="32" width="25" customWidth="1"/>
    <col min="33" max="33" width="24" customWidth="1"/>
    <col min="34" max="34" width="21.7265625" customWidth="1"/>
    <col min="35" max="35" width="20.81640625" customWidth="1"/>
    <col min="36" max="36" width="20.453125" customWidth="1"/>
    <col min="37" max="37" width="18.1796875" customWidth="1"/>
    <col min="38" max="38" width="15.81640625" customWidth="1"/>
    <col min="39" max="39" width="16.1796875" customWidth="1"/>
    <col min="40" max="40" width="28" customWidth="1"/>
    <col min="41" max="41" width="26.81640625" customWidth="1"/>
    <col min="42" max="42" width="10.81640625" customWidth="1"/>
    <col min="43" max="44" width="20.54296875" customWidth="1"/>
    <col min="45" max="45" width="28.54296875" customWidth="1"/>
    <col min="46" max="46" width="10.81640625" bestFit="1" customWidth="1"/>
    <col min="47" max="47" width="11.81640625" bestFit="1" customWidth="1"/>
    <col min="49" max="49" width="15.453125" customWidth="1"/>
    <col min="50" max="50" width="27.81640625" bestFit="1" customWidth="1"/>
    <col min="51" max="51" width="10.453125" customWidth="1"/>
    <col min="52" max="52" width="9.453125" customWidth="1"/>
    <col min="53" max="53" width="14.453125" customWidth="1"/>
    <col min="56" max="57" width="15.1796875" customWidth="1"/>
    <col min="58" max="58" width="12.7265625" customWidth="1"/>
    <col min="59" max="59" width="21.26953125" customWidth="1"/>
    <col min="60" max="60" width="21.1796875" customWidth="1"/>
    <col min="61" max="61" width="19" customWidth="1"/>
    <col min="62" max="62" width="23.7265625" customWidth="1"/>
    <col min="63" max="69" width="23.54296875" customWidth="1"/>
    <col min="70" max="70" width="21.453125" customWidth="1"/>
    <col min="71" max="71" width="27.453125" customWidth="1"/>
    <col min="72" max="78" width="27.26953125" customWidth="1"/>
    <col min="79" max="79" width="25.1796875" customWidth="1"/>
    <col min="80" max="80" width="23.7265625" customWidth="1"/>
    <col min="81" max="81" width="22.81640625" customWidth="1"/>
    <col min="82" max="82" width="20.54296875" customWidth="1"/>
    <col min="83" max="83" width="19.81640625" customWidth="1"/>
    <col min="84" max="84" width="19.453125" customWidth="1"/>
    <col min="85" max="85" width="17.1796875" customWidth="1"/>
    <col min="86" max="86" width="15" customWidth="1"/>
    <col min="87" max="87" width="15.26953125" customWidth="1"/>
    <col min="88" max="88" width="26.54296875" customWidth="1"/>
    <col min="89" max="89" width="25.54296875" customWidth="1"/>
    <col min="90" max="90" width="10.26953125" customWidth="1"/>
    <col min="91" max="92" width="19.54296875" customWidth="1"/>
    <col min="93" max="93" width="27.1796875" customWidth="1"/>
    <col min="94" max="94" width="10.1796875" bestFit="1" customWidth="1"/>
    <col min="98" max="98" width="15.26953125" customWidth="1"/>
  </cols>
  <sheetData>
    <row r="1" spans="1:142" ht="29" hidden="1" x14ac:dyDescent="0.35">
      <c r="E1" t="s">
        <v>425</v>
      </c>
      <c r="G1" s="52" t="s">
        <v>426</v>
      </c>
      <c r="H1" s="52" t="s">
        <v>427</v>
      </c>
      <c r="I1" s="52" t="s">
        <v>428</v>
      </c>
      <c r="J1" s="52" t="s">
        <v>429</v>
      </c>
      <c r="K1" s="52" t="s">
        <v>430</v>
      </c>
      <c r="L1" s="52" t="s">
        <v>431</v>
      </c>
      <c r="M1" s="52" t="s">
        <v>432</v>
      </c>
      <c r="N1" s="52" t="s">
        <v>433</v>
      </c>
      <c r="O1" s="52" t="s">
        <v>434</v>
      </c>
      <c r="P1" s="52"/>
      <c r="Q1" s="52"/>
      <c r="R1" s="52"/>
      <c r="S1" s="52"/>
      <c r="T1" s="52"/>
      <c r="U1" s="52"/>
      <c r="V1" s="52" t="s">
        <v>435</v>
      </c>
      <c r="W1" s="52" t="s">
        <v>436</v>
      </c>
      <c r="X1" s="52" t="s">
        <v>437</v>
      </c>
      <c r="Y1" s="52"/>
      <c r="Z1" s="52"/>
      <c r="AA1" s="52"/>
      <c r="AB1" s="52"/>
      <c r="AC1" s="52"/>
      <c r="AD1" s="52"/>
      <c r="AE1" s="52" t="s">
        <v>438</v>
      </c>
      <c r="AF1" s="52" t="s">
        <v>439</v>
      </c>
      <c r="AG1" s="52" t="s">
        <v>440</v>
      </c>
      <c r="AH1" s="52" t="s">
        <v>441</v>
      </c>
      <c r="AI1" s="52" t="s">
        <v>442</v>
      </c>
      <c r="AJ1" s="52" t="s">
        <v>443</v>
      </c>
      <c r="AK1" s="52" t="s">
        <v>444</v>
      </c>
      <c r="AL1" s="52" t="s">
        <v>445</v>
      </c>
      <c r="AM1" s="52" t="s">
        <v>446</v>
      </c>
      <c r="AN1" s="52" t="s">
        <v>447</v>
      </c>
      <c r="AO1" s="52" t="s">
        <v>448</v>
      </c>
      <c r="AP1" s="52" t="s">
        <v>449</v>
      </c>
      <c r="AQ1" s="52" t="s">
        <v>450</v>
      </c>
      <c r="AR1" s="2"/>
    </row>
    <row r="2" spans="1:142" hidden="1" x14ac:dyDescent="0.35">
      <c r="A2" s="4"/>
      <c r="E2" s="4" t="b">
        <f ca="1">IF(_xlfn.IFNA(MATCH(FALSE,3:3,0),0)&gt;0,FALSE,TRUE)</f>
        <v>1</v>
      </c>
      <c r="F2" s="4" t="s">
        <v>241</v>
      </c>
      <c r="G2" s="2" t="e">
        <f>'Impact Analysis'!C34</f>
        <v>#DIV/0!</v>
      </c>
      <c r="H2" s="2" t="e">
        <f>'Impact Analysis'!C42</f>
        <v>#DIV/0!</v>
      </c>
      <c r="I2" s="2" t="e">
        <f>'Impact Analysis'!C50</f>
        <v>#DIV/0!</v>
      </c>
      <c r="J2" s="2" t="e">
        <f ca="1">'Impact Analysis'!C58</f>
        <v>#DIV/0!</v>
      </c>
      <c r="K2" s="2" t="e">
        <f ca="1">'Impact Analysis'!C59</f>
        <v>#DIV/0!</v>
      </c>
      <c r="L2" s="2" t="e">
        <f ca="1">'Impact Analysis'!C60</f>
        <v>#DIV/0!</v>
      </c>
      <c r="M2" s="2" t="e">
        <f ca="1">'Impact Analysis'!C63</f>
        <v>#DIV/0!</v>
      </c>
      <c r="N2" s="2" t="e">
        <f ca="1">'Impact Analysis'!C64</f>
        <v>#DIV/0!</v>
      </c>
      <c r="O2" s="2" t="e">
        <f ca="1">'Impact Analysis'!C65</f>
        <v>#DIV/0!</v>
      </c>
      <c r="P2" s="2"/>
      <c r="Q2" s="2"/>
      <c r="R2" s="2"/>
      <c r="S2" s="2"/>
      <c r="T2" s="2"/>
      <c r="U2" s="2"/>
      <c r="V2" s="2" t="e">
        <f ca="1">'Impact Analysis'!C84</f>
        <v>#DIV/0!</v>
      </c>
      <c r="W2" s="2" t="e">
        <f ca="1">'Impact Analysis'!C85</f>
        <v>#DIV/0!</v>
      </c>
      <c r="X2" s="2" t="e">
        <f ca="1">'Impact Analysis'!C86</f>
        <v>#DIV/0!</v>
      </c>
      <c r="Y2" s="2"/>
      <c r="Z2" s="2"/>
      <c r="AA2" s="2"/>
      <c r="AB2" s="2"/>
      <c r="AC2" s="2"/>
      <c r="AD2" s="2"/>
      <c r="AE2" s="2" t="e">
        <f ca="1">'Impact Analysis'!C101</f>
        <v>#DIV/0!</v>
      </c>
      <c r="AF2" s="2" t="e">
        <f ca="1">'Impact Analysis'!C102</f>
        <v>#DIV/0!</v>
      </c>
      <c r="AG2" s="2" t="e">
        <f ca="1">'Impact Analysis'!C103</f>
        <v>#DIV/0!</v>
      </c>
      <c r="AH2" s="2" t="e">
        <f ca="1">'Impact Analysis'!C106</f>
        <v>#DIV/0!</v>
      </c>
      <c r="AI2" s="2" t="e">
        <f ca="1">'Impact Analysis'!C107</f>
        <v>#DIV/0!</v>
      </c>
      <c r="AJ2" s="2" t="e">
        <f ca="1">'Impact Analysis'!C108</f>
        <v>#DIV/0!</v>
      </c>
      <c r="AK2" s="2">
        <f ca="1">'Impact Analysis'!C118</f>
        <v>0</v>
      </c>
      <c r="AL2" s="2" t="e">
        <f>'Impact Analysis'!C115</f>
        <v>#DIV/0!</v>
      </c>
      <c r="AM2" s="2">
        <f ca="1">'Impact Analysis'!C111</f>
        <v>0</v>
      </c>
      <c r="AN2" s="2">
        <f ca="1">'Impact Analysis'!C112</f>
        <v>0</v>
      </c>
      <c r="AO2" s="2" t="e">
        <f>'Impact Analysis'!C121</f>
        <v>#DIV/0!</v>
      </c>
      <c r="AP2" s="2" t="e">
        <f>'Impact Analysis'!C123</f>
        <v>#DIV/0!</v>
      </c>
      <c r="AQ2" s="2" t="e">
        <f>'Impact Analysis'!C122</f>
        <v>#DIV/0!</v>
      </c>
      <c r="AR2" s="2"/>
    </row>
    <row r="3" spans="1:142" hidden="1" x14ac:dyDescent="0.35">
      <c r="G3" s="2" t="e">
        <f t="shared" ref="G3:AQ3" ca="1" si="0">IF(OR(G2=G9,G2=G33,G2=G65,G2=G85),TRUE,FALSE)</f>
        <v>#DIV/0!</v>
      </c>
      <c r="H3" s="2" t="e">
        <f t="shared" si="0"/>
        <v>#DIV/0!</v>
      </c>
      <c r="I3" s="2" t="e">
        <f t="shared" si="0"/>
        <v>#DIV/0!</v>
      </c>
      <c r="J3" s="2" t="e">
        <f t="shared" ca="1" si="0"/>
        <v>#DIV/0!</v>
      </c>
      <c r="K3" s="2" t="e">
        <f t="shared" ca="1" si="0"/>
        <v>#DIV/0!</v>
      </c>
      <c r="L3" s="2" t="e">
        <f t="shared" ca="1" si="0"/>
        <v>#DIV/0!</v>
      </c>
      <c r="M3" s="2" t="e">
        <f t="shared" ca="1" si="0"/>
        <v>#DIV/0!</v>
      </c>
      <c r="N3" s="2" t="e">
        <f t="shared" ca="1" si="0"/>
        <v>#DIV/0!</v>
      </c>
      <c r="O3" s="2" t="e">
        <f t="shared" ca="1" si="0"/>
        <v>#DIV/0!</v>
      </c>
      <c r="P3" s="2"/>
      <c r="Q3" s="2"/>
      <c r="R3" s="2"/>
      <c r="S3" s="2"/>
      <c r="T3" s="2"/>
      <c r="U3" s="2"/>
      <c r="V3" s="2" t="e">
        <f ca="1">IF(OR(V2=V9,V2=V33,V2=V65,V2=V85),TRUE,FALSE)</f>
        <v>#DIV/0!</v>
      </c>
      <c r="W3" s="2" t="e">
        <f t="shared" ca="1" si="0"/>
        <v>#DIV/0!</v>
      </c>
      <c r="X3" s="2" t="e">
        <f t="shared" ca="1" si="0"/>
        <v>#DIV/0!</v>
      </c>
      <c r="Y3" s="2"/>
      <c r="Z3" s="2"/>
      <c r="AA3" s="2"/>
      <c r="AB3" s="2"/>
      <c r="AC3" s="2"/>
      <c r="AD3" s="2"/>
      <c r="AE3" s="2" t="e">
        <f t="shared" ca="1" si="0"/>
        <v>#DIV/0!</v>
      </c>
      <c r="AF3" s="2" t="e">
        <f t="shared" ca="1" si="0"/>
        <v>#DIV/0!</v>
      </c>
      <c r="AG3" s="2" t="e">
        <f t="shared" ca="1" si="0"/>
        <v>#DIV/0!</v>
      </c>
      <c r="AH3" s="2" t="e">
        <f t="shared" ca="1" si="0"/>
        <v>#DIV/0!</v>
      </c>
      <c r="AI3" s="2" t="e">
        <f t="shared" ca="1" si="0"/>
        <v>#DIV/0!</v>
      </c>
      <c r="AJ3" s="2" t="e">
        <f t="shared" ca="1" si="0"/>
        <v>#DIV/0!</v>
      </c>
      <c r="AK3" s="2" t="b">
        <f t="shared" ca="1" si="0"/>
        <v>1</v>
      </c>
      <c r="AL3" s="2" t="e">
        <f t="shared" ca="1" si="0"/>
        <v>#DIV/0!</v>
      </c>
      <c r="AM3" s="2" t="b">
        <f t="shared" ca="1" si="0"/>
        <v>1</v>
      </c>
      <c r="AN3" s="2" t="b">
        <f t="shared" ca="1" si="0"/>
        <v>1</v>
      </c>
      <c r="AO3" s="2" t="e">
        <f t="shared" si="0"/>
        <v>#DIV/0!</v>
      </c>
      <c r="AP3" s="2" t="e">
        <f t="shared" si="0"/>
        <v>#DIV/0!</v>
      </c>
      <c r="AQ3" s="2" t="e">
        <f t="shared" si="0"/>
        <v>#DIV/0!</v>
      </c>
      <c r="AR3" s="2"/>
    </row>
    <row r="4" spans="1:142" hidden="1" x14ac:dyDescent="0.35">
      <c r="F4" t="s">
        <v>258</v>
      </c>
      <c r="G4" s="2" t="e">
        <f>'Impact Analysis'!C34</f>
        <v>#DIV/0!</v>
      </c>
      <c r="H4" s="2" t="e">
        <f>'Impact Analysis'!D42</f>
        <v>#DIV/0!</v>
      </c>
      <c r="I4" s="2" t="e">
        <f>'Impact Analysis'!D50</f>
        <v>#DIV/0!</v>
      </c>
      <c r="J4" s="2" t="e">
        <f ca="1">'Impact Analysis'!D58</f>
        <v>#DIV/0!</v>
      </c>
      <c r="K4" s="2" t="e">
        <f ca="1">'Impact Analysis'!D59</f>
        <v>#DIV/0!</v>
      </c>
      <c r="L4" s="2" t="e">
        <f ca="1">'Impact Analysis'!D60</f>
        <v>#DIV/0!</v>
      </c>
      <c r="M4" s="2" t="e">
        <f ca="1">'Impact Analysis'!D63</f>
        <v>#DIV/0!</v>
      </c>
      <c r="N4" s="2" t="e">
        <f ca="1">'Impact Analysis'!D64</f>
        <v>#DIV/0!</v>
      </c>
      <c r="O4" s="2" t="e">
        <f ca="1">'Impact Analysis'!D65</f>
        <v>#DIV/0!</v>
      </c>
      <c r="P4" s="2"/>
      <c r="Q4" s="2"/>
      <c r="R4" s="2"/>
      <c r="S4" s="2"/>
      <c r="T4" s="2"/>
      <c r="U4" s="2"/>
      <c r="V4" s="2" t="e">
        <f ca="1">'Impact Analysis'!D84</f>
        <v>#DIV/0!</v>
      </c>
      <c r="W4" s="2" t="e">
        <f ca="1">'Impact Analysis'!D85</f>
        <v>#DIV/0!</v>
      </c>
      <c r="X4" s="2" t="e">
        <f ca="1">'Impact Analysis'!D86</f>
        <v>#DIV/0!</v>
      </c>
      <c r="Y4" s="2"/>
      <c r="Z4" s="2"/>
      <c r="AA4" s="2"/>
      <c r="AB4" s="2"/>
      <c r="AC4" s="2"/>
      <c r="AD4" s="2"/>
      <c r="AE4" s="2" t="e">
        <f ca="1">'Impact Analysis'!D101</f>
        <v>#DIV/0!</v>
      </c>
      <c r="AF4" s="2" t="e">
        <f ca="1">'Impact Analysis'!D102</f>
        <v>#DIV/0!</v>
      </c>
      <c r="AG4" s="2" t="e">
        <f ca="1">'Impact Analysis'!D103</f>
        <v>#DIV/0!</v>
      </c>
      <c r="AH4" s="2" t="e">
        <f ca="1">'Impact Analysis'!D106</f>
        <v>#DIV/0!</v>
      </c>
      <c r="AI4" s="2" t="e">
        <f ca="1">'Impact Analysis'!D107</f>
        <v>#DIV/0!</v>
      </c>
      <c r="AJ4" s="2" t="e">
        <f ca="1">'Impact Analysis'!D108</f>
        <v>#DIV/0!</v>
      </c>
      <c r="AK4" s="2">
        <f ca="1">'Impact Analysis'!D118</f>
        <v>0</v>
      </c>
      <c r="AL4" s="2" t="e">
        <f>'Impact Analysis'!D115</f>
        <v>#DIV/0!</v>
      </c>
      <c r="AM4" s="2">
        <f ca="1">'Impact Analysis'!D111</f>
        <v>0</v>
      </c>
      <c r="AN4" s="2">
        <f ca="1">'Impact Analysis'!D112</f>
        <v>0</v>
      </c>
      <c r="AO4" t="e">
        <f>'Impact Analysis'!D121</f>
        <v>#DIV/0!</v>
      </c>
      <c r="AP4" t="e">
        <f>'Impact Analysis'!D122</f>
        <v>#DIV/0!</v>
      </c>
      <c r="AQ4" t="e">
        <f>'Impact Analysis'!D123</f>
        <v>#DIV/0!</v>
      </c>
    </row>
    <row r="5" spans="1:142" hidden="1" x14ac:dyDescent="0.35">
      <c r="A5" t="s">
        <v>451</v>
      </c>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1:142" hidden="1" x14ac:dyDescent="0.35">
      <c r="A6" t="s">
        <v>452</v>
      </c>
    </row>
    <row r="7" spans="1:142" hidden="1" x14ac:dyDescent="0.35">
      <c r="AK7" s="15" t="s">
        <v>453</v>
      </c>
    </row>
    <row r="8" spans="1:142" s="2" customFormat="1" ht="84" x14ac:dyDescent="0.5">
      <c r="A8" s="10" t="s">
        <v>454</v>
      </c>
      <c r="B8" s="10" t="s">
        <v>455</v>
      </c>
      <c r="C8" s="10" t="s">
        <v>456</v>
      </c>
      <c r="D8" s="10" t="s">
        <v>457</v>
      </c>
      <c r="E8" s="10" t="s">
        <v>88</v>
      </c>
      <c r="F8" s="10" t="s">
        <v>458</v>
      </c>
      <c r="G8" s="262" t="s">
        <v>426</v>
      </c>
      <c r="H8" s="262" t="s">
        <v>427</v>
      </c>
      <c r="I8" s="262" t="s">
        <v>428</v>
      </c>
      <c r="J8" s="262" t="s">
        <v>429</v>
      </c>
      <c r="K8" s="262" t="s">
        <v>430</v>
      </c>
      <c r="L8" s="262" t="s">
        <v>431</v>
      </c>
      <c r="M8" s="262" t="s">
        <v>459</v>
      </c>
      <c r="N8" s="262" t="s">
        <v>433</v>
      </c>
      <c r="O8" s="262" t="s">
        <v>434</v>
      </c>
      <c r="P8" s="262" t="s">
        <v>460</v>
      </c>
      <c r="Q8" s="262" t="s">
        <v>461</v>
      </c>
      <c r="R8" s="262" t="s">
        <v>462</v>
      </c>
      <c r="S8" s="262" t="s">
        <v>463</v>
      </c>
      <c r="T8" s="262" t="s">
        <v>464</v>
      </c>
      <c r="U8" s="262" t="s">
        <v>465</v>
      </c>
      <c r="V8" s="262" t="s">
        <v>435</v>
      </c>
      <c r="W8" s="262" t="s">
        <v>436</v>
      </c>
      <c r="X8" s="262" t="s">
        <v>437</v>
      </c>
      <c r="Y8" s="262" t="s">
        <v>466</v>
      </c>
      <c r="Z8" s="262" t="s">
        <v>467</v>
      </c>
      <c r="AA8" s="262" t="s">
        <v>468</v>
      </c>
      <c r="AB8" s="262" t="s">
        <v>469</v>
      </c>
      <c r="AC8" s="262" t="s">
        <v>470</v>
      </c>
      <c r="AD8" s="262" t="s">
        <v>471</v>
      </c>
      <c r="AE8" s="262" t="s">
        <v>438</v>
      </c>
      <c r="AF8" s="262" t="s">
        <v>439</v>
      </c>
      <c r="AG8" s="262" t="s">
        <v>440</v>
      </c>
      <c r="AH8" s="262" t="s">
        <v>441</v>
      </c>
      <c r="AI8" s="262" t="s">
        <v>442</v>
      </c>
      <c r="AJ8" s="262" t="s">
        <v>443</v>
      </c>
      <c r="AK8" s="262" t="s">
        <v>444</v>
      </c>
      <c r="AL8" s="262" t="s">
        <v>445</v>
      </c>
      <c r="AM8" s="262" t="s">
        <v>446</v>
      </c>
      <c r="AN8" s="262" t="s">
        <v>447</v>
      </c>
      <c r="AO8" s="262" t="s">
        <v>448</v>
      </c>
      <c r="AP8" s="262" t="s">
        <v>449</v>
      </c>
      <c r="AQ8" s="262" t="s">
        <v>450</v>
      </c>
      <c r="AR8" s="262" t="s">
        <v>358</v>
      </c>
      <c r="AS8" s="2" t="s">
        <v>472</v>
      </c>
      <c r="AV8" s="263" t="s">
        <v>473</v>
      </c>
      <c r="AW8" s="167" t="s">
        <v>454</v>
      </c>
      <c r="AX8" s="167" t="s">
        <v>455</v>
      </c>
      <c r="AY8" s="167" t="s">
        <v>456</v>
      </c>
      <c r="AZ8" s="167" t="s">
        <v>457</v>
      </c>
      <c r="BA8" s="167" t="s">
        <v>88</v>
      </c>
      <c r="BB8" s="167" t="s">
        <v>458</v>
      </c>
      <c r="BC8" s="167" t="s">
        <v>426</v>
      </c>
      <c r="BD8" s="167" t="s">
        <v>427</v>
      </c>
      <c r="BE8" s="167" t="s">
        <v>428</v>
      </c>
      <c r="BF8" s="10" t="s">
        <v>429</v>
      </c>
      <c r="BG8" s="10" t="s">
        <v>430</v>
      </c>
      <c r="BH8" s="10" t="s">
        <v>431</v>
      </c>
      <c r="BI8" s="10" t="s">
        <v>459</v>
      </c>
      <c r="BJ8" s="10" t="s">
        <v>433</v>
      </c>
      <c r="BK8" s="10" t="s">
        <v>434</v>
      </c>
      <c r="BL8" s="10" t="s">
        <v>474</v>
      </c>
      <c r="BM8" s="10" t="s">
        <v>475</v>
      </c>
      <c r="BN8" s="10" t="s">
        <v>476</v>
      </c>
      <c r="BO8" s="10" t="s">
        <v>477</v>
      </c>
      <c r="BP8" s="10" t="s">
        <v>478</v>
      </c>
      <c r="BQ8" s="10" t="s">
        <v>479</v>
      </c>
      <c r="BR8" s="10" t="s">
        <v>435</v>
      </c>
      <c r="BS8" s="10" t="s">
        <v>436</v>
      </c>
      <c r="BT8" s="10" t="s">
        <v>437</v>
      </c>
      <c r="BU8" s="10" t="s">
        <v>466</v>
      </c>
      <c r="BV8" s="10" t="s">
        <v>467</v>
      </c>
      <c r="BW8" s="10" t="s">
        <v>468</v>
      </c>
      <c r="BX8" s="10" t="s">
        <v>469</v>
      </c>
      <c r="BY8" s="10" t="s">
        <v>470</v>
      </c>
      <c r="BZ8" s="10" t="s">
        <v>471</v>
      </c>
      <c r="CA8" s="10" t="s">
        <v>438</v>
      </c>
      <c r="CB8" s="10" t="s">
        <v>439</v>
      </c>
      <c r="CC8" s="10" t="s">
        <v>440</v>
      </c>
      <c r="CD8" s="10" t="s">
        <v>441</v>
      </c>
      <c r="CE8" s="10" t="s">
        <v>442</v>
      </c>
      <c r="CF8" s="10" t="s">
        <v>443</v>
      </c>
      <c r="CG8" s="167" t="s">
        <v>444</v>
      </c>
      <c r="CH8" s="10" t="s">
        <v>445</v>
      </c>
      <c r="CI8" s="167" t="s">
        <v>446</v>
      </c>
      <c r="CJ8" s="167" t="s">
        <v>447</v>
      </c>
      <c r="CK8" s="167" t="s">
        <v>448</v>
      </c>
      <c r="CL8" s="167" t="s">
        <v>449</v>
      </c>
      <c r="CM8" s="167" t="s">
        <v>450</v>
      </c>
      <c r="CN8" s="167" t="s">
        <v>358</v>
      </c>
      <c r="CO8" s="2" t="s">
        <v>472</v>
      </c>
      <c r="CS8" s="263" t="s">
        <v>480</v>
      </c>
      <c r="CT8" s="2" t="s">
        <v>454</v>
      </c>
      <c r="CU8" s="2" t="s">
        <v>455</v>
      </c>
      <c r="CV8" s="2" t="s">
        <v>456</v>
      </c>
      <c r="CW8" s="2" t="s">
        <v>457</v>
      </c>
      <c r="CX8" s="2" t="s">
        <v>88</v>
      </c>
      <c r="CY8" s="2" t="s">
        <v>458</v>
      </c>
      <c r="CZ8" s="2" t="s">
        <v>426</v>
      </c>
      <c r="DA8" s="2" t="s">
        <v>427</v>
      </c>
      <c r="DB8" s="2" t="s">
        <v>428</v>
      </c>
      <c r="DC8" s="2" t="s">
        <v>429</v>
      </c>
      <c r="DD8" s="2" t="s">
        <v>430</v>
      </c>
      <c r="DE8" s="2" t="s">
        <v>431</v>
      </c>
      <c r="DF8" s="2" t="s">
        <v>459</v>
      </c>
      <c r="DG8" s="2" t="s">
        <v>433</v>
      </c>
      <c r="DH8" s="2" t="s">
        <v>434</v>
      </c>
      <c r="DI8" s="2" t="s">
        <v>481</v>
      </c>
      <c r="DJ8" s="2" t="s">
        <v>482</v>
      </c>
      <c r="DK8" s="2" t="s">
        <v>483</v>
      </c>
      <c r="DL8" s="2" t="s">
        <v>477</v>
      </c>
      <c r="DM8" s="2" t="s">
        <v>478</v>
      </c>
      <c r="DN8" s="2" t="s">
        <v>479</v>
      </c>
      <c r="DO8" s="2" t="s">
        <v>435</v>
      </c>
      <c r="DP8" s="2" t="s">
        <v>436</v>
      </c>
      <c r="DQ8" s="2" t="s">
        <v>437</v>
      </c>
      <c r="DR8" s="2" t="s">
        <v>466</v>
      </c>
      <c r="DS8" s="2" t="s">
        <v>467</v>
      </c>
      <c r="DT8" s="2" t="s">
        <v>468</v>
      </c>
      <c r="DU8" s="2" t="s">
        <v>469</v>
      </c>
      <c r="DV8" s="2" t="s">
        <v>470</v>
      </c>
      <c r="DW8" s="2" t="s">
        <v>471</v>
      </c>
      <c r="DX8" s="2" t="s">
        <v>438</v>
      </c>
      <c r="DY8" s="2" t="s">
        <v>439</v>
      </c>
      <c r="DZ8" s="2" t="s">
        <v>440</v>
      </c>
      <c r="EA8" s="2" t="s">
        <v>441</v>
      </c>
      <c r="EB8" s="2" t="s">
        <v>442</v>
      </c>
      <c r="EC8" s="2" t="s">
        <v>443</v>
      </c>
      <c r="ED8" s="2" t="s">
        <v>444</v>
      </c>
      <c r="EE8" s="2" t="s">
        <v>445</v>
      </c>
      <c r="EF8" s="2" t="s">
        <v>446</v>
      </c>
      <c r="EG8" s="2" t="s">
        <v>447</v>
      </c>
      <c r="EH8" s="2" t="s">
        <v>448</v>
      </c>
      <c r="EI8" s="2" t="s">
        <v>449</v>
      </c>
      <c r="EJ8" s="2" t="s">
        <v>450</v>
      </c>
      <c r="EK8" s="2" t="s">
        <v>358</v>
      </c>
      <c r="EL8" s="2" t="s">
        <v>472</v>
      </c>
    </row>
    <row r="9" spans="1:142" x14ac:dyDescent="0.35">
      <c r="A9" s="241" t="s">
        <v>484</v>
      </c>
      <c r="B9" s="241" t="s">
        <v>382</v>
      </c>
      <c r="C9" s="241" t="str">
        <f>IF(ISNUMBER(SEARCH("A1",A9)),"A1","A2")</f>
        <v>A1</v>
      </c>
      <c r="D9" s="241" t="s">
        <v>485</v>
      </c>
      <c r="E9" s="241" t="s">
        <v>486</v>
      </c>
      <c r="F9">
        <f>MATCH(Impacts_Additional[[#This Row],[Indicator]],Material_Impacts[Look up],0)</f>
        <v>57</v>
      </c>
      <c r="G9" s="246" cm="1">
        <f t="array" aca="1" ref="G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 s="164" cm="1">
        <f t="array" ref="H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 s="164" t="e">
        <f>Diesel_RawM_Prim*INDEX(Indicators,MATCH(Impacts_Additional[[#This Row],[Indicator]],Materials!$D:$D,0),MATCH("Diesel Combustion",Materials!$1:$1,0))*Diesel_density*Project_Area*Prim_Lays*Area_trans</f>
        <v>#DIV/0!</v>
      </c>
      <c r="J9" s="326" t="e" cm="1">
        <f t="array" aca="1" ref="J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 s="326" t="e" cm="1">
        <f t="array" aca="1" ref="K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 s="129" t="e" cm="1">
        <f t="array" aca="1" ref="L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 s="326" t="e" cm="1">
        <f t="array" aca="1" ref="M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 s="326" t="e" cm="1">
        <f t="array" aca="1" ref="N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 s="129" t="e" cm="1">
        <f t="array" aca="1" ref="O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 s="326" t="e" cm="1">
        <f t="array" aca="1" ref="P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 s="326" t="e" cm="1">
        <f t="array" aca="1" ref="Q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 s="129" t="e" cm="1">
        <f t="array" aca="1" ref="R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 s="326" t="e" cm="1">
        <f t="array" aca="1" ref="S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 s="326" t="e" cm="1">
        <f t="array" aca="1" ref="T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 s="129" t="e" cm="1">
        <f t="array" aca="1" ref="U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 s="326" t="e" cm="1">
        <f t="array" aca="1" ref="V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 s="326" t="e" cm="1">
        <f t="array" aca="1" ref="W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 s="129" t="e" cm="1">
        <f t="array" aca="1" ref="X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 s="326" t="e" cm="1">
        <f t="array" aca="1" ref="Y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 s="326" t="e" cm="1">
        <f t="array" aca="1" ref="Z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 s="129" t="e" cm="1">
        <f t="array" aca="1" ref="AA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 s="326" t="e" cm="1">
        <f t="array" aca="1" ref="AB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 s="326" t="e" cm="1">
        <f t="array" aca="1" ref="AC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 s="129" t="e" cm="1">
        <f t="array" aca="1" ref="AD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 s="326" t="e" cm="1">
        <f t="array" aca="1" ref="AE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 s="326" t="e" cm="1">
        <f t="array" aca="1" ref="AF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 s="129" t="e" cm="1">
        <f t="array" aca="1" ref="AG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 s="331" t="e" cm="1">
        <f t="array" aca="1" ref="AH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 s="331" t="e" cm="1">
        <f t="array" aca="1" ref="AI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 s="183" t="e" cm="1">
        <f t="array" aca="1" ref="AJ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 s="242" cm="1">
        <f t="array" aca="1" ref="AK9" ca="1">((E_modulus_Prim/40114)^-0.25)*((Subgrade_stiffness_Prim/35)^-0.25)*((Surface_thickness_Prim/0.22)^-0.75)*Area_trans*delflec_switch*SUM((INDEX(PVI_vehicle_EFC,1,1)/INDEX(PVI_fuel_energy_density,1,1))*(INDEX(Indicators,MATCH('Additional Impact Indicators'!$A9,Materials!$D:$D,0),MATCH("diesel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Indicators'!$A9,Materials!$D:$D,0),MATCH("bio-diesel combustion",Materials!$1:$1,0))*((1-enviro_disc)^Handle_years)*Handle_electricity_emissions:OFFSET(Handle_electricity_emissions,0,Results_timespan-1)^0)*OFFSET(Handle_traffic_fleet,6,0):OFFSET(Handle_traffic_fleet,6,Results_timespan-1))</f>
        <v>0</v>
      </c>
      <c r="AL9" s="242" cm="1">
        <f t="array" aca="1" ref="AL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 s="243" cm="1">
        <f t="array" aca="1" ref="AM9" ca="1">(SUMPRODUCT(Delay_emissions_table[Consumption of Diesel (kg) - Primary Scenario],IF(Delay_emissions_table[Form of Maintenance - Primary Scenario]="Life Extension",1,0))*INDEX(Indicators,MATCH('Additional Impact Indicators'!$A9,Materials!$D:$D,0),MATCH("diesel combustion",Materials!$1:$1,0))+SUMPRODUCT(Delay_emissions_table[Consumption of Petrol (kg) - Primary Scenario],IF(Delay_emissions_table[Form of Maintenance - Primary Scenario]="Life Extension",1,0))*INDEX(Indicators,MATCH('Additional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Primary Scenario],IF(Delay_emissions_table[Form of Maintenance - Primary Scenario]="Life Extension",1,0)),0))*Area_trans*Time_adj_Prim</f>
        <v>0</v>
      </c>
      <c r="AN9" s="243" cm="1">
        <f t="array" aca="1" ref="AN9" ca="1">(SUMPRODUCT(Delay_emissions_table[Consumption of Diesel (kg) - Primary Scenario],IF(Delay_emissions_table[Form of Maintenance - Primary Scenario]="Replacement",1,0))*INDEX(Indicators,MATCH('Additional Impact Indicators'!$A9,Materials!$D:$D,0),MATCH("diesel combustion",Materials!$1:$1,0))+SUMPRODUCT(Delay_emissions_table[Consumption of Petrol (kg) - Primary Scenario],IF(Delay_emissions_table[Form of Maintenance - Primary Scenario]="Replacement",1,0))*INDEX(Indicators,MATCH('Additional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Primary Scenario],IF(Delay_emissions_table[Form of Maintenance - Primary Scenario]="Replacement",1,0)),0))*Area_trans*Time_adj_Prim</f>
        <v>0</v>
      </c>
      <c r="AO9" s="244" t="e" cm="1">
        <f t="array" ref="AO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 s="244" t="e" cm="1">
        <f t="array" ref="AP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 s="245" t="e" cm="1">
        <f t="array" ref="AQ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 s="385" t="e" cm="1">
        <f t="array" ref="AR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 t="e">
        <f ca="1">SUMIF('Additional Impact Indicators'!$G9:$AQ9,"&lt;&gt;#N/A")</f>
        <v>#DIV/0!</v>
      </c>
      <c r="AW9" s="241" t="s">
        <v>484</v>
      </c>
      <c r="AX9" s="241" t="s">
        <v>382</v>
      </c>
      <c r="AY9" s="155" t="str">
        <f>IF(ISNUMBER(SEARCH("A1",AW9)),"A1","A2")</f>
        <v>A1</v>
      </c>
      <c r="AZ9" s="241" t="s">
        <v>485</v>
      </c>
      <c r="BA9" s="155" t="s">
        <v>486</v>
      </c>
      <c r="BB9" s="155">
        <f>MATCH(Table3[[#This Row],[Indicator]],Material_Impacts[Look up],0)</f>
        <v>57</v>
      </c>
      <c r="BC9" s="246" cm="1">
        <f t="array" aca="1" ref="BC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 s="164" cm="1">
        <f t="array" ref="BD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 s="164" t="e">
        <f>Diesel_RawM_Sec*INDEX(Indicators,MATCH(Impacts_Additional[[#This Row],[Indicator]],Materials!$D:$D,0),MATCH("Diesel Combustion",Materials!$1:$1,0))*Diesel_density*Project_Area*Sec_Lays*Area_trans</f>
        <v>#DIV/0!</v>
      </c>
      <c r="BF9" s="334" t="e" cm="1">
        <f t="array" aca="1" ref="BF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 s="334" t="e" cm="1">
        <f t="array" aca="1" ref="BG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 s="5" t="e" cm="1">
        <f t="array" aca="1" ref="BH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 s="334" t="e" cm="1">
        <f t="array" aca="1" ref="BI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 s="334" t="e" cm="1">
        <f t="array" aca="1" ref="BJ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 s="5" t="e" cm="1">
        <f t="array" aca="1" ref="BK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 s="334" t="e" cm="1">
        <f t="array" aca="1" ref="BL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 s="334" t="e" cm="1">
        <f t="array" aca="1" ref="BM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 s="5" t="e" cm="1">
        <f t="array" aca="1" ref="BN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 s="334" t="e" cm="1">
        <f t="array" aca="1" ref="BO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 s="334" t="e" cm="1">
        <f t="array" aca="1" ref="BP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 s="5" t="e" cm="1">
        <f t="array" aca="1" ref="BQ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 s="334" t="e" cm="1">
        <f t="array" aca="1" ref="BR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 s="334" t="e" cm="1">
        <f t="array" aca="1" ref="BS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 s="5" t="e" cm="1">
        <f t="array" aca="1" ref="BT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 s="334" t="e" cm="1">
        <f t="array" aca="1" ref="BU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 s="334" t="e" cm="1">
        <f t="array" aca="1" ref="BV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 s="5" t="e" cm="1">
        <f t="array" aca="1" ref="BW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 s="334" t="e" cm="1">
        <f t="array" aca="1" ref="BX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 s="334" t="e" cm="1">
        <f t="array" aca="1" ref="BY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 s="5" t="e" cm="1">
        <f t="array" aca="1" ref="BZ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 s="334" t="e" cm="1">
        <f t="array" aca="1" ref="CA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 s="334" t="e" cm="1">
        <f t="array" aca="1" ref="CB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 s="5" t="e" cm="1">
        <f t="array" aca="1" ref="CC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 s="334" t="e" cm="1">
        <f t="array" aca="1" ref="CD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 s="334" t="e" cm="1">
        <f t="array" aca="1" ref="CE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 s="5" t="e" cm="1">
        <f t="array" aca="1" ref="CF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 s="242" cm="1">
        <f t="array" aca="1" ref="CG9" ca="1">((E_modulus_Sec/40114)^-0.25)*((Subgrade_stiffness_Sec/35)^-0.25)*((Surface_thickness_Sec/0.22)^-0.75)*Area_trans*delflec_switch*SUM((INDEX(PVI_vehicle_EFC,1,1)/INDEX(PVI_fuel_energy_density,1,1))*(INDEX(Indicators,MATCH('Additional Impact Indicators'!$A9,Materials!$D:$D,0),MATCH("diesel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Indicators'!$A9,Materials!$D:$D,0),MATCH("bio-diesel combustion",Materials!$1:$1,0))*((1-enviro_disc)^Handle_years)*Handle_electricity_emissions:OFFSET(Handle_electricity_emissions,0,Results_timespan-1)^0)*OFFSET(Handle_traffic_fleet,6,0):OFFSET(Handle_traffic_fleet,6,Results_timespan-1))</f>
        <v>0</v>
      </c>
      <c r="CH9" s="376" cm="1">
        <f t="array" aca="1" ref="CH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 s="243" cm="1">
        <f t="array" aca="1" ref="CI9" ca="1">(SUMPRODUCT(Delay_emissions_table[Consumption of Diesel (kg) - Secondary Scenario],IF(Delay_emissions_table[Form of Maintenance - Secondary Scenario]="Life Extension",1,0))*INDEX(Indicators,MATCH('Additional Impact Indicators'!$A9,Materials!$D:$D,0),MATCH("diesel combustion",Materials!$1:$1,0))+SUMPRODUCT(Delay_emissions_table[Consumption of Petrol (kg) - Secondary Scenario],IF(Delay_emissions_table[Form of Maintenance - Secondary Scenario]="Life Extension",1,0))*INDEX(Indicators,MATCH('Additional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Secondary Scenario],IF(Delay_emissions_table[Form of Maintenance - Secondary Scenario]="Life Extension",1,0)),0))*Area_trans*time_adj_Sec</f>
        <v>0</v>
      </c>
      <c r="CJ9" s="243" cm="1">
        <f t="array" aca="1" ref="CJ9" ca="1">(SUMPRODUCT(Delay_emissions_table[Consumption of Diesel (kg) - Secondary Scenario],IF(Delay_emissions_table[Form of Maintenance - Secondary Scenario]="Replacement",1,0))*INDEX(Indicators,MATCH('Additional Impact Indicators'!$A9,Materials!$D:$D,0),MATCH("diesel combustion",Materials!$1:$1,0))+SUMPRODUCT(Delay_emissions_table[Consumption of Petrol (kg) - Secondary Scenario],IF(Delay_emissions_table[Form of Maintenance - Secondary Scenario]="Replacement",1,0))*INDEX(Indicators,MATCH('Additional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Secondary Scenario],IF(Delay_emissions_table[Form of Maintenance - Secondary Scenario]="Replacement",1,0)),0))*Area_trans*time_adj_Sec</f>
        <v>0</v>
      </c>
      <c r="CK9" s="244" t="e" cm="1">
        <f t="array" ref="CK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 s="244" t="e" cm="1">
        <f t="array" ref="CL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 s="245" t="e" cm="1">
        <f t="array" ref="CM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 s="387" t="e" cm="1">
        <f t="array" ref="CN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 s="51" t="e">
        <f ca="1">SUMIF(Table3[[#This Row],[Raw-Materials]:[Transport to recycling facility]],"&lt;&gt;#N/A")</f>
        <v>#DIV/0!</v>
      </c>
      <c r="CT9" t="s">
        <v>484</v>
      </c>
      <c r="CU9" t="s">
        <v>382</v>
      </c>
      <c r="CV9" t="str">
        <f>IF(ISNUMBER(SEARCH("A1",CT9)),"A1","A2")</f>
        <v>A1</v>
      </c>
      <c r="CW9" t="s">
        <v>485</v>
      </c>
      <c r="CX9" t="s">
        <v>486</v>
      </c>
      <c r="CY9">
        <f>MATCH(Table611[[#This Row],[Indicator]],Material_Impacts[Look up],0)</f>
        <v>57</v>
      </c>
      <c r="CZ9" s="246" cm="1">
        <f t="array" aca="1" ref="CZ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 s="164" cm="1">
        <f t="array" ref="DA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 s="164" t="e">
        <f>Diesel_RawM_Tert*INDEX(Indicators,MATCH(Impacts_Additional[[#This Row],[Indicator]],Materials!$D:$D,0),MATCH("Diesel Combustion",Materials!$1:$1,0))*Diesel_density*Project_Area*Tert_Lays*Area_trans</f>
        <v>#DIV/0!</v>
      </c>
      <c r="DC9" s="334" t="e" cm="1">
        <f t="array" aca="1" ref="DC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 s="334" t="e" cm="1">
        <f t="array" aca="1" ref="DD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 s="5" t="e" cm="1">
        <f t="array" aca="1" ref="DE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 s="334" t="e" cm="1">
        <f t="array" aca="1" ref="DF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 s="334" t="e" cm="1">
        <f t="array" aca="1" ref="DG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 s="5" t="e" cm="1">
        <f t="array" aca="1" ref="DH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 s="334" t="e" cm="1">
        <f t="array" aca="1" ref="DI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 s="334" t="e" cm="1">
        <f t="array" aca="1" ref="DJ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 s="5" t="e" cm="1">
        <f t="array" aca="1" ref="DK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 s="334" t="e" cm="1">
        <f t="array" aca="1" ref="DL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 s="334" t="e" cm="1">
        <f t="array" aca="1" ref="DM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 s="5" t="e" cm="1">
        <f t="array" aca="1" ref="DN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 s="334" t="e" cm="1">
        <f t="array" aca="1" ref="DO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 s="334" t="e" cm="1">
        <f t="array" aca="1" ref="DP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 s="5" t="e" cm="1">
        <f t="array" aca="1" ref="DQ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 s="334" t="e" cm="1">
        <f t="array" aca="1" ref="DR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 s="334" t="e" cm="1">
        <f t="array" aca="1" ref="DS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 s="5" t="e" cm="1">
        <f t="array" aca="1" ref="DT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 s="334" t="e" cm="1">
        <f t="array" aca="1" ref="DU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 s="334" t="e" cm="1">
        <f t="array" aca="1" ref="DV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 s="5" t="e" cm="1">
        <f t="array" aca="1" ref="DW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 s="334" t="e" cm="1">
        <f t="array" aca="1" ref="DX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 s="334" t="e" cm="1">
        <f t="array" aca="1" ref="DY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 s="5" t="e" cm="1">
        <f t="array" aca="1" ref="DZ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 s="334" t="e" cm="1">
        <f t="array" aca="1" ref="EA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 s="334" t="e" cm="1">
        <f t="array" aca="1" ref="EB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 s="5" t="e" cm="1">
        <f t="array" aca="1" ref="EC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 s="242" cm="1">
        <f t="array" aca="1" ref="ED9" ca="1">((E_modulus_Tert/40114)^-0.25)*((Subgrade_stiffness_Tert/35)^-0.25)*((Surface_thickness_Tert/0.22)^-0.75)*Area_trans*delflec_switch*SUM((INDEX(PVI_vehicle_EFC,1,1)/INDEX(PVI_fuel_energy_density,1,1))*(INDEX(Indicators,MATCH('Additional Impact Indicators'!$A9,Materials!$D:$D,0),MATCH("diesel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Indicators'!$A9,Materials!$D:$D,0),MATCH("bio-diesel combustion",Materials!$1:$1,0))*((1-enviro_disc)^Handle_years)*Handle_electricity_emissions:OFFSET(Handle_electricity_emissions,0,Results_timespan-1)^0)*OFFSET(Handle_traffic_fleet,6,0):OFFSET(Handle_traffic_fleet,6,Results_timespan-1))</f>
        <v>0</v>
      </c>
      <c r="EE9" s="376" cm="1">
        <f t="array" aca="1" ref="EE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 s="243" cm="1">
        <f t="array" aca="1" ref="EF9" ca="1">(SUMPRODUCT(Delay_emissions_table[Consumption of Diesel (kg) - Tertiary Scenario],IF(Delay_emissions_table[Form of Maintenance - Tertiary Scenario]="Life Extension",1,0))*INDEX(Indicators,MATCH('Additional Impact Indicators'!$A9,Materials!$D:$D,0),MATCH("diesel combustion",Materials!$1:$1,0))+SUMPRODUCT(Delay_emissions_table[Consumption of Petrol (kg) - Tertiary Scenario],IF(Delay_emissions_table[Form of Maintenance - Tertiary Scenario]="Life Extension",1,0))*INDEX(Indicators,MATCH('Additional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Tertiary Scenario],IF(Delay_emissions_table[Form of Maintenance - Tertiary Scenario]="Life Extension",1,0)),0))*Area_trans*Time_adj_Tert</f>
        <v>0</v>
      </c>
      <c r="EG9" s="243" cm="1">
        <f t="array" aca="1" ref="EG9" ca="1">(SUMPRODUCT(Delay_emissions_table[Consumption of Diesel (kg) - Tertiary Scenario],IF(Delay_emissions_table[Form of Maintenance - Tertiary Scenario]="Replacement",1,0))*INDEX(Indicators,MATCH('Additional Impact Indicators'!$A9,Materials!$D:$D,0),MATCH("diesel combustion",Materials!$1:$1,0))+SUMPRODUCT(Delay_emissions_table[Consumption of Petrol (kg) - Tertiary Scenario],IF(Delay_emissions_table[Form of Maintenance - Tertiary Scenario]="Replacement",1,0))*INDEX(Indicators,MATCH('Additional Impact Indicators'!$A9,Materials!$D:$D,0),MATCH("petrol combustion",Materials!$1:$1,0))+IFERROR(SUMPRODUCT(TRANSPOSE(INDEX(elec_project_emissions,MATCH(Elec_scenario&amp;'Additional Impact Indicators'!$B9,INDEX(Electricity_projection,0,3),0)-1,0)),Delay_emissions_table[Consumption of electricity (MJ) - Tertiary Scenario],IF(Delay_emissions_table[Form of Maintenance - Tertiary Scenario]="Replacement",1,0)),0))*Area_trans*Time_adj_Tert</f>
        <v>0</v>
      </c>
      <c r="EH9" s="244" t="e" cm="1">
        <f t="array" ref="EH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 s="244" t="e" cm="1">
        <f t="array" ref="EI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 s="245" t="e" cm="1">
        <f t="array" ref="EJ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 s="253" t="e" cm="1">
        <f t="array" ref="EK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 t="e">
        <f ca="1">SUMIF(Table611[[#This Row],[Raw-Materials]:[Transport to recycling facility]],"&lt;&gt;#N/A")</f>
        <v>#DIV/0!</v>
      </c>
    </row>
    <row r="10" spans="1:142" x14ac:dyDescent="0.35">
      <c r="A10" t="s">
        <v>487</v>
      </c>
      <c r="B10" t="s">
        <v>391</v>
      </c>
      <c r="C10" t="str">
        <f t="shared" ref="C10:C72" si="1">IF(ISNUMBER(SEARCH("A1",A10)),"A1","A2")</f>
        <v>A1</v>
      </c>
      <c r="D10" t="s">
        <v>485</v>
      </c>
      <c r="F10">
        <f>MATCH(Impacts_Additional[[#This Row],[Indicator]],Material_Impacts[Look up],0)</f>
        <v>54</v>
      </c>
      <c r="G10" s="246" cm="1">
        <f t="array" aca="1" ref="G1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 s="166" cm="1">
        <f t="array" ref="H1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 s="166" t="e">
        <f>Diesel_RawM_Prim*INDEX(Indicators,MATCH(Impacts_Additional[[#This Row],[Indicator]],Materials!$D:$D,0),MATCH("Diesel Combustion",Materials!$1:$1,0))*Diesel_density*Project_Area*Prim_Lays*Area_trans</f>
        <v>#DIV/0!</v>
      </c>
      <c r="J10" s="20" t="e" cm="1">
        <f t="array" aca="1" ref="J1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 s="20" t="e" cm="1">
        <f t="array" aca="1" ref="K1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 s="20" t="e" cm="1">
        <f t="array" aca="1" ref="L1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 s="20" t="e" cm="1">
        <f t="array" aca="1" ref="M1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 s="20" t="e" cm="1">
        <f t="array" aca="1" ref="N1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 s="20" t="e" cm="1">
        <f t="array" aca="1" ref="O1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 s="20" t="e" cm="1">
        <f t="array" aca="1" ref="P1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 s="20" t="e" cm="1">
        <f t="array" aca="1" ref="Q1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 s="20" t="e" cm="1">
        <f t="array" aca="1" ref="R1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 s="20" t="e" cm="1">
        <f t="array" aca="1" ref="S1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 s="20" t="e" cm="1">
        <f t="array" aca="1" ref="T1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 s="20" t="e" cm="1">
        <f t="array" aca="1" ref="U1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 s="20" t="e" cm="1">
        <f t="array" aca="1" ref="V1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 s="20" t="e" cm="1">
        <f t="array" aca="1" ref="W1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 s="20" t="e" cm="1">
        <f t="array" aca="1" ref="X1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 s="20" t="e" cm="1">
        <f t="array" aca="1" ref="Y1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 s="20" t="e" cm="1">
        <f t="array" aca="1" ref="Z1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 s="20" t="e" cm="1">
        <f t="array" aca="1" ref="AA1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 s="20" t="e" cm="1">
        <f t="array" aca="1" ref="AB1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 s="20" t="e" cm="1">
        <f t="array" aca="1" ref="AC1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 s="20" t="e" cm="1">
        <f t="array" aca="1" ref="AD1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 s="20" t="e" cm="1">
        <f t="array" aca="1" ref="AE1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 s="20" t="e" cm="1">
        <f t="array" aca="1" ref="AF1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 s="20" t="e" cm="1">
        <f t="array" aca="1" ref="AG1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 s="20" t="e" cm="1">
        <f t="array" aca="1" ref="AH1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 s="20" t="e" cm="1">
        <f t="array" aca="1" ref="AI1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 s="20" t="e" cm="1">
        <f t="array" aca="1" ref="AJ1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 s="166" cm="1">
        <f t="array" aca="1" ref="AK10" ca="1">((E_modulus_Prim/40114)^-0.25)*((Subgrade_stiffness_Prim/35)^-0.25)*((Surface_thickness_Prim/0.22)^-0.75)*Area_trans*delflec_switch*SUM((INDEX(PVI_vehicle_EFC,1,1)/INDEX(PVI_fuel_energy_density,1,1))*(INDEX(Indicators,MATCH('Additional Impact Indicators'!$A10,Materials!$D:$D,0),MATCH("diesel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Indicators'!$A10,Materials!$D:$D,0),MATCH("bio-diesel combustion",Materials!$1:$1,0))*((1-enviro_disc)^Handle_years)*Handle_electricity_emissions:OFFSET(Handle_electricity_emissions,0,Results_timespan-1)^0)*OFFSET(Handle_traffic_fleet,6,0):OFFSET(Handle_traffic_fleet,6,Results_timespan-1))</f>
        <v>0</v>
      </c>
      <c r="AL10" s="166" cm="1">
        <f t="array" aca="1" ref="AL1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 s="247" cm="1">
        <f t="array" aca="1" ref="AM10" ca="1">(SUMPRODUCT(Delay_emissions_table[Consumption of Diesel (kg) - Primary Scenario],IF(Delay_emissions_table[Form of Maintenance - Primary Scenario]="Life Extension",1,0))*INDEX(Indicators,MATCH('Additional Impact Indicators'!$A10,Materials!$D:$D,0),MATCH("diesel combustion",Materials!$1:$1,0))+SUMPRODUCT(Delay_emissions_table[Consumption of Petrol (kg) - Primary Scenario],IF(Delay_emissions_table[Form of Maintenance - Primary Scenario]="Life Extension",1,0))*INDEX(Indicators,MATCH('Additional Impact Indicators'!$A10,Materials!$D:$D,0),MATCH("petrol combustion",Materials!$1:$1,0))+IFERROR(SUMPRODUCT(TRANSPOSE(INDEX(elec_project_emissions,MATCH(Elec_scenario&amp;'Additional Impact Indicators'!$B10,INDEX(Electricity_projection,0,3),0)-1,0)),Delay_emissions_table[Consumption of electricity (MJ) - Primary Scenario],IF(Delay_emissions_table[Form of Maintenance - Primary Scenario]="Life Extension",1,0)),0))*Area_trans*Time_adj_Prim</f>
        <v>0</v>
      </c>
      <c r="AN10" s="247" cm="1">
        <f t="array" aca="1" ref="AN10" ca="1">(SUMPRODUCT(Delay_emissions_table[Consumption of Diesel (kg) - Primary Scenario],IF(Delay_emissions_table[Form of Maintenance - Primary Scenario]="Replacement",1,0))*INDEX(Indicators,MATCH('Additional Impact Indicators'!$A10,Materials!$D:$D,0),MATCH("diesel combustion",Materials!$1:$1,0))+SUMPRODUCT(Delay_emissions_table[Consumption of Petrol (kg) - Primary Scenario],IF(Delay_emissions_table[Form of Maintenance - Primary Scenario]="Replacement",1,0))*INDEX(Indicators,MATCH('Additional Impact Indicators'!$A10,Materials!$D:$D,0),MATCH("petrol combustion",Materials!$1:$1,0))+IFERROR(SUMPRODUCT(TRANSPOSE(INDEX(elec_project_emissions,MATCH(Elec_scenario&amp;'Additional Impact Indicators'!$B10,INDEX(Electricity_projection,0,3),0)-1,0)),Delay_emissions_table[Consumption of electricity (MJ) - Primary Scenario],IF(Delay_emissions_table[Form of Maintenance - Primary Scenario]="Replacement",1,0)),0))*Area_trans*Time_adj_Prim</f>
        <v>0</v>
      </c>
      <c r="AO10" s="248" t="e" cm="1">
        <f t="array" ref="AO1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 s="248" t="e" cm="1">
        <f t="array" ref="AP1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 s="249" t="e" cm="1">
        <f t="array" ref="AQ1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 s="386" t="e" cm="1">
        <f t="array" ref="AR1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 t="e">
        <f ca="1">SUMIF('Additional Impact Indicators'!$G10:$AQ10,"&lt;&gt;#N/A")</f>
        <v>#DIV/0!</v>
      </c>
      <c r="AW10" t="s">
        <v>487</v>
      </c>
      <c r="AX10" t="s">
        <v>391</v>
      </c>
      <c r="AY10" t="str">
        <f t="shared" ref="AY10:AY60" si="2">IF(ISNUMBER(SEARCH("A1",AW10)),"A1","A2")</f>
        <v>A1</v>
      </c>
      <c r="AZ10" t="s">
        <v>485</v>
      </c>
      <c r="BB10">
        <f>MATCH(Table3[[#This Row],[Indicator]],Material_Impacts[Look up],0)</f>
        <v>54</v>
      </c>
      <c r="BC10" s="246" cm="1">
        <f t="array" aca="1" ref="BC1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 s="166" cm="1">
        <f t="array" ref="BD1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 s="166" t="e">
        <f>Diesel_RawM_Sec*INDEX(Indicators,MATCH(Impacts_Additional[[#This Row],[Indicator]],Materials!$D:$D,0),MATCH("Diesel Combustion",Materials!$1:$1,0))*Diesel_density*Project_Area*Sec_Lays*Area_trans</f>
        <v>#DIV/0!</v>
      </c>
      <c r="BF10" s="35" t="e" cm="1">
        <f t="array" aca="1" ref="BF1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 s="35" t="e" cm="1">
        <f t="array" aca="1" ref="BG1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 t="e" cm="1">
        <f t="array" aca="1" ref="BH1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 s="35" t="e" cm="1">
        <f t="array" aca="1" ref="BI1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 s="35" t="e" cm="1">
        <f t="array" aca="1" ref="BJ1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 t="e" cm="1">
        <f t="array" aca="1" ref="BK1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 s="35" t="e" cm="1">
        <f t="array" aca="1" ref="BL1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 s="35" t="e" cm="1">
        <f t="array" aca="1" ref="BM1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 t="e" cm="1">
        <f t="array" aca="1" ref="BN1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 s="35" t="e" cm="1">
        <f t="array" aca="1" ref="BO1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 s="35" t="e" cm="1">
        <f t="array" aca="1" ref="BP1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 t="e" cm="1">
        <f t="array" aca="1" ref="BQ1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 s="35" t="e" cm="1">
        <f t="array" aca="1" ref="BR1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 s="35" t="e" cm="1">
        <f t="array" aca="1" ref="BS1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 t="e" cm="1">
        <f t="array" aca="1" ref="BT1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 s="35" t="e" cm="1">
        <f t="array" aca="1" ref="BU1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 s="35" t="e" cm="1">
        <f t="array" aca="1" ref="BV1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 t="e" cm="1">
        <f t="array" aca="1" ref="BW1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 s="35" t="e" cm="1">
        <f t="array" aca="1" ref="BX1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 s="35" t="e" cm="1">
        <f t="array" aca="1" ref="BY1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 t="e" cm="1">
        <f t="array" aca="1" ref="BZ1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 s="35" t="e" cm="1">
        <f t="array" aca="1" ref="CA1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 s="35" t="e" cm="1">
        <f t="array" aca="1" ref="CB1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 t="e" cm="1">
        <f t="array" aca="1" ref="CC1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 s="35" t="e" cm="1">
        <f t="array" aca="1" ref="CD1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 s="35" t="e" cm="1">
        <f t="array" aca="1" ref="CE1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 t="e" cm="1">
        <f t="array" aca="1" ref="CF1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 s="166" cm="1">
        <f t="array" aca="1" ref="CG10" ca="1">((E_modulus_Sec/40114)^-0.25)*((Subgrade_stiffness_Sec/35)^-0.25)*((Surface_thickness_Sec/0.22)^-0.75)*Area_trans*delflec_switch*SUM((INDEX(PVI_vehicle_EFC,1,1)/INDEX(PVI_fuel_energy_density,1,1))*(INDEX(Indicators,MATCH('Additional Impact Indicators'!$A10,Materials!$D:$D,0),MATCH("diesel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Indicators'!$A10,Materials!$D:$D,0),MATCH("bio-diesel combustion",Materials!$1:$1,0))*((1-enviro_disc)^Handle_years)*Handle_electricity_emissions:OFFSET(Handle_electricity_emissions,0,Results_timespan-1)^0)*OFFSET(Handle_traffic_fleet,6,0):OFFSET(Handle_traffic_fleet,6,Results_timespan-1))</f>
        <v>0</v>
      </c>
      <c r="CH10" s="375" cm="1">
        <f t="array" aca="1" ref="CH1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 s="247" cm="1">
        <f t="array" aca="1" ref="CI10" ca="1">(SUMPRODUCT(Delay_emissions_table[Consumption of Diesel (kg) - Secondary Scenario],IF(Delay_emissions_table[Form of Maintenance - Secondary Scenario]="Life Extension",1,0))*INDEX(Indicators,MATCH('Additional Impact Indicators'!$A10,Materials!$D:$D,0),MATCH("diesel combustion",Materials!$1:$1,0))+SUMPRODUCT(Delay_emissions_table[Consumption of Petrol (kg) - Secondary Scenario],IF(Delay_emissions_table[Form of Maintenance - Secondary Scenario]="Life Extension",1,0))*INDEX(Indicators,MATCH('Additional Impact Indicators'!$A10,Materials!$D:$D,0),MATCH("petrol combustion",Materials!$1:$1,0))+IFERROR(SUMPRODUCT(TRANSPOSE(INDEX(elec_project_emissions,MATCH(Elec_scenario&amp;'Additional Impact Indicators'!$B10,INDEX(Electricity_projection,0,3),0)-1,0)),Delay_emissions_table[Consumption of electricity (MJ) - Secondary Scenario],IF(Delay_emissions_table[Form of Maintenance - Secondary Scenario]="Life Extension",1,0)),0))*Area_trans*time_adj_Sec</f>
        <v>0</v>
      </c>
      <c r="CJ10" s="247" cm="1">
        <f t="array" aca="1" ref="CJ10" ca="1">(SUMPRODUCT(Delay_emissions_table[Consumption of Diesel (kg) - Secondary Scenario],IF(Delay_emissions_table[Form of Maintenance - Secondary Scenario]="Replacement",1,0))*INDEX(Indicators,MATCH('Additional Impact Indicators'!$A10,Materials!$D:$D,0),MATCH("diesel combustion",Materials!$1:$1,0))+SUMPRODUCT(Delay_emissions_table[Consumption of Petrol (kg) - Secondary Scenario],IF(Delay_emissions_table[Form of Maintenance - Secondary Scenario]="Replacement",1,0))*INDEX(Indicators,MATCH('Additional Impact Indicators'!$A10,Materials!$D:$D,0),MATCH("petrol combustion",Materials!$1:$1,0))+IFERROR(SUMPRODUCT(TRANSPOSE(INDEX(elec_project_emissions,MATCH(Elec_scenario&amp;'Additional Impact Indicators'!$B10,INDEX(Electricity_projection,0,3),0)-1,0)),Delay_emissions_table[Consumption of electricity (MJ) - Secondary Scenario],IF(Delay_emissions_table[Form of Maintenance - Secondary Scenario]="Replacement",1,0)),0))*Area_trans*time_adj_Sec</f>
        <v>0</v>
      </c>
      <c r="CK10" s="248" t="e" cm="1">
        <f t="array" ref="CK1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 s="248" t="e" cm="1">
        <f t="array" ref="CL1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 s="249" t="e" cm="1">
        <f t="array" ref="CM1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 s="387" t="e" cm="1">
        <f t="array" ref="CN1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 s="51" t="e">
        <f ca="1">SUMIF(Table3[[#This Row],[Raw-Materials]:[Transport to recycling facility]],"&lt;&gt;#N/A")</f>
        <v>#DIV/0!</v>
      </c>
      <c r="CT10" t="s">
        <v>487</v>
      </c>
      <c r="CU10" t="s">
        <v>391</v>
      </c>
      <c r="CV10" t="str">
        <f t="shared" ref="CV10:CV73" si="3">IF(ISNUMBER(SEARCH("A1",CT10)),"A1","A2")</f>
        <v>A1</v>
      </c>
      <c r="CW10" t="s">
        <v>485</v>
      </c>
      <c r="CY10">
        <f>MATCH(Table611[[#This Row],[Indicator]],Material_Impacts[Look up],0)</f>
        <v>54</v>
      </c>
      <c r="CZ10" s="246" cm="1">
        <f t="array" aca="1" ref="CZ1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 s="166" cm="1">
        <f t="array" ref="DA1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 s="166" t="e">
        <f>Diesel_RawM_Tert*INDEX(Indicators,MATCH(Impacts_Additional[[#This Row],[Indicator]],Materials!$D:$D,0),MATCH("Diesel Combustion",Materials!$1:$1,0))*Diesel_density*Project_Area*Tert_Lays*Area_trans</f>
        <v>#DIV/0!</v>
      </c>
      <c r="DC10" s="35" t="e" cm="1">
        <f t="array" aca="1" ref="DC1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 s="35" t="e" cm="1">
        <f t="array" aca="1" ref="DD1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 t="e" cm="1">
        <f t="array" aca="1" ref="DE1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 s="35" t="e" cm="1">
        <f t="array" aca="1" ref="DF1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 s="35" t="e" cm="1">
        <f t="array" aca="1" ref="DG1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 t="e" cm="1">
        <f t="array" aca="1" ref="DH1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 s="35" t="e" cm="1">
        <f t="array" aca="1" ref="DI1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 s="35" t="e" cm="1">
        <f t="array" aca="1" ref="DJ1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 t="e" cm="1">
        <f t="array" aca="1" ref="DK1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 s="35" t="e" cm="1">
        <f t="array" aca="1" ref="DL1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 s="35" t="e" cm="1">
        <f t="array" aca="1" ref="DM1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 t="e" cm="1">
        <f t="array" aca="1" ref="DN1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 s="35" t="e" cm="1">
        <f t="array" aca="1" ref="DO1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 s="35" t="e" cm="1">
        <f t="array" aca="1" ref="DP1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 t="e" cm="1">
        <f t="array" aca="1" ref="DQ1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 s="35" t="e" cm="1">
        <f t="array" aca="1" ref="DR1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 s="35" t="e" cm="1">
        <f t="array" aca="1" ref="DS1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 t="e" cm="1">
        <f t="array" aca="1" ref="DT1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 s="35" t="e" cm="1">
        <f t="array" aca="1" ref="DU1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 s="35" t="e" cm="1">
        <f t="array" aca="1" ref="DV1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 t="e" cm="1">
        <f t="array" aca="1" ref="DW1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 s="35" t="e" cm="1">
        <f t="array" aca="1" ref="DX1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 s="35" t="e" cm="1">
        <f t="array" aca="1" ref="DY1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 t="e" cm="1">
        <f t="array" aca="1" ref="DZ1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 s="35" t="e" cm="1">
        <f t="array" aca="1" ref="EA1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 s="35" t="e" cm="1">
        <f t="array" aca="1" ref="EB1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 t="e" cm="1">
        <f t="array" aca="1" ref="EC1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 s="166" cm="1">
        <f t="array" aca="1" ref="ED10" ca="1">((E_modulus_Tert/40114)^-0.25)*((Subgrade_stiffness_Tert/35)^-0.25)*((Surface_thickness_Tert/0.22)^-0.75)*Area_trans*delflec_switch*SUM((INDEX(PVI_vehicle_EFC,1,1)/INDEX(PVI_fuel_energy_density,1,1))*(INDEX(Indicators,MATCH('Additional Impact Indicators'!$A10,Materials!$D:$D,0),MATCH("diesel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Indicators'!$A10,Materials!$D:$D,0),MATCH("bio-diesel combustion",Materials!$1:$1,0))*((1-enviro_disc)^Handle_years)*Handle_electricity_emissions:OFFSET(Handle_electricity_emissions,0,Results_timespan-1)^0)*OFFSET(Handle_traffic_fleet,6,0):OFFSET(Handle_traffic_fleet,6,Results_timespan-1))</f>
        <v>0</v>
      </c>
      <c r="EE10" s="375" cm="1">
        <f t="array" aca="1" ref="EE1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 s="247" cm="1">
        <f t="array" aca="1" ref="EF10" ca="1">(SUMPRODUCT(Delay_emissions_table[Consumption of Diesel (kg) - Tertiary Scenario],IF(Delay_emissions_table[Form of Maintenance - Tertiary Scenario]="Life Extension",1,0))*INDEX(Indicators,MATCH('Additional Impact Indicators'!$A10,Materials!$D:$D,0),MATCH("diesel combustion",Materials!$1:$1,0))+SUMPRODUCT(Delay_emissions_table[Consumption of Petrol (kg) - Tertiary Scenario],IF(Delay_emissions_table[Form of Maintenance - Tertiary Scenario]="Life Extension",1,0))*INDEX(Indicators,MATCH('Additional Impact Indicators'!$A10,Materials!$D:$D,0),MATCH("petrol combustion",Materials!$1:$1,0))+IFERROR(SUMPRODUCT(TRANSPOSE(INDEX(elec_project_emissions,MATCH(Elec_scenario&amp;'Additional Impact Indicators'!$B10,INDEX(Electricity_projection,0,3),0)-1,0)),Delay_emissions_table[Consumption of electricity (MJ) - Tertiary Scenario],IF(Delay_emissions_table[Form of Maintenance - Tertiary Scenario]="Life Extension",1,0)),0))*Area_trans*Time_adj_Tert</f>
        <v>0</v>
      </c>
      <c r="EG10" s="247" cm="1">
        <f t="array" aca="1" ref="EG10" ca="1">(SUMPRODUCT(Delay_emissions_table[Consumption of Diesel (kg) - Tertiary Scenario],IF(Delay_emissions_table[Form of Maintenance - Tertiary Scenario]="Replacement",1,0))*INDEX(Indicators,MATCH('Additional Impact Indicators'!$A10,Materials!$D:$D,0),MATCH("diesel combustion",Materials!$1:$1,0))+SUMPRODUCT(Delay_emissions_table[Consumption of Petrol (kg) - Tertiary Scenario],IF(Delay_emissions_table[Form of Maintenance - Tertiary Scenario]="Replacement",1,0))*INDEX(Indicators,MATCH('Additional Impact Indicators'!$A10,Materials!$D:$D,0),MATCH("petrol combustion",Materials!$1:$1,0))+IFERROR(SUMPRODUCT(TRANSPOSE(INDEX(elec_project_emissions,MATCH(Elec_scenario&amp;'Additional Impact Indicators'!$B10,INDEX(Electricity_projection,0,3),0)-1,0)),Delay_emissions_table[Consumption of electricity (MJ) - Tertiary Scenario],IF(Delay_emissions_table[Form of Maintenance - Tertiary Scenario]="Replacement",1,0)),0))*Area_trans*Time_adj_Tert</f>
        <v>0</v>
      </c>
      <c r="EH10" s="248" t="e" cm="1">
        <f t="array" ref="EH1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 s="248" t="e" cm="1">
        <f t="array" ref="EI1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 s="249" t="e" cm="1">
        <f t="array" ref="EJ1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 s="249" t="e" cm="1">
        <f t="array" ref="EK1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 t="e">
        <f ca="1">SUMIF(Table611[[#This Row],[Raw-Materials]:[Transport to recycling facility]],"&lt;&gt;#N/A")</f>
        <v>#DIV/0!</v>
      </c>
    </row>
    <row r="11" spans="1:142" x14ac:dyDescent="0.35">
      <c r="A11" s="155" t="s">
        <v>488</v>
      </c>
      <c r="B11" s="155" t="s">
        <v>489</v>
      </c>
      <c r="C11" s="155" t="str">
        <f t="shared" si="1"/>
        <v>A1</v>
      </c>
      <c r="D11" s="155" t="s">
        <v>485</v>
      </c>
      <c r="E11" s="155"/>
      <c r="F11">
        <f>MATCH(Impacts_Additional[[#This Row],[Indicator]],Material_Impacts[Look up],0)</f>
        <v>55</v>
      </c>
      <c r="G11" s="246" cm="1">
        <f t="array" aca="1" ref="G1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1" s="165" cm="1">
        <f t="array" ref="H1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1" s="165" t="e">
        <f>Diesel_RawM_Prim*INDEX(Indicators,MATCH(Impacts_Additional[[#This Row],[Indicator]],Materials!$D:$D,0),MATCH("Diesel Combustion",Materials!$1:$1,0))*Diesel_density*Project_Area*Prim_Lays*Area_trans</f>
        <v>#DIV/0!</v>
      </c>
      <c r="J11" s="250" t="e" cm="1">
        <f t="array" aca="1" ref="J1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1" s="250" t="e" cm="1">
        <f t="array" aca="1" ref="K1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1" s="250" t="e" cm="1">
        <f t="array" aca="1" ref="L1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1" s="250" t="e" cm="1">
        <f t="array" aca="1" ref="M1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1" s="250" t="e" cm="1">
        <f t="array" aca="1" ref="N1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1" s="250" t="e" cm="1">
        <f t="array" aca="1" ref="O1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1" s="250" t="e" cm="1">
        <f t="array" aca="1" ref="P1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1" s="250" t="e" cm="1">
        <f t="array" aca="1" ref="Q1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1" s="250" t="e" cm="1">
        <f t="array" aca="1" ref="R1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1" s="250" t="e" cm="1">
        <f t="array" aca="1" ref="S1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1" s="250" t="e" cm="1">
        <f t="array" aca="1" ref="T1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1" s="250" t="e" cm="1">
        <f t="array" aca="1" ref="U1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1" s="250" t="e" cm="1">
        <f t="array" aca="1" ref="V1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1" s="250" t="e" cm="1">
        <f t="array" aca="1" ref="W1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1" s="250" t="e" cm="1">
        <f t="array" aca="1" ref="X1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1" s="250" t="e" cm="1">
        <f t="array" aca="1" ref="Y1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1" s="250" t="e" cm="1">
        <f t="array" aca="1" ref="Z1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1" s="250" t="e" cm="1">
        <f t="array" aca="1" ref="AA1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1" s="250" t="e" cm="1">
        <f t="array" aca="1" ref="AB1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1" s="250" t="e" cm="1">
        <f t="array" aca="1" ref="AC1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1" s="250" t="e" cm="1">
        <f t="array" aca="1" ref="AD1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1" s="250" t="e" cm="1">
        <f t="array" aca="1" ref="AE1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1" s="250" t="e" cm="1">
        <f t="array" aca="1" ref="AF1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1" s="250" t="e" cm="1">
        <f t="array" aca="1" ref="AG1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1" s="250" t="e" cm="1">
        <f t="array" aca="1" ref="AH1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1" s="250" t="e" cm="1">
        <f t="array" aca="1" ref="AI1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1" s="250" t="e" cm="1">
        <f t="array" aca="1" ref="AJ1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1" s="165" cm="1">
        <f t="array" aca="1" ref="AK11" ca="1">((E_modulus_Prim/40114)^-0.25)*((Subgrade_stiffness_Prim/35)^-0.25)*((Surface_thickness_Prim/0.22)^-0.75)*Area_trans*delflec_switch*SUM((INDEX(PVI_vehicle_EFC,1,1)/INDEX(PVI_fuel_energy_density,1,1))*(INDEX(Indicators,MATCH('Additional Impact Indicators'!$A11,Materials!$D:$D,0),MATCH("diesel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Indicators'!$A11,Materials!$D:$D,0),MATCH("bio-diesel combustion",Materials!$1:$1,0))*((1-enviro_disc)^Handle_years)*Handle_electricity_emissions:OFFSET(Handle_electricity_emissions,0,Results_timespan-1)^0)*OFFSET(Handle_traffic_fleet,6,0):OFFSET(Handle_traffic_fleet,6,Results_timespan-1))</f>
        <v>0</v>
      </c>
      <c r="AL11" s="165" cm="1">
        <f t="array" aca="1" ref="AL1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1" s="251" cm="1">
        <f t="array" aca="1" ref="AM11" ca="1">(SUMPRODUCT(Delay_emissions_table[Consumption of Diesel (kg) - Primary Scenario],IF(Delay_emissions_table[Form of Maintenance - Primary Scenario]="Life Extension",1,0))*INDEX(Indicators,MATCH('Additional Impact Indicators'!$A11,Materials!$D:$D,0),MATCH("diesel combustion",Materials!$1:$1,0))+SUMPRODUCT(Delay_emissions_table[Consumption of Petrol (kg) - Primary Scenario],IF(Delay_emissions_table[Form of Maintenance - Primary Scenario]="Life Extension",1,0))*INDEX(Indicators,MATCH('Additional Impact Indicators'!$A11,Materials!$D:$D,0),MATCH("petrol combustion",Materials!$1:$1,0))+IFERROR(SUMPRODUCT(TRANSPOSE(INDEX(elec_project_emissions,MATCH(Elec_scenario&amp;'Additional Impact Indicators'!$B11,INDEX(Electricity_projection,0,3),0)-1,0)),Delay_emissions_table[Consumption of electricity (MJ) - Primary Scenario],IF(Delay_emissions_table[Form of Maintenance - Primary Scenario]="Life Extension",1,0)),0))*Area_trans*Time_adj_Prim</f>
        <v>0</v>
      </c>
      <c r="AN11" s="251" cm="1">
        <f t="array" aca="1" ref="AN11" ca="1">(SUMPRODUCT(Delay_emissions_table[Consumption of Diesel (kg) - Primary Scenario],IF(Delay_emissions_table[Form of Maintenance - Primary Scenario]="Replacement",1,0))*INDEX(Indicators,MATCH('Additional Impact Indicators'!$A11,Materials!$D:$D,0),MATCH("diesel combustion",Materials!$1:$1,0))+SUMPRODUCT(Delay_emissions_table[Consumption of Petrol (kg) - Primary Scenario],IF(Delay_emissions_table[Form of Maintenance - Primary Scenario]="Replacement",1,0))*INDEX(Indicators,MATCH('Additional Impact Indicators'!$A11,Materials!$D:$D,0),MATCH("petrol combustion",Materials!$1:$1,0))+IFERROR(SUMPRODUCT(TRANSPOSE(INDEX(elec_project_emissions,MATCH(Elec_scenario&amp;'Additional Impact Indicators'!$B11,INDEX(Electricity_projection,0,3),0)-1,0)),Delay_emissions_table[Consumption of electricity (MJ) - Primary Scenario],IF(Delay_emissions_table[Form of Maintenance - Primary Scenario]="Replacement",1,0)),0))*Area_trans*Time_adj_Prim</f>
        <v>0</v>
      </c>
      <c r="AO11" s="252" t="e" cm="1">
        <f t="array" ref="AO1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1" s="252" t="e" cm="1">
        <f t="array" ref="AP1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1" s="253" t="e" cm="1">
        <f t="array" ref="AQ1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1" s="385" t="e" cm="1">
        <f t="array" ref="AR1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1" t="e">
        <f ca="1">SUMIF('Additional Impact Indicators'!$G11:$AQ11,"&lt;&gt;#N/A")</f>
        <v>#DIV/0!</v>
      </c>
      <c r="AW11" s="155" t="s">
        <v>488</v>
      </c>
      <c r="AX11" s="155" t="s">
        <v>489</v>
      </c>
      <c r="AY11" s="155" t="str">
        <f t="shared" si="2"/>
        <v>A1</v>
      </c>
      <c r="AZ11" s="155" t="s">
        <v>485</v>
      </c>
      <c r="BA11" s="155"/>
      <c r="BB11" s="155">
        <f>MATCH(Table3[[#This Row],[Indicator]],Material_Impacts[Look up],0)</f>
        <v>55</v>
      </c>
      <c r="BC11" s="246" cm="1">
        <f t="array" aca="1" ref="BC1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1" s="165" cm="1">
        <f t="array" ref="BD1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1" s="165" t="e">
        <f>Diesel_RawM_Sec*INDEX(Indicators,MATCH(Impacts_Additional[[#This Row],[Indicator]],Materials!$D:$D,0),MATCH("Diesel Combustion",Materials!$1:$1,0))*Diesel_density*Project_Area*Sec_Lays*Area_trans</f>
        <v>#DIV/0!</v>
      </c>
      <c r="BF11" s="35" t="e" cm="1">
        <f t="array" aca="1" ref="BF1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1" s="35" t="e" cm="1">
        <f t="array" aca="1" ref="BG1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1" t="e" cm="1">
        <f t="array" aca="1" ref="BH1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1" s="35" t="e" cm="1">
        <f t="array" aca="1" ref="BI1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1" s="35" t="e" cm="1">
        <f t="array" aca="1" ref="BJ1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1" t="e" cm="1">
        <f t="array" aca="1" ref="BK1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1" s="35" t="e" cm="1">
        <f t="array" aca="1" ref="BL1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1" s="35" t="e" cm="1">
        <f t="array" aca="1" ref="BM1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1" t="e" cm="1">
        <f t="array" aca="1" ref="BN1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1" s="35" t="e" cm="1">
        <f t="array" aca="1" ref="BO1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1" s="35" t="e" cm="1">
        <f t="array" aca="1" ref="BP1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1" t="e" cm="1">
        <f t="array" aca="1" ref="BQ1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1" s="35" t="e" cm="1">
        <f t="array" aca="1" ref="BR1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1" s="35" t="e" cm="1">
        <f t="array" aca="1" ref="BS1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1" t="e" cm="1">
        <f t="array" aca="1" ref="BT1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1" s="35" t="e" cm="1">
        <f t="array" aca="1" ref="BU1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1" s="35" t="e" cm="1">
        <f t="array" aca="1" ref="BV1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1" t="e" cm="1">
        <f t="array" aca="1" ref="BW1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1" s="35" t="e" cm="1">
        <f t="array" aca="1" ref="BX1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1" s="35" t="e" cm="1">
        <f t="array" aca="1" ref="BY1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1" t="e" cm="1">
        <f t="array" aca="1" ref="BZ1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1" s="35" t="e" cm="1">
        <f t="array" aca="1" ref="CA1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1" s="35" t="e" cm="1">
        <f t="array" aca="1" ref="CB1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1" t="e" cm="1">
        <f t="array" aca="1" ref="CC1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1" s="35" t="e" cm="1">
        <f t="array" aca="1" ref="CD1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1" s="35" t="e" cm="1">
        <f t="array" aca="1" ref="CE1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1" t="e" cm="1">
        <f t="array" aca="1" ref="CF1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1" s="165" cm="1">
        <f t="array" aca="1" ref="CG11" ca="1">((E_modulus_Sec/40114)^-0.25)*((Subgrade_stiffness_Sec/35)^-0.25)*((Surface_thickness_Sec/0.22)^-0.75)*Area_trans*delflec_switch*SUM((INDEX(PVI_vehicle_EFC,1,1)/INDEX(PVI_fuel_energy_density,1,1))*(INDEX(Indicators,MATCH('Additional Impact Indicators'!$A11,Materials!$D:$D,0),MATCH("diesel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Indicators'!$A11,Materials!$D:$D,0),MATCH("bio-diesel combustion",Materials!$1:$1,0))*((1-enviro_disc)^Handle_years)*Handle_electricity_emissions:OFFSET(Handle_electricity_emissions,0,Results_timespan-1)^0)*OFFSET(Handle_traffic_fleet,6,0):OFFSET(Handle_traffic_fleet,6,Results_timespan-1))</f>
        <v>0</v>
      </c>
      <c r="CH11" s="375" cm="1">
        <f t="array" aca="1" ref="CH1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1" s="251" cm="1">
        <f t="array" aca="1" ref="CI11" ca="1">(SUMPRODUCT(Delay_emissions_table[Consumption of Diesel (kg) - Secondary Scenario],IF(Delay_emissions_table[Form of Maintenance - Secondary Scenario]="Life Extension",1,0))*INDEX(Indicators,MATCH('Additional Impact Indicators'!$A11,Materials!$D:$D,0),MATCH("diesel combustion",Materials!$1:$1,0))+SUMPRODUCT(Delay_emissions_table[Consumption of Petrol (kg) - Secondary Scenario],IF(Delay_emissions_table[Form of Maintenance - Secondary Scenario]="Life Extension",1,0))*INDEX(Indicators,MATCH('Additional Impact Indicators'!$A11,Materials!$D:$D,0),MATCH("petrol combustion",Materials!$1:$1,0))+IFERROR(SUMPRODUCT(TRANSPOSE(INDEX(elec_project_emissions,MATCH(Elec_scenario&amp;'Additional Impact Indicators'!$B11,INDEX(Electricity_projection,0,3),0)-1,0)),Delay_emissions_table[Consumption of electricity (MJ) - Secondary Scenario],IF(Delay_emissions_table[Form of Maintenance - Secondary Scenario]="Life Extension",1,0)),0))*Area_trans*time_adj_Sec</f>
        <v>0</v>
      </c>
      <c r="CJ11" s="251" cm="1">
        <f t="array" aca="1" ref="CJ11" ca="1">(SUMPRODUCT(Delay_emissions_table[Consumption of Diesel (kg) - Secondary Scenario],IF(Delay_emissions_table[Form of Maintenance - Secondary Scenario]="Replacement",1,0))*INDEX(Indicators,MATCH('Additional Impact Indicators'!$A11,Materials!$D:$D,0),MATCH("diesel combustion",Materials!$1:$1,0))+SUMPRODUCT(Delay_emissions_table[Consumption of Petrol (kg) - Secondary Scenario],IF(Delay_emissions_table[Form of Maintenance - Secondary Scenario]="Replacement",1,0))*INDEX(Indicators,MATCH('Additional Impact Indicators'!$A11,Materials!$D:$D,0),MATCH("petrol combustion",Materials!$1:$1,0))+IFERROR(SUMPRODUCT(TRANSPOSE(INDEX(elec_project_emissions,MATCH(Elec_scenario&amp;'Additional Impact Indicators'!$B11,INDEX(Electricity_projection,0,3),0)-1,0)),Delay_emissions_table[Consumption of electricity (MJ) - Secondary Scenario],IF(Delay_emissions_table[Form of Maintenance - Secondary Scenario]="Replacement",1,0)),0))*Area_trans*time_adj_Sec</f>
        <v>0</v>
      </c>
      <c r="CK11" s="252" t="e" cm="1">
        <f t="array" ref="CK1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1" s="252" t="e" cm="1">
        <f t="array" ref="CL1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1" s="253" t="e" cm="1">
        <f t="array" ref="CM1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1" s="387" t="e" cm="1">
        <f t="array" ref="CN1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1" s="51" t="e">
        <f ca="1">SUMIF(Table3[[#This Row],[Raw-Materials]:[Transport to recycling facility]],"&lt;&gt;#N/A")</f>
        <v>#DIV/0!</v>
      </c>
      <c r="CT11" t="s">
        <v>488</v>
      </c>
      <c r="CU11" t="s">
        <v>489</v>
      </c>
      <c r="CV11" t="str">
        <f t="shared" si="3"/>
        <v>A1</v>
      </c>
      <c r="CW11" t="s">
        <v>485</v>
      </c>
      <c r="CY11">
        <f>MATCH(Table611[[#This Row],[Indicator]],Material_Impacts[Look up],0)</f>
        <v>55</v>
      </c>
      <c r="CZ11" s="246" cm="1">
        <f t="array" aca="1" ref="CZ1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1" s="165" cm="1">
        <f t="array" ref="DA1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1" s="165" t="e">
        <f>Diesel_RawM_Tert*INDEX(Indicators,MATCH(Impacts_Additional[[#This Row],[Indicator]],Materials!$D:$D,0),MATCH("Diesel Combustion",Materials!$1:$1,0))*Diesel_density*Project_Area*Tert_Lays*Area_trans</f>
        <v>#DIV/0!</v>
      </c>
      <c r="DC11" s="35" t="e" cm="1">
        <f t="array" aca="1" ref="DC1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1" s="35" t="e" cm="1">
        <f t="array" aca="1" ref="DD1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1" t="e" cm="1">
        <f t="array" aca="1" ref="DE1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1" s="35" t="e" cm="1">
        <f t="array" aca="1" ref="DF1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1" s="35" t="e" cm="1">
        <f t="array" aca="1" ref="DG1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1" t="e" cm="1">
        <f t="array" aca="1" ref="DH1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1" s="35" t="e" cm="1">
        <f t="array" aca="1" ref="DI1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1" s="35" t="e" cm="1">
        <f t="array" aca="1" ref="DJ1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1" t="e" cm="1">
        <f t="array" aca="1" ref="DK1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1" s="35" t="e" cm="1">
        <f t="array" aca="1" ref="DL1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1" s="35" t="e" cm="1">
        <f t="array" aca="1" ref="DM1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1" t="e" cm="1">
        <f t="array" aca="1" ref="DN1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1" s="35" t="e" cm="1">
        <f t="array" aca="1" ref="DO1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1" s="35" t="e" cm="1">
        <f t="array" aca="1" ref="DP1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1" t="e" cm="1">
        <f t="array" aca="1" ref="DQ1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1" s="35" t="e" cm="1">
        <f t="array" aca="1" ref="DR1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1" s="35" t="e" cm="1">
        <f t="array" aca="1" ref="DS1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1" t="e" cm="1">
        <f t="array" aca="1" ref="DT1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1" s="35" t="e" cm="1">
        <f t="array" aca="1" ref="DU1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1" s="35" t="e" cm="1">
        <f t="array" aca="1" ref="DV1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1" t="e" cm="1">
        <f t="array" aca="1" ref="DW1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1" s="35" t="e" cm="1">
        <f t="array" aca="1" ref="DX1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1" s="35" t="e" cm="1">
        <f t="array" aca="1" ref="DY1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1" t="e" cm="1">
        <f t="array" aca="1" ref="DZ1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1" s="35" t="e" cm="1">
        <f t="array" aca="1" ref="EA1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1" s="35" t="e" cm="1">
        <f t="array" aca="1" ref="EB1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1" t="e" cm="1">
        <f t="array" aca="1" ref="EC1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1" s="165" cm="1">
        <f t="array" aca="1" ref="ED11" ca="1">((E_modulus_Tert/40114)^-0.25)*((Subgrade_stiffness_Tert/35)^-0.25)*((Surface_thickness_Tert/0.22)^-0.75)*Area_trans*delflec_switch*SUM((INDEX(PVI_vehicle_EFC,1,1)/INDEX(PVI_fuel_energy_density,1,1))*(INDEX(Indicators,MATCH('Additional Impact Indicators'!$A11,Materials!$D:$D,0),MATCH("diesel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Indicators'!$A11,Materials!$D:$D,0),MATCH("bio-diesel combustion",Materials!$1:$1,0))*((1-enviro_disc)^Handle_years)*Handle_electricity_emissions:OFFSET(Handle_electricity_emissions,0,Results_timespan-1)^0)*OFFSET(Handle_traffic_fleet,6,0):OFFSET(Handle_traffic_fleet,6,Results_timespan-1))</f>
        <v>0</v>
      </c>
      <c r="EE11" s="375" cm="1">
        <f t="array" aca="1" ref="EE1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1" s="251" cm="1">
        <f t="array" aca="1" ref="EF11" ca="1">(SUMPRODUCT(Delay_emissions_table[Consumption of Diesel (kg) - Tertiary Scenario],IF(Delay_emissions_table[Form of Maintenance - Tertiary Scenario]="Life Extension",1,0))*INDEX(Indicators,MATCH('Additional Impact Indicators'!$A11,Materials!$D:$D,0),MATCH("diesel combustion",Materials!$1:$1,0))+SUMPRODUCT(Delay_emissions_table[Consumption of Petrol (kg) - Tertiary Scenario],IF(Delay_emissions_table[Form of Maintenance - Tertiary Scenario]="Life Extension",1,0))*INDEX(Indicators,MATCH('Additional Impact Indicators'!$A11,Materials!$D:$D,0),MATCH("petrol combustion",Materials!$1:$1,0))+IFERROR(SUMPRODUCT(TRANSPOSE(INDEX(elec_project_emissions,MATCH(Elec_scenario&amp;'Additional Impact Indicators'!$B11,INDEX(Electricity_projection,0,3),0)-1,0)),Delay_emissions_table[Consumption of electricity (MJ) - Tertiary Scenario],IF(Delay_emissions_table[Form of Maintenance - Tertiary Scenario]="Life Extension",1,0)),0))*Area_trans*Time_adj_Tert</f>
        <v>0</v>
      </c>
      <c r="EG11" s="251" cm="1">
        <f t="array" aca="1" ref="EG11" ca="1">(SUMPRODUCT(Delay_emissions_table[Consumption of Diesel (kg) - Tertiary Scenario],IF(Delay_emissions_table[Form of Maintenance - Tertiary Scenario]="Replacement",1,0))*INDEX(Indicators,MATCH('Additional Impact Indicators'!$A11,Materials!$D:$D,0),MATCH("diesel combustion",Materials!$1:$1,0))+SUMPRODUCT(Delay_emissions_table[Consumption of Petrol (kg) - Tertiary Scenario],IF(Delay_emissions_table[Form of Maintenance - Tertiary Scenario]="Replacement",1,0))*INDEX(Indicators,MATCH('Additional Impact Indicators'!$A11,Materials!$D:$D,0),MATCH("petrol combustion",Materials!$1:$1,0))+IFERROR(SUMPRODUCT(TRANSPOSE(INDEX(elec_project_emissions,MATCH(Elec_scenario&amp;'Additional Impact Indicators'!$B11,INDEX(Electricity_projection,0,3),0)-1,0)),Delay_emissions_table[Consumption of electricity (MJ) - Tertiary Scenario],IF(Delay_emissions_table[Form of Maintenance - Tertiary Scenario]="Replacement",1,0)),0))*Area_trans*Time_adj_Tert</f>
        <v>0</v>
      </c>
      <c r="EH11" s="252" t="e" cm="1">
        <f t="array" ref="EH1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1" s="252" t="e" cm="1">
        <f t="array" ref="EI1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1" s="253" t="e" cm="1">
        <f t="array" ref="EJ1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1" s="253" t="e" cm="1">
        <f t="array" ref="EK1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1" t="e">
        <f ca="1">SUMIF(Table611[[#This Row],[Raw-Materials]:[Transport to recycling facility]],"&lt;&gt;#N/A")</f>
        <v>#DIV/0!</v>
      </c>
    </row>
    <row r="12" spans="1:142" x14ac:dyDescent="0.35">
      <c r="A12" t="s">
        <v>490</v>
      </c>
      <c r="B12" t="s">
        <v>491</v>
      </c>
      <c r="C12" t="str">
        <f t="shared" si="1"/>
        <v>A1</v>
      </c>
      <c r="D12" t="s">
        <v>485</v>
      </c>
      <c r="F12">
        <f>MATCH(Impacts_Additional[[#This Row],[Indicator]],Material_Impacts[Look up],0)</f>
        <v>56</v>
      </c>
      <c r="G12" s="246" cm="1">
        <f t="array" aca="1" ref="G1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2" s="166" cm="1">
        <f t="array" ref="H1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2" s="166" t="e">
        <f>Diesel_RawM_Prim*INDEX(Indicators,MATCH(Impacts_Additional[[#This Row],[Indicator]],Materials!$D:$D,0),MATCH("Diesel Combustion",Materials!$1:$1,0))*Diesel_density*Project_Area*Prim_Lays*Area_trans</f>
        <v>#DIV/0!</v>
      </c>
      <c r="J12" s="20" t="e" cm="1">
        <f t="array" aca="1" ref="J1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2" s="20" t="e" cm="1">
        <f t="array" aca="1" ref="K1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2" s="20" t="e" cm="1">
        <f t="array" aca="1" ref="L1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2" s="20" t="e" cm="1">
        <f t="array" aca="1" ref="M1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2" s="20" t="e" cm="1">
        <f t="array" aca="1" ref="N1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2" s="20" t="e" cm="1">
        <f t="array" aca="1" ref="O1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2" s="20" t="e" cm="1">
        <f t="array" aca="1" ref="P1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2" s="20" t="e" cm="1">
        <f t="array" aca="1" ref="Q1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2" s="20" t="e" cm="1">
        <f t="array" aca="1" ref="R1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2" s="20" t="e" cm="1">
        <f t="array" aca="1" ref="S1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2" s="20" t="e" cm="1">
        <f t="array" aca="1" ref="T1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2" s="20" t="e" cm="1">
        <f t="array" aca="1" ref="U1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2" s="20" t="e" cm="1">
        <f t="array" aca="1" ref="V1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2" s="20" t="e" cm="1">
        <f t="array" aca="1" ref="W1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2" s="20" t="e" cm="1">
        <f t="array" aca="1" ref="X1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2" s="20" t="e" cm="1">
        <f t="array" aca="1" ref="Y1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2" s="20" t="e" cm="1">
        <f t="array" aca="1" ref="Z1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2" s="20" t="e" cm="1">
        <f t="array" aca="1" ref="AA1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2" s="20" t="e" cm="1">
        <f t="array" aca="1" ref="AB1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2" s="20" t="e" cm="1">
        <f t="array" aca="1" ref="AC1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2" s="20" t="e" cm="1">
        <f t="array" aca="1" ref="AD1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2" s="20" t="e" cm="1">
        <f t="array" aca="1" ref="AE1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2" s="20" t="e" cm="1">
        <f t="array" aca="1" ref="AF1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2" s="20" t="e" cm="1">
        <f t="array" aca="1" ref="AG1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2" s="20" t="e" cm="1">
        <f t="array" aca="1" ref="AH1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2" s="20" t="e" cm="1">
        <f t="array" aca="1" ref="AI1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2" s="20" t="e" cm="1">
        <f t="array" aca="1" ref="AJ1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2" s="166" cm="1">
        <f t="array" aca="1" ref="AK12" ca="1">((E_modulus_Prim/40114)^-0.25)*((Subgrade_stiffness_Prim/35)^-0.25)*((Surface_thickness_Prim/0.22)^-0.75)*Area_trans*delflec_switch*SUM((INDEX(PVI_vehicle_EFC,1,1)/INDEX(PVI_fuel_energy_density,1,1))*(INDEX(Indicators,MATCH('Additional Impact Indicators'!$A12,Materials!$D:$D,0),MATCH("diesel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Indicators'!$A12,Materials!$D:$D,0),MATCH("petrol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Indicators'!$A12,Materials!$D:$D,0),MATCH("diesel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Indicators'!$A12,Materials!$D:$D,0),MATCH("petrol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Indicators'!$A12,Materials!$D:$D,0),MATCH("bio-diesel combustion",Materials!$1:$1,0))*((1-enviro_disc)^Handle_years)*Handle_electricity_emissions:OFFSET(Handle_electricity_emissions,0,Results_timespan-1)^0)*OFFSET(Handle_traffic_fleet,6,0):OFFSET(Handle_traffic_fleet,6,Results_timespan-1))</f>
        <v>0</v>
      </c>
      <c r="AL12" s="166" cm="1">
        <f t="array" aca="1" ref="AL1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2" s="247" cm="1">
        <f t="array" aca="1" ref="AM12" ca="1">(SUMPRODUCT(Delay_emissions_table[Consumption of Diesel (kg) - Primary Scenario],IF(Delay_emissions_table[Form of Maintenance - Primary Scenario]="Life Extension",1,0))*INDEX(Indicators,MATCH('Additional Impact Indicators'!$A12,Materials!$D:$D,0),MATCH("diesel combustion",Materials!$1:$1,0))+SUMPRODUCT(Delay_emissions_table[Consumption of Petrol (kg) - Primary Scenario],IF(Delay_emissions_table[Form of Maintenance - Primary Scenario]="Life Extension",1,0))*INDEX(Indicators,MATCH('Additional Impact Indicators'!$A12,Materials!$D:$D,0),MATCH("petrol combustion",Materials!$1:$1,0))+IFERROR(SUMPRODUCT(TRANSPOSE(INDEX(elec_project_emissions,MATCH(Elec_scenario&amp;'Additional Impact Indicators'!$B12,INDEX(Electricity_projection,0,3),0)-1,0)),Delay_emissions_table[Consumption of electricity (MJ) - Primary Scenario],IF(Delay_emissions_table[Form of Maintenance - Primary Scenario]="Life Extension",1,0)),0))*Area_trans*Time_adj_Prim</f>
        <v>0</v>
      </c>
      <c r="AN12" s="247" cm="1">
        <f t="array" aca="1" ref="AN12" ca="1">(SUMPRODUCT(Delay_emissions_table[Consumption of Diesel (kg) - Primary Scenario],IF(Delay_emissions_table[Form of Maintenance - Primary Scenario]="Replacement",1,0))*INDEX(Indicators,MATCH('Additional Impact Indicators'!$A12,Materials!$D:$D,0),MATCH("diesel combustion",Materials!$1:$1,0))+SUMPRODUCT(Delay_emissions_table[Consumption of Petrol (kg) - Primary Scenario],IF(Delay_emissions_table[Form of Maintenance - Primary Scenario]="Replacement",1,0))*INDEX(Indicators,MATCH('Additional Impact Indicators'!$A12,Materials!$D:$D,0),MATCH("petrol combustion",Materials!$1:$1,0))+IFERROR(SUMPRODUCT(TRANSPOSE(INDEX(elec_project_emissions,MATCH(Elec_scenario&amp;'Additional Impact Indicators'!$B12,INDEX(Electricity_projection,0,3),0)-1,0)),Delay_emissions_table[Consumption of electricity (MJ) - Primary Scenario],IF(Delay_emissions_table[Form of Maintenance - Primary Scenario]="Replacement",1,0)),0))*Area_trans*Time_adj_Prim</f>
        <v>0</v>
      </c>
      <c r="AO12" s="248" t="e" cm="1">
        <f t="array" ref="AO1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2" s="248" t="e" cm="1">
        <f t="array" ref="AP1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2" s="249" t="e" cm="1">
        <f t="array" ref="AQ1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2" s="386" t="e" cm="1">
        <f t="array" ref="AR1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2" t="e">
        <f ca="1">SUMIF('Additional Impact Indicators'!$G12:$AQ12,"&lt;&gt;#N/A")</f>
        <v>#DIV/0!</v>
      </c>
      <c r="AW12" t="s">
        <v>490</v>
      </c>
      <c r="AX12" t="s">
        <v>491</v>
      </c>
      <c r="AY12" t="str">
        <f t="shared" si="2"/>
        <v>A1</v>
      </c>
      <c r="AZ12" t="s">
        <v>485</v>
      </c>
      <c r="BB12">
        <f>MATCH(Table3[[#This Row],[Indicator]],Material_Impacts[Look up],0)</f>
        <v>56</v>
      </c>
      <c r="BC12" s="246" cm="1">
        <f t="array" aca="1" ref="BC1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2" s="166" cm="1">
        <f t="array" ref="BD1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2" s="166" t="e">
        <f>Diesel_RawM_Sec*INDEX(Indicators,MATCH(Impacts_Additional[[#This Row],[Indicator]],Materials!$D:$D,0),MATCH("Diesel Combustion",Materials!$1:$1,0))*Diesel_density*Project_Area*Sec_Lays*Area_trans</f>
        <v>#DIV/0!</v>
      </c>
      <c r="BF12" s="35" t="e" cm="1">
        <f t="array" aca="1" ref="BF1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2" s="35" t="e" cm="1">
        <f t="array" aca="1" ref="BG1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2" t="e" cm="1">
        <f t="array" aca="1" ref="BH1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2" s="35" t="e" cm="1">
        <f t="array" aca="1" ref="BI1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2" s="35" t="e" cm="1">
        <f t="array" aca="1" ref="BJ1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2" t="e" cm="1">
        <f t="array" aca="1" ref="BK1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2" s="35" t="e" cm="1">
        <f t="array" aca="1" ref="BL1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2" s="35" t="e" cm="1">
        <f t="array" aca="1" ref="BM1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2" t="e" cm="1">
        <f t="array" aca="1" ref="BN1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2" s="35" t="e" cm="1">
        <f t="array" aca="1" ref="BO1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2" s="35" t="e" cm="1">
        <f t="array" aca="1" ref="BP1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2" t="e" cm="1">
        <f t="array" aca="1" ref="BQ1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2" s="35" t="e" cm="1">
        <f t="array" aca="1" ref="BR1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2" s="35" t="e" cm="1">
        <f t="array" aca="1" ref="BS1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2" t="e" cm="1">
        <f t="array" aca="1" ref="BT1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2" s="35" t="e" cm="1">
        <f t="array" aca="1" ref="BU1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2" s="35" t="e" cm="1">
        <f t="array" aca="1" ref="BV1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2" t="e" cm="1">
        <f t="array" aca="1" ref="BW1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2" s="35" t="e" cm="1">
        <f t="array" aca="1" ref="BX1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2" s="35" t="e" cm="1">
        <f t="array" aca="1" ref="BY1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2" t="e" cm="1">
        <f t="array" aca="1" ref="BZ1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2" s="35" t="e" cm="1">
        <f t="array" aca="1" ref="CA1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2" s="35" t="e" cm="1">
        <f t="array" aca="1" ref="CB1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2" t="e" cm="1">
        <f t="array" aca="1" ref="CC1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2" s="35" t="e" cm="1">
        <f t="array" aca="1" ref="CD1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2" s="35" t="e" cm="1">
        <f t="array" aca="1" ref="CE1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2" t="e" cm="1">
        <f t="array" aca="1" ref="CF1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2" s="166" cm="1">
        <f t="array" aca="1" ref="CG12" ca="1">((E_modulus_Sec/40114)^-0.25)*((Subgrade_stiffness_Sec/35)^-0.25)*((Surface_thickness_Sec/0.22)^-0.75)*Area_trans*delflec_switch*SUM((INDEX(PVI_vehicle_EFC,1,1)/INDEX(PVI_fuel_energy_density,1,1))*(INDEX(Indicators,MATCH('Additional Impact Indicators'!$A12,Materials!$D:$D,0),MATCH("diesel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Indicators'!$A12,Materials!$D:$D,0),MATCH("petrol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Indicators'!$A12,Materials!$D:$D,0),MATCH("diesel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Indicators'!$A12,Materials!$D:$D,0),MATCH("petrol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Indicators'!$A12,Materials!$D:$D,0),MATCH("bio-diesel combustion",Materials!$1:$1,0))*((1-enviro_disc)^Handle_years)*Handle_electricity_emissions:OFFSET(Handle_electricity_emissions,0,Results_timespan-1)^0)*OFFSET(Handle_traffic_fleet,6,0):OFFSET(Handle_traffic_fleet,6,Results_timespan-1))</f>
        <v>0</v>
      </c>
      <c r="CH12" s="375" cm="1">
        <f t="array" aca="1" ref="CH1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2" s="247" cm="1">
        <f t="array" aca="1" ref="CI12" ca="1">(SUMPRODUCT(Delay_emissions_table[Consumption of Diesel (kg) - Secondary Scenario],IF(Delay_emissions_table[Form of Maintenance - Secondary Scenario]="Life Extension",1,0))*INDEX(Indicators,MATCH('Additional Impact Indicators'!$A12,Materials!$D:$D,0),MATCH("diesel combustion",Materials!$1:$1,0))+SUMPRODUCT(Delay_emissions_table[Consumption of Petrol (kg) - Secondary Scenario],IF(Delay_emissions_table[Form of Maintenance - Secondary Scenario]="Life Extension",1,0))*INDEX(Indicators,MATCH('Additional Impact Indicators'!$A12,Materials!$D:$D,0),MATCH("petrol combustion",Materials!$1:$1,0))+IFERROR(SUMPRODUCT(TRANSPOSE(INDEX(elec_project_emissions,MATCH(Elec_scenario&amp;'Additional Impact Indicators'!$B12,INDEX(Electricity_projection,0,3),0)-1,0)),Delay_emissions_table[Consumption of electricity (MJ) - Secondary Scenario],IF(Delay_emissions_table[Form of Maintenance - Secondary Scenario]="Life Extension",1,0)),0))*Area_trans*time_adj_Sec</f>
        <v>0</v>
      </c>
      <c r="CJ12" s="247" cm="1">
        <f t="array" aca="1" ref="CJ12" ca="1">(SUMPRODUCT(Delay_emissions_table[Consumption of Diesel (kg) - Secondary Scenario],IF(Delay_emissions_table[Form of Maintenance - Secondary Scenario]="Replacement",1,0))*INDEX(Indicators,MATCH('Additional Impact Indicators'!$A12,Materials!$D:$D,0),MATCH("diesel combustion",Materials!$1:$1,0))+SUMPRODUCT(Delay_emissions_table[Consumption of Petrol (kg) - Secondary Scenario],IF(Delay_emissions_table[Form of Maintenance - Secondary Scenario]="Replacement",1,0))*INDEX(Indicators,MATCH('Additional Impact Indicators'!$A12,Materials!$D:$D,0),MATCH("petrol combustion",Materials!$1:$1,0))+IFERROR(SUMPRODUCT(TRANSPOSE(INDEX(elec_project_emissions,MATCH(Elec_scenario&amp;'Additional Impact Indicators'!$B12,INDEX(Electricity_projection,0,3),0)-1,0)),Delay_emissions_table[Consumption of electricity (MJ) - Secondary Scenario],IF(Delay_emissions_table[Form of Maintenance - Secondary Scenario]="Replacement",1,0)),0))*Area_trans*time_adj_Sec</f>
        <v>0</v>
      </c>
      <c r="CK12" s="248" t="e" cm="1">
        <f t="array" ref="CK1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2" s="248" t="e" cm="1">
        <f t="array" ref="CL1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2" s="249" t="e" cm="1">
        <f t="array" ref="CM1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2" s="387" t="e" cm="1">
        <f t="array" ref="CN1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2" s="51" t="e">
        <f ca="1">SUMIF(Table3[[#This Row],[Raw-Materials]:[Transport to recycling facility]],"&lt;&gt;#N/A")</f>
        <v>#DIV/0!</v>
      </c>
      <c r="CT12" t="s">
        <v>490</v>
      </c>
      <c r="CU12" t="s">
        <v>491</v>
      </c>
      <c r="CV12" t="str">
        <f t="shared" si="3"/>
        <v>A1</v>
      </c>
      <c r="CW12" t="s">
        <v>485</v>
      </c>
      <c r="CY12">
        <f>MATCH(Table611[[#This Row],[Indicator]],Material_Impacts[Look up],0)</f>
        <v>56</v>
      </c>
      <c r="CZ12" s="246" cm="1">
        <f t="array" aca="1" ref="CZ1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2" s="166" cm="1">
        <f t="array" ref="DA1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2" s="166" t="e">
        <f>Diesel_RawM_Tert*INDEX(Indicators,MATCH(Impacts_Additional[[#This Row],[Indicator]],Materials!$D:$D,0),MATCH("Diesel Combustion",Materials!$1:$1,0))*Diesel_density*Project_Area*Tert_Lays*Area_trans</f>
        <v>#DIV/0!</v>
      </c>
      <c r="DC12" s="35" t="e" cm="1">
        <f t="array" aca="1" ref="DC1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2" s="35" t="e" cm="1">
        <f t="array" aca="1" ref="DD1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2" t="e" cm="1">
        <f t="array" aca="1" ref="DE1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2" s="35" t="e" cm="1">
        <f t="array" aca="1" ref="DF1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2" s="35" t="e" cm="1">
        <f t="array" aca="1" ref="DG1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2" t="e" cm="1">
        <f t="array" aca="1" ref="DH1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2" s="35" t="e" cm="1">
        <f t="array" aca="1" ref="DI1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2" s="35" t="e" cm="1">
        <f t="array" aca="1" ref="DJ1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2" t="e" cm="1">
        <f t="array" aca="1" ref="DK1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2" s="35" t="e" cm="1">
        <f t="array" aca="1" ref="DL1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2" s="35" t="e" cm="1">
        <f t="array" aca="1" ref="DM1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2" t="e" cm="1">
        <f t="array" aca="1" ref="DN1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2" s="35" t="e" cm="1">
        <f t="array" aca="1" ref="DO1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2" s="35" t="e" cm="1">
        <f t="array" aca="1" ref="DP1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2" t="e" cm="1">
        <f t="array" aca="1" ref="DQ1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2" s="35" t="e" cm="1">
        <f t="array" aca="1" ref="DR1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2" s="35" t="e" cm="1">
        <f t="array" aca="1" ref="DS1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2" t="e" cm="1">
        <f t="array" aca="1" ref="DT1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2" s="35" t="e" cm="1">
        <f t="array" aca="1" ref="DU1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2" s="35" t="e" cm="1">
        <f t="array" aca="1" ref="DV1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2" t="e" cm="1">
        <f t="array" aca="1" ref="DW1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2" s="35" t="e" cm="1">
        <f t="array" aca="1" ref="DX1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2" s="35" t="e" cm="1">
        <f t="array" aca="1" ref="DY1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2" t="e" cm="1">
        <f t="array" aca="1" ref="DZ1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2" s="35" t="e" cm="1">
        <f t="array" aca="1" ref="EA1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2" s="35" t="e" cm="1">
        <f t="array" aca="1" ref="EB1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2" t="e" cm="1">
        <f t="array" aca="1" ref="EC1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2" s="166" cm="1">
        <f t="array" aca="1" ref="ED12" ca="1">((E_modulus_Tert/40114)^-0.25)*((Subgrade_stiffness_Tert/35)^-0.25)*((Surface_thickness_Tert/0.22)^-0.75)*Area_trans*delflec_switch*SUM((INDEX(PVI_vehicle_EFC,1,1)/INDEX(PVI_fuel_energy_density,1,1))*(INDEX(Indicators,MATCH('Additional Impact Indicators'!$A12,Materials!$D:$D,0),MATCH("diesel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Indicators'!$A12,Materials!$D:$D,0),MATCH("petrol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Indicators'!$A12,Materials!$D:$D,0),MATCH("diesel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Indicators'!$A12,Materials!$D:$D,0),MATCH("petrol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Indicators'!$A12,Materials!$D:$D,0),MATCH("bio-diesel combustion",Materials!$1:$1,0))*((1-enviro_disc)^Handle_years)*Handle_electricity_emissions:OFFSET(Handle_electricity_emissions,0,Results_timespan-1)^0)*OFFSET(Handle_traffic_fleet,6,0):OFFSET(Handle_traffic_fleet,6,Results_timespan-1))</f>
        <v>0</v>
      </c>
      <c r="EE12" s="375" cm="1">
        <f t="array" aca="1" ref="EE1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2" s="247" cm="1">
        <f t="array" aca="1" ref="EF12" ca="1">(SUMPRODUCT(Delay_emissions_table[Consumption of Diesel (kg) - Tertiary Scenario],IF(Delay_emissions_table[Form of Maintenance - Tertiary Scenario]="Life Extension",1,0))*INDEX(Indicators,MATCH('Additional Impact Indicators'!$A12,Materials!$D:$D,0),MATCH("diesel combustion",Materials!$1:$1,0))+SUMPRODUCT(Delay_emissions_table[Consumption of Petrol (kg) - Tertiary Scenario],IF(Delay_emissions_table[Form of Maintenance - Tertiary Scenario]="Life Extension",1,0))*INDEX(Indicators,MATCH('Additional Impact Indicators'!$A12,Materials!$D:$D,0),MATCH("petrol combustion",Materials!$1:$1,0))+IFERROR(SUMPRODUCT(TRANSPOSE(INDEX(elec_project_emissions,MATCH(Elec_scenario&amp;'Additional Impact Indicators'!$B12,INDEX(Electricity_projection,0,3),0)-1,0)),Delay_emissions_table[Consumption of electricity (MJ) - Tertiary Scenario],IF(Delay_emissions_table[Form of Maintenance - Tertiary Scenario]="Life Extension",1,0)),0))*Area_trans*Time_adj_Tert</f>
        <v>0</v>
      </c>
      <c r="EG12" s="247" cm="1">
        <f t="array" aca="1" ref="EG12" ca="1">(SUMPRODUCT(Delay_emissions_table[Consumption of Diesel (kg) - Tertiary Scenario],IF(Delay_emissions_table[Form of Maintenance - Tertiary Scenario]="Replacement",1,0))*INDEX(Indicators,MATCH('Additional Impact Indicators'!$A12,Materials!$D:$D,0),MATCH("diesel combustion",Materials!$1:$1,0))+SUMPRODUCT(Delay_emissions_table[Consumption of Petrol (kg) - Tertiary Scenario],IF(Delay_emissions_table[Form of Maintenance - Tertiary Scenario]="Replacement",1,0))*INDEX(Indicators,MATCH('Additional Impact Indicators'!$A12,Materials!$D:$D,0),MATCH("petrol combustion",Materials!$1:$1,0))+IFERROR(SUMPRODUCT(TRANSPOSE(INDEX(elec_project_emissions,MATCH(Elec_scenario&amp;'Additional Impact Indicators'!$B12,INDEX(Electricity_projection,0,3),0)-1,0)),Delay_emissions_table[Consumption of electricity (MJ) - Tertiary Scenario],IF(Delay_emissions_table[Form of Maintenance - Tertiary Scenario]="Replacement",1,0)),0))*Area_trans*Time_adj_Tert</f>
        <v>0</v>
      </c>
      <c r="EH12" s="248" t="e" cm="1">
        <f t="array" ref="EH1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2" s="248" t="e" cm="1">
        <f t="array" ref="EI1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2" s="249" t="e" cm="1">
        <f t="array" ref="EJ1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2" s="249" t="e" cm="1">
        <f t="array" ref="EK1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2" t="e">
        <f ca="1">SUMIF(Table611[[#This Row],[Raw-Materials]:[Transport to recycling facility]],"&lt;&gt;#N/A")</f>
        <v>#DIV/0!</v>
      </c>
    </row>
    <row r="13" spans="1:142" x14ac:dyDescent="0.35">
      <c r="A13" s="155" t="s">
        <v>492</v>
      </c>
      <c r="B13" s="155" t="s">
        <v>379</v>
      </c>
      <c r="C13" s="155" t="str">
        <f t="shared" si="1"/>
        <v>A1</v>
      </c>
      <c r="D13" s="155" t="s">
        <v>485</v>
      </c>
      <c r="E13" s="155"/>
      <c r="F13">
        <f>MATCH(Impacts_Additional[[#This Row],[Indicator]],Material_Impacts[Look up],0)</f>
        <v>53</v>
      </c>
      <c r="G13" s="246" cm="1">
        <f t="array" aca="1" ref="G1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3" s="165" cm="1">
        <f t="array" ref="H1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3" s="165" t="e">
        <f>Diesel_RawM_Prim*INDEX(Indicators,MATCH(Impacts_Additional[[#This Row],[Indicator]],Materials!$D:$D,0),MATCH("Diesel Combustion",Materials!$1:$1,0))*Diesel_density*Project_Area*Prim_Lays*Area_trans</f>
        <v>#DIV/0!</v>
      </c>
      <c r="J13" s="250" t="e" cm="1">
        <f t="array" aca="1" ref="J1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3" s="250" t="e" cm="1">
        <f t="array" aca="1" ref="K1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3" s="250" t="e" cm="1">
        <f t="array" aca="1" ref="L1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3" s="250" t="e" cm="1">
        <f t="array" aca="1" ref="M1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3" s="250" t="e" cm="1">
        <f t="array" aca="1" ref="N1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3" s="250" t="e" cm="1">
        <f t="array" aca="1" ref="O1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3" s="250" t="e" cm="1">
        <f t="array" aca="1" ref="P1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3" s="250" t="e" cm="1">
        <f t="array" aca="1" ref="Q1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3" s="250" t="e" cm="1">
        <f t="array" aca="1" ref="R1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3" s="250" t="e" cm="1">
        <f t="array" aca="1" ref="S1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3" s="250" t="e" cm="1">
        <f t="array" aca="1" ref="T1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3" s="250" t="e" cm="1">
        <f t="array" aca="1" ref="U1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3" s="250" t="e" cm="1">
        <f t="array" aca="1" ref="V1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3" s="250" t="e" cm="1">
        <f t="array" aca="1" ref="W1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3" s="250" t="e" cm="1">
        <f t="array" aca="1" ref="X1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3" s="250" t="e" cm="1">
        <f t="array" aca="1" ref="Y1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3" s="250" t="e" cm="1">
        <f t="array" aca="1" ref="Z1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3" s="250" t="e" cm="1">
        <f t="array" aca="1" ref="AA1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3" s="250" t="e" cm="1">
        <f t="array" aca="1" ref="AB1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3" s="250" t="e" cm="1">
        <f t="array" aca="1" ref="AC1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3" s="250" t="e" cm="1">
        <f t="array" aca="1" ref="AD1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3" s="250" t="e" cm="1">
        <f t="array" aca="1" ref="AE1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3" s="250" t="e" cm="1">
        <f t="array" aca="1" ref="AF1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3" s="250" t="e" cm="1">
        <f t="array" aca="1" ref="AG1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3" s="250" t="e" cm="1">
        <f t="array" aca="1" ref="AH1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3" s="250" t="e" cm="1">
        <f t="array" aca="1" ref="AI1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3" s="250" t="e" cm="1">
        <f t="array" aca="1" ref="AJ1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3" s="165" cm="1">
        <f t="array" aca="1" ref="AK13" ca="1">((E_modulus_Prim/40114)^-0.25)*((Subgrade_stiffness_Prim/35)^-0.25)*((Surface_thickness_Prim/0.22)^-0.75)*Area_trans*delflec_switch*SUM((INDEX(PVI_vehicle_EFC,1,1)/INDEX(PVI_fuel_energy_density,1,1))*(INDEX(Indicators,MATCH('Additional Impact Indicators'!$A13,Materials!$D:$D,0),MATCH("diesel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Indicators'!$A13,Materials!$D:$D,0),MATCH("petrol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Indicators'!$A13,Materials!$D:$D,0),MATCH("diesel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Indicators'!$A13,Materials!$D:$D,0),MATCH("petrol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Indicators'!$A13,Materials!$D:$D,0),MATCH("bio-diesel combustion",Materials!$1:$1,0))*((1-enviro_disc)^Handle_years)*Handle_electricity_emissions:OFFSET(Handle_electricity_emissions,0,Results_timespan-1)^0)*OFFSET(Handle_traffic_fleet,6,0):OFFSET(Handle_traffic_fleet,6,Results_timespan-1))</f>
        <v>0</v>
      </c>
      <c r="AL13" s="165" cm="1">
        <f t="array" aca="1" ref="AL1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3" s="251" cm="1">
        <f t="array" aca="1" ref="AM13" ca="1">(SUMPRODUCT(Delay_emissions_table[Consumption of Diesel (kg) - Primary Scenario],IF(Delay_emissions_table[Form of Maintenance - Primary Scenario]="Life Extension",1,0))*INDEX(Indicators,MATCH('Additional Impact Indicators'!$A13,Materials!$D:$D,0),MATCH("diesel combustion",Materials!$1:$1,0))+SUMPRODUCT(Delay_emissions_table[Consumption of Petrol (kg) - Primary Scenario],IF(Delay_emissions_table[Form of Maintenance - Primary Scenario]="Life Extension",1,0))*INDEX(Indicators,MATCH('Additional Impact Indicators'!$A13,Materials!$D:$D,0),MATCH("petrol combustion",Materials!$1:$1,0))+IFERROR(SUMPRODUCT(TRANSPOSE(INDEX(elec_project_emissions,MATCH(Elec_scenario&amp;'Additional Impact Indicators'!$B13,INDEX(Electricity_projection,0,3),0)-1,0)),Delay_emissions_table[Consumption of electricity (MJ) - Primary Scenario],IF(Delay_emissions_table[Form of Maintenance - Primary Scenario]="Life Extension",1,0)),0))*Area_trans*Time_adj_Prim</f>
        <v>0</v>
      </c>
      <c r="AN13" s="251" cm="1">
        <f t="array" aca="1" ref="AN13" ca="1">(SUMPRODUCT(Delay_emissions_table[Consumption of Diesel (kg) - Primary Scenario],IF(Delay_emissions_table[Form of Maintenance - Primary Scenario]="Replacement",1,0))*INDEX(Indicators,MATCH('Additional Impact Indicators'!$A13,Materials!$D:$D,0),MATCH("diesel combustion",Materials!$1:$1,0))+SUMPRODUCT(Delay_emissions_table[Consumption of Petrol (kg) - Primary Scenario],IF(Delay_emissions_table[Form of Maintenance - Primary Scenario]="Replacement",1,0))*INDEX(Indicators,MATCH('Additional Impact Indicators'!$A13,Materials!$D:$D,0),MATCH("petrol combustion",Materials!$1:$1,0))+IFERROR(SUMPRODUCT(TRANSPOSE(INDEX(elec_project_emissions,MATCH(Elec_scenario&amp;'Additional Impact Indicators'!$B13,INDEX(Electricity_projection,0,3),0)-1,0)),Delay_emissions_table[Consumption of electricity (MJ) - Primary Scenario],IF(Delay_emissions_table[Form of Maintenance - Primary Scenario]="Replacement",1,0)),0))*Area_trans*Time_adj_Prim</f>
        <v>0</v>
      </c>
      <c r="AO13" s="252" t="e" cm="1">
        <f t="array" ref="AO1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3" s="252" t="e" cm="1">
        <f t="array" ref="AP1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3" s="253" t="e" cm="1">
        <f t="array" ref="AQ1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3" s="385" t="e" cm="1">
        <f t="array" ref="AR1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3" t="e">
        <f ca="1">SUMIF('Additional Impact Indicators'!$G13:$AQ13,"&lt;&gt;#N/A")</f>
        <v>#DIV/0!</v>
      </c>
      <c r="AW13" s="155" t="s">
        <v>492</v>
      </c>
      <c r="AX13" s="155" t="s">
        <v>379</v>
      </c>
      <c r="AY13" s="155" t="str">
        <f t="shared" si="2"/>
        <v>A1</v>
      </c>
      <c r="AZ13" s="155" t="s">
        <v>485</v>
      </c>
      <c r="BA13" s="155"/>
      <c r="BB13" s="155">
        <f>MATCH(Table3[[#This Row],[Indicator]],Material_Impacts[Look up],0)</f>
        <v>53</v>
      </c>
      <c r="BC13" s="246" cm="1">
        <f t="array" aca="1" ref="BC1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3" s="165" cm="1">
        <f t="array" ref="BD1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3" s="165" t="e">
        <f>Diesel_RawM_Sec*INDEX(Indicators,MATCH(Impacts_Additional[[#This Row],[Indicator]],Materials!$D:$D,0),MATCH("Diesel Combustion",Materials!$1:$1,0))*Diesel_density*Project_Area*Sec_Lays*Area_trans</f>
        <v>#DIV/0!</v>
      </c>
      <c r="BF13" s="35" t="e" cm="1">
        <f t="array" aca="1" ref="BF1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3" s="35" t="e" cm="1">
        <f t="array" aca="1" ref="BG1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3" t="e" cm="1">
        <f t="array" aca="1" ref="BH1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3" s="35" t="e" cm="1">
        <f t="array" aca="1" ref="BI1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3" s="35" t="e" cm="1">
        <f t="array" aca="1" ref="BJ1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3" t="e" cm="1">
        <f t="array" aca="1" ref="BK1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3" s="35" t="e" cm="1">
        <f t="array" aca="1" ref="BL1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3" s="35" t="e" cm="1">
        <f t="array" aca="1" ref="BM1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3" t="e" cm="1">
        <f t="array" aca="1" ref="BN1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3" s="35" t="e" cm="1">
        <f t="array" aca="1" ref="BO1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3" s="35" t="e" cm="1">
        <f t="array" aca="1" ref="BP1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3" t="e" cm="1">
        <f t="array" aca="1" ref="BQ1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3" s="35" t="e" cm="1">
        <f t="array" aca="1" ref="BR1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3" s="35" t="e" cm="1">
        <f t="array" aca="1" ref="BS1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3" t="e" cm="1">
        <f t="array" aca="1" ref="BT1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3" s="35" t="e" cm="1">
        <f t="array" aca="1" ref="BU1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3" s="35" t="e" cm="1">
        <f t="array" aca="1" ref="BV1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3" t="e" cm="1">
        <f t="array" aca="1" ref="BW1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3" s="35" t="e" cm="1">
        <f t="array" aca="1" ref="BX1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3" s="35" t="e" cm="1">
        <f t="array" aca="1" ref="BY1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3" t="e" cm="1">
        <f t="array" aca="1" ref="BZ1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3" s="35" t="e" cm="1">
        <f t="array" aca="1" ref="CA1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3" s="35" t="e" cm="1">
        <f t="array" aca="1" ref="CB1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3" t="e" cm="1">
        <f t="array" aca="1" ref="CC1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3" s="35" t="e" cm="1">
        <f t="array" aca="1" ref="CD1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3" s="35" t="e" cm="1">
        <f t="array" aca="1" ref="CE1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3" t="e" cm="1">
        <f t="array" aca="1" ref="CF1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3" s="165" cm="1">
        <f t="array" aca="1" ref="CG13" ca="1">((E_modulus_Sec/40114)^-0.25)*((Subgrade_stiffness_Sec/35)^-0.25)*((Surface_thickness_Sec/0.22)^-0.75)*Area_trans*delflec_switch*SUM((INDEX(PVI_vehicle_EFC,1,1)/INDEX(PVI_fuel_energy_density,1,1))*(INDEX(Indicators,MATCH('Additional Impact Indicators'!$A13,Materials!$D:$D,0),MATCH("diesel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Indicators'!$A13,Materials!$D:$D,0),MATCH("petrol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Indicators'!$A13,Materials!$D:$D,0),MATCH("diesel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Indicators'!$A13,Materials!$D:$D,0),MATCH("petrol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Indicators'!$A13,Materials!$D:$D,0),MATCH("bio-diesel combustion",Materials!$1:$1,0))*((1-enviro_disc)^Handle_years)*Handle_electricity_emissions:OFFSET(Handle_electricity_emissions,0,Results_timespan-1)^0)*OFFSET(Handle_traffic_fleet,6,0):OFFSET(Handle_traffic_fleet,6,Results_timespan-1))</f>
        <v>0</v>
      </c>
      <c r="CH13" s="375" cm="1">
        <f t="array" aca="1" ref="CH1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3" s="251" cm="1">
        <f t="array" aca="1" ref="CI13" ca="1">(SUMPRODUCT(Delay_emissions_table[Consumption of Diesel (kg) - Secondary Scenario],IF(Delay_emissions_table[Form of Maintenance - Secondary Scenario]="Life Extension",1,0))*INDEX(Indicators,MATCH('Additional Impact Indicators'!$A13,Materials!$D:$D,0),MATCH("diesel combustion",Materials!$1:$1,0))+SUMPRODUCT(Delay_emissions_table[Consumption of Petrol (kg) - Secondary Scenario],IF(Delay_emissions_table[Form of Maintenance - Secondary Scenario]="Life Extension",1,0))*INDEX(Indicators,MATCH('Additional Impact Indicators'!$A13,Materials!$D:$D,0),MATCH("petrol combustion",Materials!$1:$1,0))+IFERROR(SUMPRODUCT(TRANSPOSE(INDEX(elec_project_emissions,MATCH(Elec_scenario&amp;'Additional Impact Indicators'!$B13,INDEX(Electricity_projection,0,3),0)-1,0)),Delay_emissions_table[Consumption of electricity (MJ) - Secondary Scenario],IF(Delay_emissions_table[Form of Maintenance - Secondary Scenario]="Life Extension",1,0)),0))*Area_trans*time_adj_Sec</f>
        <v>0</v>
      </c>
      <c r="CJ13" s="251" cm="1">
        <f t="array" aca="1" ref="CJ13" ca="1">(SUMPRODUCT(Delay_emissions_table[Consumption of Diesel (kg) - Secondary Scenario],IF(Delay_emissions_table[Form of Maintenance - Secondary Scenario]="Replacement",1,0))*INDEX(Indicators,MATCH('Additional Impact Indicators'!$A13,Materials!$D:$D,0),MATCH("diesel combustion",Materials!$1:$1,0))+SUMPRODUCT(Delay_emissions_table[Consumption of Petrol (kg) - Secondary Scenario],IF(Delay_emissions_table[Form of Maintenance - Secondary Scenario]="Replacement",1,0))*INDEX(Indicators,MATCH('Additional Impact Indicators'!$A13,Materials!$D:$D,0),MATCH("petrol combustion",Materials!$1:$1,0))+IFERROR(SUMPRODUCT(TRANSPOSE(INDEX(elec_project_emissions,MATCH(Elec_scenario&amp;'Additional Impact Indicators'!$B13,INDEX(Electricity_projection,0,3),0)-1,0)),Delay_emissions_table[Consumption of electricity (MJ) - Secondary Scenario],IF(Delay_emissions_table[Form of Maintenance - Secondary Scenario]="Replacement",1,0)),0))*Area_trans*time_adj_Sec</f>
        <v>0</v>
      </c>
      <c r="CK13" s="252" t="e" cm="1">
        <f t="array" ref="CK1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3" s="252" t="e" cm="1">
        <f t="array" ref="CL1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3" s="253" t="e" cm="1">
        <f t="array" ref="CM1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3" s="387" t="e" cm="1">
        <f t="array" ref="CN1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3" s="51" t="e">
        <f ca="1">SUMIF(Table3[[#This Row],[Raw-Materials]:[Transport to recycling facility]],"&lt;&gt;#N/A")</f>
        <v>#DIV/0!</v>
      </c>
      <c r="CT13" t="s">
        <v>492</v>
      </c>
      <c r="CU13" t="s">
        <v>379</v>
      </c>
      <c r="CV13" t="str">
        <f t="shared" si="3"/>
        <v>A1</v>
      </c>
      <c r="CW13" t="s">
        <v>485</v>
      </c>
      <c r="CY13">
        <f>MATCH(Table611[[#This Row],[Indicator]],Material_Impacts[Look up],0)</f>
        <v>53</v>
      </c>
      <c r="CZ13" s="246" cm="1">
        <f t="array" aca="1" ref="CZ1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3" s="165" cm="1">
        <f t="array" ref="DA1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3" s="165" t="e">
        <f>Diesel_RawM_Tert*INDEX(Indicators,MATCH(Impacts_Additional[[#This Row],[Indicator]],Materials!$D:$D,0),MATCH("Diesel Combustion",Materials!$1:$1,0))*Diesel_density*Project_Area*Tert_Lays*Area_trans</f>
        <v>#DIV/0!</v>
      </c>
      <c r="DC13" s="35" t="e" cm="1">
        <f t="array" aca="1" ref="DC1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3" s="35" t="e" cm="1">
        <f t="array" aca="1" ref="DD1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3" t="e" cm="1">
        <f t="array" aca="1" ref="DE1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3" s="35" t="e" cm="1">
        <f t="array" aca="1" ref="DF1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3" s="35" t="e" cm="1">
        <f t="array" aca="1" ref="DG1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3" t="e" cm="1">
        <f t="array" aca="1" ref="DH1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3" s="35" t="e" cm="1">
        <f t="array" aca="1" ref="DI1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3" s="35" t="e" cm="1">
        <f t="array" aca="1" ref="DJ1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3" t="e" cm="1">
        <f t="array" aca="1" ref="DK1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3" s="35" t="e" cm="1">
        <f t="array" aca="1" ref="DL1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3" s="35" t="e" cm="1">
        <f t="array" aca="1" ref="DM1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3" t="e" cm="1">
        <f t="array" aca="1" ref="DN1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3" s="35" t="e" cm="1">
        <f t="array" aca="1" ref="DO1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3" s="35" t="e" cm="1">
        <f t="array" aca="1" ref="DP1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3" t="e" cm="1">
        <f t="array" aca="1" ref="DQ1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3" s="35" t="e" cm="1">
        <f t="array" aca="1" ref="DR1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3" s="35" t="e" cm="1">
        <f t="array" aca="1" ref="DS1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3" t="e" cm="1">
        <f t="array" aca="1" ref="DT1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3" s="35" t="e" cm="1">
        <f t="array" aca="1" ref="DU1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3" s="35" t="e" cm="1">
        <f t="array" aca="1" ref="DV1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3" t="e" cm="1">
        <f t="array" aca="1" ref="DW1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3" s="35" t="e" cm="1">
        <f t="array" aca="1" ref="DX1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3" s="35" t="e" cm="1">
        <f t="array" aca="1" ref="DY1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3" t="e" cm="1">
        <f t="array" aca="1" ref="DZ1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3" s="35" t="e" cm="1">
        <f t="array" aca="1" ref="EA1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3" s="35" t="e" cm="1">
        <f t="array" aca="1" ref="EB1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3" t="e" cm="1">
        <f t="array" aca="1" ref="EC1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3" s="165" cm="1">
        <f t="array" aca="1" ref="ED13" ca="1">((E_modulus_Tert/40114)^-0.25)*((Subgrade_stiffness_Tert/35)^-0.25)*((Surface_thickness_Tert/0.22)^-0.75)*Area_trans*delflec_switch*SUM((INDEX(PVI_vehicle_EFC,1,1)/INDEX(PVI_fuel_energy_density,1,1))*(INDEX(Indicators,MATCH('Additional Impact Indicators'!$A13,Materials!$D:$D,0),MATCH("diesel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Indicators'!$A13,Materials!$D:$D,0),MATCH("petrol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Indicators'!$A13,Materials!$D:$D,0),MATCH("diesel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Indicators'!$A13,Materials!$D:$D,0),MATCH("petrol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Indicators'!$A13,Materials!$D:$D,0),MATCH("bio-diesel combustion",Materials!$1:$1,0))*((1-enviro_disc)^Handle_years)*Handle_electricity_emissions:OFFSET(Handle_electricity_emissions,0,Results_timespan-1)^0)*OFFSET(Handle_traffic_fleet,6,0):OFFSET(Handle_traffic_fleet,6,Results_timespan-1))</f>
        <v>0</v>
      </c>
      <c r="EE13" s="375" cm="1">
        <f t="array" aca="1" ref="EE1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3" s="251" cm="1">
        <f t="array" aca="1" ref="EF13" ca="1">(SUMPRODUCT(Delay_emissions_table[Consumption of Diesel (kg) - Tertiary Scenario],IF(Delay_emissions_table[Form of Maintenance - Tertiary Scenario]="Life Extension",1,0))*INDEX(Indicators,MATCH('Additional Impact Indicators'!$A13,Materials!$D:$D,0),MATCH("diesel combustion",Materials!$1:$1,0))+SUMPRODUCT(Delay_emissions_table[Consumption of Petrol (kg) - Tertiary Scenario],IF(Delay_emissions_table[Form of Maintenance - Tertiary Scenario]="Life Extension",1,0))*INDEX(Indicators,MATCH('Additional Impact Indicators'!$A13,Materials!$D:$D,0),MATCH("petrol combustion",Materials!$1:$1,0))+IFERROR(SUMPRODUCT(TRANSPOSE(INDEX(elec_project_emissions,MATCH(Elec_scenario&amp;'Additional Impact Indicators'!$B13,INDEX(Electricity_projection,0,3),0)-1,0)),Delay_emissions_table[Consumption of electricity (MJ) - Tertiary Scenario],IF(Delay_emissions_table[Form of Maintenance - Tertiary Scenario]="Life Extension",1,0)),0))*Area_trans*Time_adj_Tert</f>
        <v>0</v>
      </c>
      <c r="EG13" s="251" cm="1">
        <f t="array" aca="1" ref="EG13" ca="1">(SUMPRODUCT(Delay_emissions_table[Consumption of Diesel (kg) - Tertiary Scenario],IF(Delay_emissions_table[Form of Maintenance - Tertiary Scenario]="Replacement",1,0))*INDEX(Indicators,MATCH('Additional Impact Indicators'!$A13,Materials!$D:$D,0),MATCH("diesel combustion",Materials!$1:$1,0))+SUMPRODUCT(Delay_emissions_table[Consumption of Petrol (kg) - Tertiary Scenario],IF(Delay_emissions_table[Form of Maintenance - Tertiary Scenario]="Replacement",1,0))*INDEX(Indicators,MATCH('Additional Impact Indicators'!$A13,Materials!$D:$D,0),MATCH("petrol combustion",Materials!$1:$1,0))+IFERROR(SUMPRODUCT(TRANSPOSE(INDEX(elec_project_emissions,MATCH(Elec_scenario&amp;'Additional Impact Indicators'!$B13,INDEX(Electricity_projection,0,3),0)-1,0)),Delay_emissions_table[Consumption of electricity (MJ) - Tertiary Scenario],IF(Delay_emissions_table[Form of Maintenance - Tertiary Scenario]="Replacement",1,0)),0))*Area_trans*Time_adj_Tert</f>
        <v>0</v>
      </c>
      <c r="EH13" s="252" t="e" cm="1">
        <f t="array" ref="EH1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3" s="252" t="e" cm="1">
        <f t="array" ref="EI1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3" s="253" t="e" cm="1">
        <f t="array" ref="EJ1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3" s="253" t="e" cm="1">
        <f t="array" ref="EK1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3" t="e">
        <f ca="1">SUMIF(Table611[[#This Row],[Raw-Materials]:[Transport to recycling facility]],"&lt;&gt;#N/A")</f>
        <v>#DIV/0!</v>
      </c>
    </row>
    <row r="14" spans="1:142" x14ac:dyDescent="0.35">
      <c r="A14" t="s">
        <v>493</v>
      </c>
      <c r="B14" t="s">
        <v>403</v>
      </c>
      <c r="C14" t="str">
        <f t="shared" si="1"/>
        <v>A1</v>
      </c>
      <c r="D14" t="s">
        <v>485</v>
      </c>
      <c r="F14">
        <f>MATCH(Impacts_Additional[[#This Row],[Indicator]],Material_Impacts[Look up],0)</f>
        <v>58</v>
      </c>
      <c r="G14" s="246" cm="1">
        <f t="array" aca="1" ref="G1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4" s="166" cm="1">
        <f t="array" ref="H1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4" s="166" t="e">
        <f>Diesel_RawM_Prim*INDEX(Indicators,MATCH(Impacts_Additional[[#This Row],[Indicator]],Materials!$D:$D,0),MATCH("Diesel Combustion",Materials!$1:$1,0))*Diesel_density*Project_Area*Prim_Lays*Area_trans</f>
        <v>#DIV/0!</v>
      </c>
      <c r="J14" s="20" t="e" cm="1">
        <f t="array" aca="1" ref="J1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4" s="20" t="e" cm="1">
        <f t="array" aca="1" ref="K1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4" s="20" t="e" cm="1">
        <f t="array" aca="1" ref="L1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4" s="20" t="e" cm="1">
        <f t="array" aca="1" ref="M1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4" s="20" t="e" cm="1">
        <f t="array" aca="1" ref="N1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4" s="20" t="e" cm="1">
        <f t="array" aca="1" ref="O1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4" s="20" t="e" cm="1">
        <f t="array" aca="1" ref="P1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4" s="20" t="e" cm="1">
        <f t="array" aca="1" ref="Q1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4" s="20" t="e" cm="1">
        <f t="array" aca="1" ref="R1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4" s="20" t="e" cm="1">
        <f t="array" aca="1" ref="S1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4" s="20" t="e" cm="1">
        <f t="array" aca="1" ref="T1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4" s="20" t="e" cm="1">
        <f t="array" aca="1" ref="U1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4" s="20" t="e" cm="1">
        <f t="array" aca="1" ref="V1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4" s="20" t="e" cm="1">
        <f t="array" aca="1" ref="W1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4" s="20" t="e" cm="1">
        <f t="array" aca="1" ref="X1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4" s="20" t="e" cm="1">
        <f t="array" aca="1" ref="Y1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4" s="20" t="e" cm="1">
        <f t="array" aca="1" ref="Z1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4" s="20" t="e" cm="1">
        <f t="array" aca="1" ref="AA1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4" s="20" t="e" cm="1">
        <f t="array" aca="1" ref="AB1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4" s="20" t="e" cm="1">
        <f t="array" aca="1" ref="AC1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4" s="20" t="e" cm="1">
        <f t="array" aca="1" ref="AD1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4" s="20" t="e" cm="1">
        <f t="array" aca="1" ref="AE1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4" s="20" t="e" cm="1">
        <f t="array" aca="1" ref="AF1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4" s="20" t="e" cm="1">
        <f t="array" aca="1" ref="AG1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4" s="20" t="e" cm="1">
        <f t="array" aca="1" ref="AH1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4" s="20" t="e" cm="1">
        <f t="array" aca="1" ref="AI1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4" s="20" t="e" cm="1">
        <f t="array" aca="1" ref="AJ1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4" s="166" cm="1">
        <f t="array" aca="1" ref="AK14" ca="1">((E_modulus_Prim/40114)^-0.25)*((Subgrade_stiffness_Prim/35)^-0.25)*((Surface_thickness_Prim/0.22)^-0.75)*Area_trans*delflec_switch*SUM((INDEX(PVI_vehicle_EFC,1,1)/INDEX(PVI_fuel_energy_density,1,1))*(INDEX(Indicators,MATCH('Additional Impact Indicators'!$A14,Materials!$D:$D,0),MATCH("diesel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Indicators'!$A14,Materials!$D:$D,0),MATCH("petrol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Indicators'!$A14,Materials!$D:$D,0),MATCH("diesel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Indicators'!$A14,Materials!$D:$D,0),MATCH("petrol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Indicators'!$A14,Materials!$D:$D,0),MATCH("bio-diesel combustion",Materials!$1:$1,0))*((1-enviro_disc)^Handle_years)*Handle_electricity_emissions:OFFSET(Handle_electricity_emissions,0,Results_timespan-1)^0)*OFFSET(Handle_traffic_fleet,6,0):OFFSET(Handle_traffic_fleet,6,Results_timespan-1))</f>
        <v>0</v>
      </c>
      <c r="AL14" s="166" cm="1">
        <f t="array" aca="1" ref="AL1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4" s="247" cm="1">
        <f t="array" aca="1" ref="AM14" ca="1">(SUMPRODUCT(Delay_emissions_table[Consumption of Diesel (kg) - Primary Scenario],IF(Delay_emissions_table[Form of Maintenance - Primary Scenario]="Life Extension",1,0))*INDEX(Indicators,MATCH('Additional Impact Indicators'!$A14,Materials!$D:$D,0),MATCH("diesel combustion",Materials!$1:$1,0))+SUMPRODUCT(Delay_emissions_table[Consumption of Petrol (kg) - Primary Scenario],IF(Delay_emissions_table[Form of Maintenance - Primary Scenario]="Life Extension",1,0))*INDEX(Indicators,MATCH('Additional Impact Indicators'!$A14,Materials!$D:$D,0),MATCH("petrol combustion",Materials!$1:$1,0))+IFERROR(SUMPRODUCT(TRANSPOSE(INDEX(elec_project_emissions,MATCH(Elec_scenario&amp;'Additional Impact Indicators'!$B14,INDEX(Electricity_projection,0,3),0)-1,0)),Delay_emissions_table[Consumption of electricity (MJ) - Primary Scenario],IF(Delay_emissions_table[Form of Maintenance - Primary Scenario]="Life Extension",1,0)),0))*Area_trans*Time_adj_Prim</f>
        <v>0</v>
      </c>
      <c r="AN14" s="247" cm="1">
        <f t="array" aca="1" ref="AN14" ca="1">(SUMPRODUCT(Delay_emissions_table[Consumption of Diesel (kg) - Primary Scenario],IF(Delay_emissions_table[Form of Maintenance - Primary Scenario]="Replacement",1,0))*INDEX(Indicators,MATCH('Additional Impact Indicators'!$A14,Materials!$D:$D,0),MATCH("diesel combustion",Materials!$1:$1,0))+SUMPRODUCT(Delay_emissions_table[Consumption of Petrol (kg) - Primary Scenario],IF(Delay_emissions_table[Form of Maintenance - Primary Scenario]="Replacement",1,0))*INDEX(Indicators,MATCH('Additional Impact Indicators'!$A14,Materials!$D:$D,0),MATCH("petrol combustion",Materials!$1:$1,0))+IFERROR(SUMPRODUCT(TRANSPOSE(INDEX(elec_project_emissions,MATCH(Elec_scenario&amp;'Additional Impact Indicators'!$B14,INDEX(Electricity_projection,0,3),0)-1,0)),Delay_emissions_table[Consumption of electricity (MJ) - Primary Scenario],IF(Delay_emissions_table[Form of Maintenance - Primary Scenario]="Replacement",1,0)),0))*Area_trans*Time_adj_Prim</f>
        <v>0</v>
      </c>
      <c r="AO14" s="248" t="e" cm="1">
        <f t="array" ref="AO1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4" s="248" t="e" cm="1">
        <f t="array" ref="AP1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4" s="249" t="e" cm="1">
        <f t="array" ref="AQ1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4" s="386" t="e" cm="1">
        <f t="array" ref="AR1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4" t="e">
        <f ca="1">SUMIF('Additional Impact Indicators'!$G14:$AQ14,"&lt;&gt;#N/A")</f>
        <v>#DIV/0!</v>
      </c>
      <c r="AW14" t="s">
        <v>493</v>
      </c>
      <c r="AX14" t="s">
        <v>403</v>
      </c>
      <c r="AY14" t="str">
        <f t="shared" si="2"/>
        <v>A1</v>
      </c>
      <c r="AZ14" t="s">
        <v>485</v>
      </c>
      <c r="BB14">
        <f>MATCH(Table3[[#This Row],[Indicator]],Material_Impacts[Look up],0)</f>
        <v>58</v>
      </c>
      <c r="BC14" s="246" cm="1">
        <f t="array" aca="1" ref="BC1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4" s="166" cm="1">
        <f t="array" ref="BD1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4" s="166" t="e">
        <f>Diesel_RawM_Sec*INDEX(Indicators,MATCH(Impacts_Additional[[#This Row],[Indicator]],Materials!$D:$D,0),MATCH("Diesel Combustion",Materials!$1:$1,0))*Diesel_density*Project_Area*Sec_Lays*Area_trans</f>
        <v>#DIV/0!</v>
      </c>
      <c r="BF14" s="35" t="e" cm="1">
        <f t="array" aca="1" ref="BF1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4" s="35" t="e" cm="1">
        <f t="array" aca="1" ref="BG1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4" t="e" cm="1">
        <f t="array" aca="1" ref="BH1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4" s="35" t="e" cm="1">
        <f t="array" aca="1" ref="BI1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4" s="35" t="e" cm="1">
        <f t="array" aca="1" ref="BJ1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4" t="e" cm="1">
        <f t="array" aca="1" ref="BK1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4" s="35" t="e" cm="1">
        <f t="array" aca="1" ref="BL1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4" s="35" t="e" cm="1">
        <f t="array" aca="1" ref="BM1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4" t="e" cm="1">
        <f t="array" aca="1" ref="BN1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4" s="35" t="e" cm="1">
        <f t="array" aca="1" ref="BO1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4" s="35" t="e" cm="1">
        <f t="array" aca="1" ref="BP1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4" t="e" cm="1">
        <f t="array" aca="1" ref="BQ1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4" s="35" t="e" cm="1">
        <f t="array" aca="1" ref="BR1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4" s="35" t="e" cm="1">
        <f t="array" aca="1" ref="BS1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4" t="e" cm="1">
        <f t="array" aca="1" ref="BT1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4" s="35" t="e" cm="1">
        <f t="array" aca="1" ref="BU1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4" s="35" t="e" cm="1">
        <f t="array" aca="1" ref="BV1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4" t="e" cm="1">
        <f t="array" aca="1" ref="BW1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4" s="35" t="e" cm="1">
        <f t="array" aca="1" ref="BX1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4" s="35" t="e" cm="1">
        <f t="array" aca="1" ref="BY1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4" t="e" cm="1">
        <f t="array" aca="1" ref="BZ1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4" s="35" t="e" cm="1">
        <f t="array" aca="1" ref="CA1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4" s="35" t="e" cm="1">
        <f t="array" aca="1" ref="CB1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4" t="e" cm="1">
        <f t="array" aca="1" ref="CC1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4" s="35" t="e" cm="1">
        <f t="array" aca="1" ref="CD1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4" s="35" t="e" cm="1">
        <f t="array" aca="1" ref="CE1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4" t="e" cm="1">
        <f t="array" aca="1" ref="CF1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4" s="166" cm="1">
        <f t="array" aca="1" ref="CG14" ca="1">((E_modulus_Sec/40114)^-0.25)*((Subgrade_stiffness_Sec/35)^-0.25)*((Surface_thickness_Sec/0.22)^-0.75)*Area_trans*delflec_switch*SUM((INDEX(PVI_vehicle_EFC,1,1)/INDEX(PVI_fuel_energy_density,1,1))*(INDEX(Indicators,MATCH('Additional Impact Indicators'!$A14,Materials!$D:$D,0),MATCH("diesel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Indicators'!$A14,Materials!$D:$D,0),MATCH("petrol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Indicators'!$A14,Materials!$D:$D,0),MATCH("diesel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Indicators'!$A14,Materials!$D:$D,0),MATCH("petrol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Indicators'!$A14,Materials!$D:$D,0),MATCH("bio-diesel combustion",Materials!$1:$1,0))*((1-enviro_disc)^Handle_years)*Handle_electricity_emissions:OFFSET(Handle_electricity_emissions,0,Results_timespan-1)^0)*OFFSET(Handle_traffic_fleet,6,0):OFFSET(Handle_traffic_fleet,6,Results_timespan-1))</f>
        <v>0</v>
      </c>
      <c r="CH14" s="375" cm="1">
        <f t="array" aca="1" ref="CH1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4" s="247" cm="1">
        <f t="array" aca="1" ref="CI14" ca="1">(SUMPRODUCT(Delay_emissions_table[Consumption of Diesel (kg) - Secondary Scenario],IF(Delay_emissions_table[Form of Maintenance - Secondary Scenario]="Life Extension",1,0))*INDEX(Indicators,MATCH('Additional Impact Indicators'!$A14,Materials!$D:$D,0),MATCH("diesel combustion",Materials!$1:$1,0))+SUMPRODUCT(Delay_emissions_table[Consumption of Petrol (kg) - Secondary Scenario],IF(Delay_emissions_table[Form of Maintenance - Secondary Scenario]="Life Extension",1,0))*INDEX(Indicators,MATCH('Additional Impact Indicators'!$A14,Materials!$D:$D,0),MATCH("petrol combustion",Materials!$1:$1,0))+IFERROR(SUMPRODUCT(TRANSPOSE(INDEX(elec_project_emissions,MATCH(Elec_scenario&amp;'Additional Impact Indicators'!$B14,INDEX(Electricity_projection,0,3),0)-1,0)),Delay_emissions_table[Consumption of electricity (MJ) - Secondary Scenario],IF(Delay_emissions_table[Form of Maintenance - Secondary Scenario]="Life Extension",1,0)),0))*Area_trans*time_adj_Sec</f>
        <v>0</v>
      </c>
      <c r="CJ14" s="247" cm="1">
        <f t="array" aca="1" ref="CJ14" ca="1">(SUMPRODUCT(Delay_emissions_table[Consumption of Diesel (kg) - Secondary Scenario],IF(Delay_emissions_table[Form of Maintenance - Secondary Scenario]="Replacement",1,0))*INDEX(Indicators,MATCH('Additional Impact Indicators'!$A14,Materials!$D:$D,0),MATCH("diesel combustion",Materials!$1:$1,0))+SUMPRODUCT(Delay_emissions_table[Consumption of Petrol (kg) - Secondary Scenario],IF(Delay_emissions_table[Form of Maintenance - Secondary Scenario]="Replacement",1,0))*INDEX(Indicators,MATCH('Additional Impact Indicators'!$A14,Materials!$D:$D,0),MATCH("petrol combustion",Materials!$1:$1,0))+IFERROR(SUMPRODUCT(TRANSPOSE(INDEX(elec_project_emissions,MATCH(Elec_scenario&amp;'Additional Impact Indicators'!$B14,INDEX(Electricity_projection,0,3),0)-1,0)),Delay_emissions_table[Consumption of electricity (MJ) - Secondary Scenario],IF(Delay_emissions_table[Form of Maintenance - Secondary Scenario]="Replacement",1,0)),0))*Area_trans*time_adj_Sec</f>
        <v>0</v>
      </c>
      <c r="CK14" s="248" t="e" cm="1">
        <f t="array" ref="CK1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4" s="248" t="e" cm="1">
        <f t="array" ref="CL1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4" s="249" t="e" cm="1">
        <f t="array" ref="CM1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4" s="387" t="e" cm="1">
        <f t="array" ref="CN1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4" s="51" t="e">
        <f ca="1">SUMIF(Table3[[#This Row],[Raw-Materials]:[Transport to recycling facility]],"&lt;&gt;#N/A")</f>
        <v>#DIV/0!</v>
      </c>
      <c r="CT14" t="s">
        <v>493</v>
      </c>
      <c r="CU14" t="s">
        <v>403</v>
      </c>
      <c r="CV14" t="str">
        <f t="shared" si="3"/>
        <v>A1</v>
      </c>
      <c r="CW14" t="s">
        <v>485</v>
      </c>
      <c r="CY14">
        <f>MATCH(Table611[[#This Row],[Indicator]],Material_Impacts[Look up],0)</f>
        <v>58</v>
      </c>
      <c r="CZ14" s="246" cm="1">
        <f t="array" aca="1" ref="CZ1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4" s="166" cm="1">
        <f t="array" ref="DA1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4" s="166" t="e">
        <f>Diesel_RawM_Tert*INDEX(Indicators,MATCH(Impacts_Additional[[#This Row],[Indicator]],Materials!$D:$D,0),MATCH("Diesel Combustion",Materials!$1:$1,0))*Diesel_density*Project_Area*Tert_Lays*Area_trans</f>
        <v>#DIV/0!</v>
      </c>
      <c r="DC14" s="35" t="e" cm="1">
        <f t="array" aca="1" ref="DC1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4" s="35" t="e" cm="1">
        <f t="array" aca="1" ref="DD1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4" t="e" cm="1">
        <f t="array" aca="1" ref="DE1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4" s="35" t="e" cm="1">
        <f t="array" aca="1" ref="DF1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4" s="35" t="e" cm="1">
        <f t="array" aca="1" ref="DG1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4" t="e" cm="1">
        <f t="array" aca="1" ref="DH1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4" s="35" t="e" cm="1">
        <f t="array" aca="1" ref="DI1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4" s="35" t="e" cm="1">
        <f t="array" aca="1" ref="DJ1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4" t="e" cm="1">
        <f t="array" aca="1" ref="DK1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4" s="35" t="e" cm="1">
        <f t="array" aca="1" ref="DL1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4" s="35" t="e" cm="1">
        <f t="array" aca="1" ref="DM1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4" t="e" cm="1">
        <f t="array" aca="1" ref="DN1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4" s="35" t="e" cm="1">
        <f t="array" aca="1" ref="DO1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4" s="35" t="e" cm="1">
        <f t="array" aca="1" ref="DP1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4" t="e" cm="1">
        <f t="array" aca="1" ref="DQ1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4" s="35" t="e" cm="1">
        <f t="array" aca="1" ref="DR1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4" s="35" t="e" cm="1">
        <f t="array" aca="1" ref="DS1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4" t="e" cm="1">
        <f t="array" aca="1" ref="DT1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4" s="35" t="e" cm="1">
        <f t="array" aca="1" ref="DU1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4" s="35" t="e" cm="1">
        <f t="array" aca="1" ref="DV1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4" t="e" cm="1">
        <f t="array" aca="1" ref="DW1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4" s="35" t="e" cm="1">
        <f t="array" aca="1" ref="DX1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4" s="35" t="e" cm="1">
        <f t="array" aca="1" ref="DY1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4" t="e" cm="1">
        <f t="array" aca="1" ref="DZ1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4" s="35" t="e" cm="1">
        <f t="array" aca="1" ref="EA1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4" s="35" t="e" cm="1">
        <f t="array" aca="1" ref="EB1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4" t="e" cm="1">
        <f t="array" aca="1" ref="EC1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4" s="166" cm="1">
        <f t="array" aca="1" ref="ED14" ca="1">((E_modulus_Tert/40114)^-0.25)*((Subgrade_stiffness_Tert/35)^-0.25)*((Surface_thickness_Tert/0.22)^-0.75)*Area_trans*delflec_switch*SUM((INDEX(PVI_vehicle_EFC,1,1)/INDEX(PVI_fuel_energy_density,1,1))*(INDEX(Indicators,MATCH('Additional Impact Indicators'!$A14,Materials!$D:$D,0),MATCH("diesel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Indicators'!$A14,Materials!$D:$D,0),MATCH("petrol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Indicators'!$A14,Materials!$D:$D,0),MATCH("diesel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Indicators'!$A14,Materials!$D:$D,0),MATCH("petrol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Indicators'!$A14,Materials!$D:$D,0),MATCH("bio-diesel combustion",Materials!$1:$1,0))*((1-enviro_disc)^Handle_years)*Handle_electricity_emissions:OFFSET(Handle_electricity_emissions,0,Results_timespan-1)^0)*OFFSET(Handle_traffic_fleet,6,0):OFFSET(Handle_traffic_fleet,6,Results_timespan-1))</f>
        <v>0</v>
      </c>
      <c r="EE14" s="375" cm="1">
        <f t="array" aca="1" ref="EE1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4" s="247" cm="1">
        <f t="array" aca="1" ref="EF14" ca="1">(SUMPRODUCT(Delay_emissions_table[Consumption of Diesel (kg) - Tertiary Scenario],IF(Delay_emissions_table[Form of Maintenance - Tertiary Scenario]="Life Extension",1,0))*INDEX(Indicators,MATCH('Additional Impact Indicators'!$A14,Materials!$D:$D,0),MATCH("diesel combustion",Materials!$1:$1,0))+SUMPRODUCT(Delay_emissions_table[Consumption of Petrol (kg) - Tertiary Scenario],IF(Delay_emissions_table[Form of Maintenance - Tertiary Scenario]="Life Extension",1,0))*INDEX(Indicators,MATCH('Additional Impact Indicators'!$A14,Materials!$D:$D,0),MATCH("petrol combustion",Materials!$1:$1,0))+IFERROR(SUMPRODUCT(TRANSPOSE(INDEX(elec_project_emissions,MATCH(Elec_scenario&amp;'Additional Impact Indicators'!$B14,INDEX(Electricity_projection,0,3),0)-1,0)),Delay_emissions_table[Consumption of electricity (MJ) - Tertiary Scenario],IF(Delay_emissions_table[Form of Maintenance - Tertiary Scenario]="Life Extension",1,0)),0))*Area_trans*Time_adj_Tert</f>
        <v>0</v>
      </c>
      <c r="EG14" s="247" cm="1">
        <f t="array" aca="1" ref="EG14" ca="1">(SUMPRODUCT(Delay_emissions_table[Consumption of Diesel (kg) - Tertiary Scenario],IF(Delay_emissions_table[Form of Maintenance - Tertiary Scenario]="Replacement",1,0))*INDEX(Indicators,MATCH('Additional Impact Indicators'!$A14,Materials!$D:$D,0),MATCH("diesel combustion",Materials!$1:$1,0))+SUMPRODUCT(Delay_emissions_table[Consumption of Petrol (kg) - Tertiary Scenario],IF(Delay_emissions_table[Form of Maintenance - Tertiary Scenario]="Replacement",1,0))*INDEX(Indicators,MATCH('Additional Impact Indicators'!$A14,Materials!$D:$D,0),MATCH("petrol combustion",Materials!$1:$1,0))+IFERROR(SUMPRODUCT(TRANSPOSE(INDEX(elec_project_emissions,MATCH(Elec_scenario&amp;'Additional Impact Indicators'!$B14,INDEX(Electricity_projection,0,3),0)-1,0)),Delay_emissions_table[Consumption of electricity (MJ) - Tertiary Scenario],IF(Delay_emissions_table[Form of Maintenance - Tertiary Scenario]="Replacement",1,0)),0))*Area_trans*Time_adj_Tert</f>
        <v>0</v>
      </c>
      <c r="EH14" s="248" t="e" cm="1">
        <f t="array" ref="EH1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4" s="248" t="e" cm="1">
        <f t="array" ref="EI1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4" s="249" t="e" cm="1">
        <f t="array" ref="EJ1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4" s="249" t="e" cm="1">
        <f t="array" ref="EK1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4" t="e">
        <f ca="1">SUMIF(Table611[[#This Row],[Raw-Materials]:[Transport to recycling facility]],"&lt;&gt;#N/A")</f>
        <v>#DIV/0!</v>
      </c>
    </row>
    <row r="15" spans="1:142" x14ac:dyDescent="0.35">
      <c r="A15" s="155" t="s">
        <v>494</v>
      </c>
      <c r="B15" s="155" t="s">
        <v>495</v>
      </c>
      <c r="C15" s="155" t="str">
        <f t="shared" si="1"/>
        <v>A1</v>
      </c>
      <c r="D15" s="155" t="s">
        <v>485</v>
      </c>
      <c r="E15" s="155"/>
      <c r="F15">
        <f>MATCH(Impacts_Additional[[#This Row],[Indicator]],Material_Impacts[Look up],0)</f>
        <v>59</v>
      </c>
      <c r="G15" s="246" cm="1">
        <f t="array" aca="1" ref="G1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5" s="165" cm="1">
        <f t="array" ref="H1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5" s="165" t="e">
        <f>Diesel_RawM_Prim*INDEX(Indicators,MATCH(Impacts_Additional[[#This Row],[Indicator]],Materials!$D:$D,0),MATCH("Diesel Combustion",Materials!$1:$1,0))*Diesel_density*Project_Area*Prim_Lays*Area_trans</f>
        <v>#DIV/0!</v>
      </c>
      <c r="J15" s="250" t="e" cm="1">
        <f t="array" aca="1" ref="J1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5" s="250" t="e" cm="1">
        <f t="array" aca="1" ref="K1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5" s="250" t="e" cm="1">
        <f t="array" aca="1" ref="L1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5" s="250" t="e" cm="1">
        <f t="array" aca="1" ref="M1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5" s="250" t="e" cm="1">
        <f t="array" aca="1" ref="N1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5" s="250" t="e" cm="1">
        <f t="array" aca="1" ref="O1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5" s="250" t="e" cm="1">
        <f t="array" aca="1" ref="P1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5" s="250" t="e" cm="1">
        <f t="array" aca="1" ref="Q1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5" s="250" t="e" cm="1">
        <f t="array" aca="1" ref="R1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5" s="250" t="e" cm="1">
        <f t="array" aca="1" ref="S1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5" s="250" t="e" cm="1">
        <f t="array" aca="1" ref="T1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5" s="250" t="e" cm="1">
        <f t="array" aca="1" ref="U1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5" s="250" t="e" cm="1">
        <f t="array" aca="1" ref="V1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5" s="250" t="e" cm="1">
        <f t="array" aca="1" ref="W1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5" s="250" t="e" cm="1">
        <f t="array" aca="1" ref="X1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5" s="250" t="e" cm="1">
        <f t="array" aca="1" ref="Y1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5" s="250" t="e" cm="1">
        <f t="array" aca="1" ref="Z1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5" s="250" t="e" cm="1">
        <f t="array" aca="1" ref="AA1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5" s="250" t="e" cm="1">
        <f t="array" aca="1" ref="AB1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5" s="250" t="e" cm="1">
        <f t="array" aca="1" ref="AC1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5" s="250" t="e" cm="1">
        <f t="array" aca="1" ref="AD1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5" s="250" t="e" cm="1">
        <f t="array" aca="1" ref="AE1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5" s="250" t="e" cm="1">
        <f t="array" aca="1" ref="AF1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5" s="250" t="e" cm="1">
        <f t="array" aca="1" ref="AG1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5" s="250" t="e" cm="1">
        <f t="array" aca="1" ref="AH1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5" s="250" t="e" cm="1">
        <f t="array" aca="1" ref="AI1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5" s="250" t="e" cm="1">
        <f t="array" aca="1" ref="AJ1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5" s="165" cm="1">
        <f t="array" aca="1" ref="AK15" ca="1">((E_modulus_Prim/40114)^-0.25)*((Subgrade_stiffness_Prim/35)^-0.25)*((Surface_thickness_Prim/0.22)^-0.75)*Area_trans*delflec_switch*SUM((INDEX(PVI_vehicle_EFC,1,1)/INDEX(PVI_fuel_energy_density,1,1))*(INDEX(Indicators,MATCH('Additional Impact Indicators'!$A15,Materials!$D:$D,0),MATCH("diesel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Indicators'!$A15,Materials!$D:$D,0),MATCH("bio-diesel combustion",Materials!$1:$1,0))*((1-enviro_disc)^Handle_years)*Handle_electricity_emissions:OFFSET(Handle_electricity_emissions,0,Results_timespan-1)^0)*OFFSET(Handle_traffic_fleet,6,0):OFFSET(Handle_traffic_fleet,6,Results_timespan-1))</f>
        <v>0</v>
      </c>
      <c r="AL15" s="165" cm="1">
        <f t="array" aca="1" ref="AL1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5" s="251" cm="1">
        <f t="array" aca="1" ref="AM15" ca="1">(SUMPRODUCT(Delay_emissions_table[Consumption of Diesel (kg) - Primary Scenario],IF(Delay_emissions_table[Form of Maintenance - Primary Scenario]="Life Extension",1,0))*INDEX(Indicators,MATCH('Additional Impact Indicators'!$A15,Materials!$D:$D,0),MATCH("diesel combustion",Materials!$1:$1,0))+SUMPRODUCT(Delay_emissions_table[Consumption of Petrol (kg) - Primary Scenario],IF(Delay_emissions_table[Form of Maintenance - Primary Scenario]="Life Extension",1,0))*INDEX(Indicators,MATCH('Additional Impact Indicators'!$A15,Materials!$D:$D,0),MATCH("petrol combustion",Materials!$1:$1,0))+IFERROR(SUMPRODUCT(TRANSPOSE(INDEX(elec_project_emissions,MATCH(Elec_scenario&amp;'Additional Impact Indicators'!$B15,INDEX(Electricity_projection,0,3),0)-1,0)),Delay_emissions_table[Consumption of electricity (MJ) - Primary Scenario],IF(Delay_emissions_table[Form of Maintenance - Primary Scenario]="Life Extension",1,0)),0))*Area_trans*Time_adj_Prim</f>
        <v>0</v>
      </c>
      <c r="AN15" s="251" cm="1">
        <f t="array" aca="1" ref="AN15" ca="1">(SUMPRODUCT(Delay_emissions_table[Consumption of Diesel (kg) - Primary Scenario],IF(Delay_emissions_table[Form of Maintenance - Primary Scenario]="Replacement",1,0))*INDEX(Indicators,MATCH('Additional Impact Indicators'!$A15,Materials!$D:$D,0),MATCH("diesel combustion",Materials!$1:$1,0))+SUMPRODUCT(Delay_emissions_table[Consumption of Petrol (kg) - Primary Scenario],IF(Delay_emissions_table[Form of Maintenance - Primary Scenario]="Replacement",1,0))*INDEX(Indicators,MATCH('Additional Impact Indicators'!$A15,Materials!$D:$D,0),MATCH("petrol combustion",Materials!$1:$1,0))+IFERROR(SUMPRODUCT(TRANSPOSE(INDEX(elec_project_emissions,MATCH(Elec_scenario&amp;'Additional Impact Indicators'!$B15,INDEX(Electricity_projection,0,3),0)-1,0)),Delay_emissions_table[Consumption of electricity (MJ) - Primary Scenario],IF(Delay_emissions_table[Form of Maintenance - Primary Scenario]="Replacement",1,0)),0))*Area_trans*Time_adj_Prim</f>
        <v>0</v>
      </c>
      <c r="AO15" s="252" t="e" cm="1">
        <f t="array" ref="AO1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5" s="252" t="e" cm="1">
        <f t="array" ref="AP1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5" s="253" t="e" cm="1">
        <f t="array" ref="AQ1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5" s="385" t="e" cm="1">
        <f t="array" ref="AR1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5" t="e">
        <f ca="1">SUMIF('Additional Impact Indicators'!$G15:$AQ15,"&lt;&gt;#N/A")</f>
        <v>#DIV/0!</v>
      </c>
      <c r="AW15" s="155" t="s">
        <v>494</v>
      </c>
      <c r="AX15" s="155" t="s">
        <v>495</v>
      </c>
      <c r="AY15" s="155" t="str">
        <f t="shared" si="2"/>
        <v>A1</v>
      </c>
      <c r="AZ15" s="155" t="s">
        <v>485</v>
      </c>
      <c r="BA15" s="155"/>
      <c r="BB15" s="155">
        <f>MATCH(Table3[[#This Row],[Indicator]],Material_Impacts[Look up],0)</f>
        <v>59</v>
      </c>
      <c r="BC15" s="246" cm="1">
        <f t="array" aca="1" ref="BC1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5" s="165" cm="1">
        <f t="array" ref="BD1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5" s="165" t="e">
        <f>Diesel_RawM_Sec*INDEX(Indicators,MATCH(Impacts_Additional[[#This Row],[Indicator]],Materials!$D:$D,0),MATCH("Diesel Combustion",Materials!$1:$1,0))*Diesel_density*Project_Area*Sec_Lays*Area_trans</f>
        <v>#DIV/0!</v>
      </c>
      <c r="BF15" s="35" t="e" cm="1">
        <f t="array" aca="1" ref="BF1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5" s="35" t="e" cm="1">
        <f t="array" aca="1" ref="BG1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5" t="e" cm="1">
        <f t="array" aca="1" ref="BH1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5" s="35" t="e" cm="1">
        <f t="array" aca="1" ref="BI1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5" s="35" t="e" cm="1">
        <f t="array" aca="1" ref="BJ1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5" t="e" cm="1">
        <f t="array" aca="1" ref="BK1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5" s="35" t="e" cm="1">
        <f t="array" aca="1" ref="BL1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5" s="35" t="e" cm="1">
        <f t="array" aca="1" ref="BM1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5" t="e" cm="1">
        <f t="array" aca="1" ref="BN1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5" s="35" t="e" cm="1">
        <f t="array" aca="1" ref="BO1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5" s="35" t="e" cm="1">
        <f t="array" aca="1" ref="BP1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5" t="e" cm="1">
        <f t="array" aca="1" ref="BQ1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5" s="35" t="e" cm="1">
        <f t="array" aca="1" ref="BR1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5" s="35" t="e" cm="1">
        <f t="array" aca="1" ref="BS1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5" t="e" cm="1">
        <f t="array" aca="1" ref="BT1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5" s="35" t="e" cm="1">
        <f t="array" aca="1" ref="BU1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5" s="35" t="e" cm="1">
        <f t="array" aca="1" ref="BV1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5" t="e" cm="1">
        <f t="array" aca="1" ref="BW1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5" s="35" t="e" cm="1">
        <f t="array" aca="1" ref="BX1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5" s="35" t="e" cm="1">
        <f t="array" aca="1" ref="BY1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5" t="e" cm="1">
        <f t="array" aca="1" ref="BZ1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5" s="35" t="e" cm="1">
        <f t="array" aca="1" ref="CA1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5" s="35" t="e" cm="1">
        <f t="array" aca="1" ref="CB1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5" t="e" cm="1">
        <f t="array" aca="1" ref="CC1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5" s="35" t="e" cm="1">
        <f t="array" aca="1" ref="CD1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5" s="35" t="e" cm="1">
        <f t="array" aca="1" ref="CE1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5" t="e" cm="1">
        <f t="array" aca="1" ref="CF1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5" s="165" cm="1">
        <f t="array" aca="1" ref="CG15" ca="1">((E_modulus_Sec/40114)^-0.25)*((Subgrade_stiffness_Sec/35)^-0.25)*((Surface_thickness_Sec/0.22)^-0.75)*Area_trans*delflec_switch*SUM((INDEX(PVI_vehicle_EFC,1,1)/INDEX(PVI_fuel_energy_density,1,1))*(INDEX(Indicators,MATCH('Additional Impact Indicators'!$A15,Materials!$D:$D,0),MATCH("diesel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Indicators'!$A15,Materials!$D:$D,0),MATCH("bio-diesel combustion",Materials!$1:$1,0))*((1-enviro_disc)^Handle_years)*Handle_electricity_emissions:OFFSET(Handle_electricity_emissions,0,Results_timespan-1)^0)*OFFSET(Handle_traffic_fleet,6,0):OFFSET(Handle_traffic_fleet,6,Results_timespan-1))</f>
        <v>0</v>
      </c>
      <c r="CH15" s="375" cm="1">
        <f t="array" aca="1" ref="CH1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5" s="251" cm="1">
        <f t="array" aca="1" ref="CI15" ca="1">(SUMPRODUCT(Delay_emissions_table[Consumption of Diesel (kg) - Secondary Scenario],IF(Delay_emissions_table[Form of Maintenance - Secondary Scenario]="Life Extension",1,0))*INDEX(Indicators,MATCH('Additional Impact Indicators'!$A15,Materials!$D:$D,0),MATCH("diesel combustion",Materials!$1:$1,0))+SUMPRODUCT(Delay_emissions_table[Consumption of Petrol (kg) - Secondary Scenario],IF(Delay_emissions_table[Form of Maintenance - Secondary Scenario]="Life Extension",1,0))*INDEX(Indicators,MATCH('Additional Impact Indicators'!$A15,Materials!$D:$D,0),MATCH("petrol combustion",Materials!$1:$1,0))+IFERROR(SUMPRODUCT(TRANSPOSE(INDEX(elec_project_emissions,MATCH(Elec_scenario&amp;'Additional Impact Indicators'!$B15,INDEX(Electricity_projection,0,3),0)-1,0)),Delay_emissions_table[Consumption of electricity (MJ) - Secondary Scenario],IF(Delay_emissions_table[Form of Maintenance - Secondary Scenario]="Life Extension",1,0)),0))*Area_trans*time_adj_Sec</f>
        <v>0</v>
      </c>
      <c r="CJ15" s="251" cm="1">
        <f t="array" aca="1" ref="CJ15" ca="1">(SUMPRODUCT(Delay_emissions_table[Consumption of Diesel (kg) - Secondary Scenario],IF(Delay_emissions_table[Form of Maintenance - Secondary Scenario]="Replacement",1,0))*INDEX(Indicators,MATCH('Additional Impact Indicators'!$A15,Materials!$D:$D,0),MATCH("diesel combustion",Materials!$1:$1,0))+SUMPRODUCT(Delay_emissions_table[Consumption of Petrol (kg) - Secondary Scenario],IF(Delay_emissions_table[Form of Maintenance - Secondary Scenario]="Replacement",1,0))*INDEX(Indicators,MATCH('Additional Impact Indicators'!$A15,Materials!$D:$D,0),MATCH("petrol combustion",Materials!$1:$1,0))+IFERROR(SUMPRODUCT(TRANSPOSE(INDEX(elec_project_emissions,MATCH(Elec_scenario&amp;'Additional Impact Indicators'!$B15,INDEX(Electricity_projection,0,3),0)-1,0)),Delay_emissions_table[Consumption of electricity (MJ) - Secondary Scenario],IF(Delay_emissions_table[Form of Maintenance - Secondary Scenario]="Replacement",1,0)),0))*Area_trans*time_adj_Sec</f>
        <v>0</v>
      </c>
      <c r="CK15" s="252" t="e" cm="1">
        <f t="array" ref="CK1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5" s="252" t="e" cm="1">
        <f t="array" ref="CL1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5" s="253" t="e" cm="1">
        <f t="array" ref="CM1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5" s="387" t="e" cm="1">
        <f t="array" ref="CN1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5" s="51" t="e">
        <f ca="1">SUMIF(Table3[[#This Row],[Raw-Materials]:[Transport to recycling facility]],"&lt;&gt;#N/A")</f>
        <v>#DIV/0!</v>
      </c>
      <c r="CT15" t="s">
        <v>494</v>
      </c>
      <c r="CU15" t="s">
        <v>495</v>
      </c>
      <c r="CV15" t="str">
        <f t="shared" si="3"/>
        <v>A1</v>
      </c>
      <c r="CW15" t="s">
        <v>485</v>
      </c>
      <c r="CY15">
        <f>MATCH(Table611[[#This Row],[Indicator]],Material_Impacts[Look up],0)</f>
        <v>59</v>
      </c>
      <c r="CZ15" s="246" cm="1">
        <f t="array" aca="1" ref="CZ1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5" s="165" cm="1">
        <f t="array" ref="DA1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5" s="165" t="e">
        <f>Diesel_RawM_Tert*INDEX(Indicators,MATCH(Impacts_Additional[[#This Row],[Indicator]],Materials!$D:$D,0),MATCH("Diesel Combustion",Materials!$1:$1,0))*Diesel_density*Project_Area*Tert_Lays*Area_trans</f>
        <v>#DIV/0!</v>
      </c>
      <c r="DC15" s="35" t="e" cm="1">
        <f t="array" aca="1" ref="DC1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5" s="35" t="e" cm="1">
        <f t="array" aca="1" ref="DD1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5" t="e" cm="1">
        <f t="array" aca="1" ref="DE1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5" s="35" t="e" cm="1">
        <f t="array" aca="1" ref="DF1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5" s="35" t="e" cm="1">
        <f t="array" aca="1" ref="DG1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5" t="e" cm="1">
        <f t="array" aca="1" ref="DH1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5" s="35" t="e" cm="1">
        <f t="array" aca="1" ref="DI1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5" s="35" t="e" cm="1">
        <f t="array" aca="1" ref="DJ1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5" t="e" cm="1">
        <f t="array" aca="1" ref="DK1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5" s="35" t="e" cm="1">
        <f t="array" aca="1" ref="DL1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5" s="35" t="e" cm="1">
        <f t="array" aca="1" ref="DM1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5" t="e" cm="1">
        <f t="array" aca="1" ref="DN1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5" s="35" t="e" cm="1">
        <f t="array" aca="1" ref="DO1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5" s="35" t="e" cm="1">
        <f t="array" aca="1" ref="DP1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5" t="e" cm="1">
        <f t="array" aca="1" ref="DQ1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5" s="35" t="e" cm="1">
        <f t="array" aca="1" ref="DR1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5" s="35" t="e" cm="1">
        <f t="array" aca="1" ref="DS1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5" t="e" cm="1">
        <f t="array" aca="1" ref="DT1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5" s="35" t="e" cm="1">
        <f t="array" aca="1" ref="DU1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5" s="35" t="e" cm="1">
        <f t="array" aca="1" ref="DV1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5" t="e" cm="1">
        <f t="array" aca="1" ref="DW1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5" s="35" t="e" cm="1">
        <f t="array" aca="1" ref="DX1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5" s="35" t="e" cm="1">
        <f t="array" aca="1" ref="DY1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5" t="e" cm="1">
        <f t="array" aca="1" ref="DZ1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5" s="35" t="e" cm="1">
        <f t="array" aca="1" ref="EA1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5" s="35" t="e" cm="1">
        <f t="array" aca="1" ref="EB1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5" t="e" cm="1">
        <f t="array" aca="1" ref="EC1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5" s="165" cm="1">
        <f t="array" aca="1" ref="ED15" ca="1">((E_modulus_Tert/40114)^-0.25)*((Subgrade_stiffness_Tert/35)^-0.25)*((Surface_thickness_Tert/0.22)^-0.75)*Area_trans*delflec_switch*SUM((INDEX(PVI_vehicle_EFC,1,1)/INDEX(PVI_fuel_energy_density,1,1))*(INDEX(Indicators,MATCH('Additional Impact Indicators'!$A15,Materials!$D:$D,0),MATCH("diesel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Indicators'!$A15,Materials!$D:$D,0),MATCH("bio-diesel combustion",Materials!$1:$1,0))*((1-enviro_disc)^Handle_years)*Handle_electricity_emissions:OFFSET(Handle_electricity_emissions,0,Results_timespan-1)^0)*OFFSET(Handle_traffic_fleet,6,0):OFFSET(Handle_traffic_fleet,6,Results_timespan-1))</f>
        <v>0</v>
      </c>
      <c r="EE15" s="375" cm="1">
        <f t="array" aca="1" ref="EE1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5" s="251" cm="1">
        <f t="array" aca="1" ref="EF15" ca="1">(SUMPRODUCT(Delay_emissions_table[Consumption of Diesel (kg) - Tertiary Scenario],IF(Delay_emissions_table[Form of Maintenance - Tertiary Scenario]="Life Extension",1,0))*INDEX(Indicators,MATCH('Additional Impact Indicators'!$A15,Materials!$D:$D,0),MATCH("diesel combustion",Materials!$1:$1,0))+SUMPRODUCT(Delay_emissions_table[Consumption of Petrol (kg) - Tertiary Scenario],IF(Delay_emissions_table[Form of Maintenance - Tertiary Scenario]="Life Extension",1,0))*INDEX(Indicators,MATCH('Additional Impact Indicators'!$A15,Materials!$D:$D,0),MATCH("petrol combustion",Materials!$1:$1,0))+IFERROR(SUMPRODUCT(TRANSPOSE(INDEX(elec_project_emissions,MATCH(Elec_scenario&amp;'Additional Impact Indicators'!$B15,INDEX(Electricity_projection,0,3),0)-1,0)),Delay_emissions_table[Consumption of electricity (MJ) - Tertiary Scenario],IF(Delay_emissions_table[Form of Maintenance - Tertiary Scenario]="Life Extension",1,0)),0))*Area_trans*Time_adj_Tert</f>
        <v>0</v>
      </c>
      <c r="EG15" s="251" cm="1">
        <f t="array" aca="1" ref="EG15" ca="1">(SUMPRODUCT(Delay_emissions_table[Consumption of Diesel (kg) - Tertiary Scenario],IF(Delay_emissions_table[Form of Maintenance - Tertiary Scenario]="Replacement",1,0))*INDEX(Indicators,MATCH('Additional Impact Indicators'!$A15,Materials!$D:$D,0),MATCH("diesel combustion",Materials!$1:$1,0))+SUMPRODUCT(Delay_emissions_table[Consumption of Petrol (kg) - Tertiary Scenario],IF(Delay_emissions_table[Form of Maintenance - Tertiary Scenario]="Replacement",1,0))*INDEX(Indicators,MATCH('Additional Impact Indicators'!$A15,Materials!$D:$D,0),MATCH("petrol combustion",Materials!$1:$1,0))+IFERROR(SUMPRODUCT(TRANSPOSE(INDEX(elec_project_emissions,MATCH(Elec_scenario&amp;'Additional Impact Indicators'!$B15,INDEX(Electricity_projection,0,3),0)-1,0)),Delay_emissions_table[Consumption of electricity (MJ) - Tertiary Scenario],IF(Delay_emissions_table[Form of Maintenance - Tertiary Scenario]="Replacement",1,0)),0))*Area_trans*Time_adj_Tert</f>
        <v>0</v>
      </c>
      <c r="EH15" s="252" t="e" cm="1">
        <f t="array" ref="EH1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5" s="252" t="e" cm="1">
        <f t="array" ref="EI1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5" s="253" t="e" cm="1">
        <f t="array" ref="EJ1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5" s="253" t="e" cm="1">
        <f t="array" ref="EK1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5" t="e">
        <f ca="1">SUMIF(Table611[[#This Row],[Raw-Materials]:[Transport to recycling facility]],"&lt;&gt;#N/A")</f>
        <v>#DIV/0!</v>
      </c>
    </row>
    <row r="16" spans="1:142" x14ac:dyDescent="0.35">
      <c r="A16" t="s">
        <v>496</v>
      </c>
      <c r="B16" t="s">
        <v>497</v>
      </c>
      <c r="C16" t="str">
        <f t="shared" si="1"/>
        <v>A1</v>
      </c>
      <c r="D16" t="s">
        <v>485</v>
      </c>
      <c r="F16">
        <f>MATCH(Impacts_Additional[[#This Row],[Indicator]],Material_Impacts[Look up],0)</f>
        <v>60</v>
      </c>
      <c r="G16" s="246" cm="1">
        <f t="array" aca="1" ref="G1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6" s="166" cm="1">
        <f t="array" ref="H1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6" s="166" t="e">
        <f>Diesel_RawM_Prim*INDEX(Indicators,MATCH(Impacts_Additional[[#This Row],[Indicator]],Materials!$D:$D,0),MATCH("Diesel Combustion",Materials!$1:$1,0))*Diesel_density*Project_Area*Prim_Lays*Area_trans</f>
        <v>#DIV/0!</v>
      </c>
      <c r="J16" s="20" t="e" cm="1">
        <f t="array" aca="1" ref="J1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6" s="20" t="e" cm="1">
        <f t="array" aca="1" ref="K1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6" s="20" t="e" cm="1">
        <f t="array" aca="1" ref="L1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6" s="20" t="e" cm="1">
        <f t="array" aca="1" ref="M1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6" s="20" t="e" cm="1">
        <f t="array" aca="1" ref="N1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6" s="20" t="e" cm="1">
        <f t="array" aca="1" ref="O1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6" s="20" t="e" cm="1">
        <f t="array" aca="1" ref="P1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6" s="20" t="e" cm="1">
        <f t="array" aca="1" ref="Q1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6" s="20" t="e" cm="1">
        <f t="array" aca="1" ref="R1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6" s="20" t="e" cm="1">
        <f t="array" aca="1" ref="S1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6" s="20" t="e" cm="1">
        <f t="array" aca="1" ref="T1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6" s="20" t="e" cm="1">
        <f t="array" aca="1" ref="U1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6" s="20" t="e" cm="1">
        <f t="array" aca="1" ref="V1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6" s="20" t="e" cm="1">
        <f t="array" aca="1" ref="W1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6" s="20" t="e" cm="1">
        <f t="array" aca="1" ref="X1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6" s="20" t="e" cm="1">
        <f t="array" aca="1" ref="Y1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6" s="20" t="e" cm="1">
        <f t="array" aca="1" ref="Z1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6" s="20" t="e" cm="1">
        <f t="array" aca="1" ref="AA1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6" s="20" t="e" cm="1">
        <f t="array" aca="1" ref="AB1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6" s="20" t="e" cm="1">
        <f t="array" aca="1" ref="AC1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6" s="20" t="e" cm="1">
        <f t="array" aca="1" ref="AD1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6" s="20" t="e" cm="1">
        <f t="array" aca="1" ref="AE1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6" s="20" t="e" cm="1">
        <f t="array" aca="1" ref="AF1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6" s="20" t="e" cm="1">
        <f t="array" aca="1" ref="AG1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6" s="20" t="e" cm="1">
        <f t="array" aca="1" ref="AH1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6" s="20" t="e" cm="1">
        <f t="array" aca="1" ref="AI1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6" s="20" t="e" cm="1">
        <f t="array" aca="1" ref="AJ1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6" s="166" cm="1">
        <f t="array" aca="1" ref="AK16" ca="1">((E_modulus_Prim/40114)^-0.25)*((Subgrade_stiffness_Prim/35)^-0.25)*((Surface_thickness_Prim/0.22)^-0.75)*Area_trans*delflec_switch*SUM((INDEX(PVI_vehicle_EFC,1,1)/INDEX(PVI_fuel_energy_density,1,1))*(INDEX(Indicators,MATCH('Additional Impact Indicators'!$A16,Materials!$D:$D,0),MATCH("diesel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Indicators'!$A16,Materials!$D:$D,0),MATCH("petrol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Indicators'!$A16,Materials!$D:$D,0),MATCH("diesel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Indicators'!$A16,Materials!$D:$D,0),MATCH("petrol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Indicators'!$A16,Materials!$D:$D,0),MATCH("bio-diesel combustion",Materials!$1:$1,0))*((1-enviro_disc)^Handle_years)*Handle_electricity_emissions:OFFSET(Handle_electricity_emissions,0,Results_timespan-1)^0)*OFFSET(Handle_traffic_fleet,6,0):OFFSET(Handle_traffic_fleet,6,Results_timespan-1))</f>
        <v>0</v>
      </c>
      <c r="AL16" s="166" cm="1">
        <f t="array" aca="1" ref="AL1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6" s="247" cm="1">
        <f t="array" aca="1" ref="AM16" ca="1">(SUMPRODUCT(Delay_emissions_table[Consumption of Diesel (kg) - Primary Scenario],IF(Delay_emissions_table[Form of Maintenance - Primary Scenario]="Life Extension",1,0))*INDEX(Indicators,MATCH('Additional Impact Indicators'!$A16,Materials!$D:$D,0),MATCH("diesel combustion",Materials!$1:$1,0))+SUMPRODUCT(Delay_emissions_table[Consumption of Petrol (kg) - Primary Scenario],IF(Delay_emissions_table[Form of Maintenance - Primary Scenario]="Life Extension",1,0))*INDEX(Indicators,MATCH('Additional Impact Indicators'!$A16,Materials!$D:$D,0),MATCH("petrol combustion",Materials!$1:$1,0))+IFERROR(SUMPRODUCT(TRANSPOSE(INDEX(elec_project_emissions,MATCH(Elec_scenario&amp;'Additional Impact Indicators'!$B16,INDEX(Electricity_projection,0,3),0)-1,0)),Delay_emissions_table[Consumption of electricity (MJ) - Primary Scenario],IF(Delay_emissions_table[Form of Maintenance - Primary Scenario]="Life Extension",1,0)),0))*Area_trans*Time_adj_Prim</f>
        <v>0</v>
      </c>
      <c r="AN16" s="247" cm="1">
        <f t="array" aca="1" ref="AN16" ca="1">(SUMPRODUCT(Delay_emissions_table[Consumption of Diesel (kg) - Primary Scenario],IF(Delay_emissions_table[Form of Maintenance - Primary Scenario]="Replacement",1,0))*INDEX(Indicators,MATCH('Additional Impact Indicators'!$A16,Materials!$D:$D,0),MATCH("diesel combustion",Materials!$1:$1,0))+SUMPRODUCT(Delay_emissions_table[Consumption of Petrol (kg) - Primary Scenario],IF(Delay_emissions_table[Form of Maintenance - Primary Scenario]="Replacement",1,0))*INDEX(Indicators,MATCH('Additional Impact Indicators'!$A16,Materials!$D:$D,0),MATCH("petrol combustion",Materials!$1:$1,0))+IFERROR(SUMPRODUCT(TRANSPOSE(INDEX(elec_project_emissions,MATCH(Elec_scenario&amp;'Additional Impact Indicators'!$B16,INDEX(Electricity_projection,0,3),0)-1,0)),Delay_emissions_table[Consumption of electricity (MJ) - Primary Scenario],IF(Delay_emissions_table[Form of Maintenance - Primary Scenario]="Replacement",1,0)),0))*Area_trans*Time_adj_Prim</f>
        <v>0</v>
      </c>
      <c r="AO16" s="248" t="e" cm="1">
        <f t="array" ref="AO1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6" s="248" t="e" cm="1">
        <f t="array" ref="AP1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6" s="249" t="e" cm="1">
        <f t="array" ref="AQ1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6" s="386" t="e" cm="1">
        <f t="array" ref="AR1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6" t="e">
        <f ca="1">SUMIF('Additional Impact Indicators'!$G16:$AQ16,"&lt;&gt;#N/A")</f>
        <v>#DIV/0!</v>
      </c>
      <c r="AW16" t="s">
        <v>496</v>
      </c>
      <c r="AX16" t="s">
        <v>497</v>
      </c>
      <c r="AY16" t="str">
        <f t="shared" si="2"/>
        <v>A1</v>
      </c>
      <c r="AZ16" t="s">
        <v>485</v>
      </c>
      <c r="BB16">
        <f>MATCH(Table3[[#This Row],[Indicator]],Material_Impacts[Look up],0)</f>
        <v>60</v>
      </c>
      <c r="BC16" s="246" cm="1">
        <f t="array" aca="1" ref="BC1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6" s="166" cm="1">
        <f t="array" ref="BD1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6" s="166" t="e">
        <f>Diesel_RawM_Sec*INDEX(Indicators,MATCH(Impacts_Additional[[#This Row],[Indicator]],Materials!$D:$D,0),MATCH("Diesel Combustion",Materials!$1:$1,0))*Diesel_density*Project_Area*Sec_Lays*Area_trans</f>
        <v>#DIV/0!</v>
      </c>
      <c r="BF16" s="35" t="e" cm="1">
        <f t="array" aca="1" ref="BF1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6" s="35" t="e" cm="1">
        <f t="array" aca="1" ref="BG1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6" t="e" cm="1">
        <f t="array" aca="1" ref="BH1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6" s="35" t="e" cm="1">
        <f t="array" aca="1" ref="BI1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6" s="35" t="e" cm="1">
        <f t="array" aca="1" ref="BJ1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6" t="e" cm="1">
        <f t="array" aca="1" ref="BK1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6" s="35" t="e" cm="1">
        <f t="array" aca="1" ref="BL1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6" s="35" t="e" cm="1">
        <f t="array" aca="1" ref="BM1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6" t="e" cm="1">
        <f t="array" aca="1" ref="BN1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6" s="35" t="e" cm="1">
        <f t="array" aca="1" ref="BO1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6" s="35" t="e" cm="1">
        <f t="array" aca="1" ref="BP1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6" t="e" cm="1">
        <f t="array" aca="1" ref="BQ1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6" s="35" t="e" cm="1">
        <f t="array" aca="1" ref="BR1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6" s="35" t="e" cm="1">
        <f t="array" aca="1" ref="BS1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6" t="e" cm="1">
        <f t="array" aca="1" ref="BT1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6" s="35" t="e" cm="1">
        <f t="array" aca="1" ref="BU1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6" s="35" t="e" cm="1">
        <f t="array" aca="1" ref="BV1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6" t="e" cm="1">
        <f t="array" aca="1" ref="BW1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6" s="35" t="e" cm="1">
        <f t="array" aca="1" ref="BX1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6" s="35" t="e" cm="1">
        <f t="array" aca="1" ref="BY1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6" t="e" cm="1">
        <f t="array" aca="1" ref="BZ1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6" s="35" t="e" cm="1">
        <f t="array" aca="1" ref="CA1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6" s="35" t="e" cm="1">
        <f t="array" aca="1" ref="CB1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6" t="e" cm="1">
        <f t="array" aca="1" ref="CC1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6" s="35" t="e" cm="1">
        <f t="array" aca="1" ref="CD1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6" s="35" t="e" cm="1">
        <f t="array" aca="1" ref="CE1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6" t="e" cm="1">
        <f t="array" aca="1" ref="CF1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6" s="166" cm="1">
        <f t="array" aca="1" ref="CG16" ca="1">((E_modulus_Sec/40114)^-0.25)*((Subgrade_stiffness_Sec/35)^-0.25)*((Surface_thickness_Sec/0.22)^-0.75)*Area_trans*delflec_switch*SUM((INDEX(PVI_vehicle_EFC,1,1)/INDEX(PVI_fuel_energy_density,1,1))*(INDEX(Indicators,MATCH('Additional Impact Indicators'!$A16,Materials!$D:$D,0),MATCH("diesel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Indicators'!$A16,Materials!$D:$D,0),MATCH("petrol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Indicators'!$A16,Materials!$D:$D,0),MATCH("diesel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Indicators'!$A16,Materials!$D:$D,0),MATCH("petrol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Indicators'!$A16,Materials!$D:$D,0),MATCH("bio-diesel combustion",Materials!$1:$1,0))*((1-enviro_disc)^Handle_years)*Handle_electricity_emissions:OFFSET(Handle_electricity_emissions,0,Results_timespan-1)^0)*OFFSET(Handle_traffic_fleet,6,0):OFFSET(Handle_traffic_fleet,6,Results_timespan-1))</f>
        <v>0</v>
      </c>
      <c r="CH16" s="375" cm="1">
        <f t="array" aca="1" ref="CH1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6" s="247" cm="1">
        <f t="array" aca="1" ref="CI16" ca="1">(SUMPRODUCT(Delay_emissions_table[Consumption of Diesel (kg) - Secondary Scenario],IF(Delay_emissions_table[Form of Maintenance - Secondary Scenario]="Life Extension",1,0))*INDEX(Indicators,MATCH('Additional Impact Indicators'!$A16,Materials!$D:$D,0),MATCH("diesel combustion",Materials!$1:$1,0))+SUMPRODUCT(Delay_emissions_table[Consumption of Petrol (kg) - Secondary Scenario],IF(Delay_emissions_table[Form of Maintenance - Secondary Scenario]="Life Extension",1,0))*INDEX(Indicators,MATCH('Additional Impact Indicators'!$A16,Materials!$D:$D,0),MATCH("petrol combustion",Materials!$1:$1,0))+IFERROR(SUMPRODUCT(TRANSPOSE(INDEX(elec_project_emissions,MATCH(Elec_scenario&amp;'Additional Impact Indicators'!$B16,INDEX(Electricity_projection,0,3),0)-1,0)),Delay_emissions_table[Consumption of electricity (MJ) - Secondary Scenario],IF(Delay_emissions_table[Form of Maintenance - Secondary Scenario]="Life Extension",1,0)),0))*Area_trans*time_adj_Sec</f>
        <v>0</v>
      </c>
      <c r="CJ16" s="247" cm="1">
        <f t="array" aca="1" ref="CJ16" ca="1">(SUMPRODUCT(Delay_emissions_table[Consumption of Diesel (kg) - Secondary Scenario],IF(Delay_emissions_table[Form of Maintenance - Secondary Scenario]="Replacement",1,0))*INDEX(Indicators,MATCH('Additional Impact Indicators'!$A16,Materials!$D:$D,0),MATCH("diesel combustion",Materials!$1:$1,0))+SUMPRODUCT(Delay_emissions_table[Consumption of Petrol (kg) - Secondary Scenario],IF(Delay_emissions_table[Form of Maintenance - Secondary Scenario]="Replacement",1,0))*INDEX(Indicators,MATCH('Additional Impact Indicators'!$A16,Materials!$D:$D,0),MATCH("petrol combustion",Materials!$1:$1,0))+IFERROR(SUMPRODUCT(TRANSPOSE(INDEX(elec_project_emissions,MATCH(Elec_scenario&amp;'Additional Impact Indicators'!$B16,INDEX(Electricity_projection,0,3),0)-1,0)),Delay_emissions_table[Consumption of electricity (MJ) - Secondary Scenario],IF(Delay_emissions_table[Form of Maintenance - Secondary Scenario]="Replacement",1,0)),0))*Area_trans*time_adj_Sec</f>
        <v>0</v>
      </c>
      <c r="CK16" s="248" t="e" cm="1">
        <f t="array" ref="CK1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6" s="248" t="e" cm="1">
        <f t="array" ref="CL1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6" s="249" t="e" cm="1">
        <f t="array" ref="CM1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6" s="387" t="e" cm="1">
        <f t="array" ref="CN1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6" s="51" t="e">
        <f ca="1">SUMIF(Table3[[#This Row],[Raw-Materials]:[Transport to recycling facility]],"&lt;&gt;#N/A")</f>
        <v>#DIV/0!</v>
      </c>
      <c r="CT16" t="s">
        <v>496</v>
      </c>
      <c r="CU16" t="s">
        <v>497</v>
      </c>
      <c r="CV16" t="str">
        <f t="shared" si="3"/>
        <v>A1</v>
      </c>
      <c r="CW16" t="s">
        <v>485</v>
      </c>
      <c r="CY16">
        <f>MATCH(Table611[[#This Row],[Indicator]],Material_Impacts[Look up],0)</f>
        <v>60</v>
      </c>
      <c r="CZ16" s="246" cm="1">
        <f t="array" aca="1" ref="CZ1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6" s="166" cm="1">
        <f t="array" ref="DA1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6" s="166" t="e">
        <f>Diesel_RawM_Tert*INDEX(Indicators,MATCH(Impacts_Additional[[#This Row],[Indicator]],Materials!$D:$D,0),MATCH("Diesel Combustion",Materials!$1:$1,0))*Diesel_density*Project_Area*Tert_Lays*Area_trans</f>
        <v>#DIV/0!</v>
      </c>
      <c r="DC16" s="35" t="e" cm="1">
        <f t="array" aca="1" ref="DC1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6" s="35" t="e" cm="1">
        <f t="array" aca="1" ref="DD1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6" t="e" cm="1">
        <f t="array" aca="1" ref="DE1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6" s="35" t="e" cm="1">
        <f t="array" aca="1" ref="DF1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6" s="35" t="e" cm="1">
        <f t="array" aca="1" ref="DG1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6" t="e" cm="1">
        <f t="array" aca="1" ref="DH1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6" s="35" t="e" cm="1">
        <f t="array" aca="1" ref="DI1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6" s="35" t="e" cm="1">
        <f t="array" aca="1" ref="DJ1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6" t="e" cm="1">
        <f t="array" aca="1" ref="DK1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6" s="35" t="e" cm="1">
        <f t="array" aca="1" ref="DL1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6" s="35" t="e" cm="1">
        <f t="array" aca="1" ref="DM1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6" t="e" cm="1">
        <f t="array" aca="1" ref="DN1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6" s="35" t="e" cm="1">
        <f t="array" aca="1" ref="DO1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6" s="35" t="e" cm="1">
        <f t="array" aca="1" ref="DP1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6" t="e" cm="1">
        <f t="array" aca="1" ref="DQ1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6" s="35" t="e" cm="1">
        <f t="array" aca="1" ref="DR1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6" s="35" t="e" cm="1">
        <f t="array" aca="1" ref="DS1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6" t="e" cm="1">
        <f t="array" aca="1" ref="DT1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6" s="35" t="e" cm="1">
        <f t="array" aca="1" ref="DU1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6" s="35" t="e" cm="1">
        <f t="array" aca="1" ref="DV1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6" t="e" cm="1">
        <f t="array" aca="1" ref="DW1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6" s="35" t="e" cm="1">
        <f t="array" aca="1" ref="DX1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6" s="35" t="e" cm="1">
        <f t="array" aca="1" ref="DY1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6" t="e" cm="1">
        <f t="array" aca="1" ref="DZ1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6" s="35" t="e" cm="1">
        <f t="array" aca="1" ref="EA1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6" s="35" t="e" cm="1">
        <f t="array" aca="1" ref="EB1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6" t="e" cm="1">
        <f t="array" aca="1" ref="EC1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6" s="166" cm="1">
        <f t="array" aca="1" ref="ED16" ca="1">((E_modulus_Tert/40114)^-0.25)*((Subgrade_stiffness_Tert/35)^-0.25)*((Surface_thickness_Tert/0.22)^-0.75)*Area_trans*delflec_switch*SUM((INDEX(PVI_vehicle_EFC,1,1)/INDEX(PVI_fuel_energy_density,1,1))*(INDEX(Indicators,MATCH('Additional Impact Indicators'!$A16,Materials!$D:$D,0),MATCH("diesel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Indicators'!$A16,Materials!$D:$D,0),MATCH("petrol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Indicators'!$A16,Materials!$D:$D,0),MATCH("diesel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Indicators'!$A16,Materials!$D:$D,0),MATCH("petrol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Indicators'!$A16,Materials!$D:$D,0),MATCH("bio-diesel combustion",Materials!$1:$1,0))*((1-enviro_disc)^Handle_years)*Handle_electricity_emissions:OFFSET(Handle_electricity_emissions,0,Results_timespan-1)^0)*OFFSET(Handle_traffic_fleet,6,0):OFFSET(Handle_traffic_fleet,6,Results_timespan-1))</f>
        <v>0</v>
      </c>
      <c r="EE16" s="375" cm="1">
        <f t="array" aca="1" ref="EE1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6" s="247" cm="1">
        <f t="array" aca="1" ref="EF16" ca="1">(SUMPRODUCT(Delay_emissions_table[Consumption of Diesel (kg) - Tertiary Scenario],IF(Delay_emissions_table[Form of Maintenance - Tertiary Scenario]="Life Extension",1,0))*INDEX(Indicators,MATCH('Additional Impact Indicators'!$A16,Materials!$D:$D,0),MATCH("diesel combustion",Materials!$1:$1,0))+SUMPRODUCT(Delay_emissions_table[Consumption of Petrol (kg) - Tertiary Scenario],IF(Delay_emissions_table[Form of Maintenance - Tertiary Scenario]="Life Extension",1,0))*INDEX(Indicators,MATCH('Additional Impact Indicators'!$A16,Materials!$D:$D,0),MATCH("petrol combustion",Materials!$1:$1,0))+IFERROR(SUMPRODUCT(TRANSPOSE(INDEX(elec_project_emissions,MATCH(Elec_scenario&amp;'Additional Impact Indicators'!$B16,INDEX(Electricity_projection,0,3),0)-1,0)),Delay_emissions_table[Consumption of electricity (MJ) - Tertiary Scenario],IF(Delay_emissions_table[Form of Maintenance - Tertiary Scenario]="Life Extension",1,0)),0))*Area_trans*Time_adj_Tert</f>
        <v>0</v>
      </c>
      <c r="EG16" s="247" cm="1">
        <f t="array" aca="1" ref="EG16" ca="1">(SUMPRODUCT(Delay_emissions_table[Consumption of Diesel (kg) - Tertiary Scenario],IF(Delay_emissions_table[Form of Maintenance - Tertiary Scenario]="Replacement",1,0))*INDEX(Indicators,MATCH('Additional Impact Indicators'!$A16,Materials!$D:$D,0),MATCH("diesel combustion",Materials!$1:$1,0))+SUMPRODUCT(Delay_emissions_table[Consumption of Petrol (kg) - Tertiary Scenario],IF(Delay_emissions_table[Form of Maintenance - Tertiary Scenario]="Replacement",1,0))*INDEX(Indicators,MATCH('Additional Impact Indicators'!$A16,Materials!$D:$D,0),MATCH("petrol combustion",Materials!$1:$1,0))+IFERROR(SUMPRODUCT(TRANSPOSE(INDEX(elec_project_emissions,MATCH(Elec_scenario&amp;'Additional Impact Indicators'!$B16,INDEX(Electricity_projection,0,3),0)-1,0)),Delay_emissions_table[Consumption of electricity (MJ) - Tertiary Scenario],IF(Delay_emissions_table[Form of Maintenance - Tertiary Scenario]="Replacement",1,0)),0))*Area_trans*Time_adj_Tert</f>
        <v>0</v>
      </c>
      <c r="EH16" s="248" t="e" cm="1">
        <f t="array" ref="EH1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6" s="248" t="e" cm="1">
        <f t="array" ref="EI1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6" s="249" t="e" cm="1">
        <f t="array" ref="EJ1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6" s="249" t="e" cm="1">
        <f t="array" ref="EK1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6" t="e">
        <f ca="1">SUMIF(Table611[[#This Row],[Raw-Materials]:[Transport to recycling facility]],"&lt;&gt;#N/A")</f>
        <v>#DIV/0!</v>
      </c>
    </row>
    <row r="17" spans="1:142" x14ac:dyDescent="0.35">
      <c r="A17" s="155" t="s">
        <v>498</v>
      </c>
      <c r="B17" s="155" t="s">
        <v>499</v>
      </c>
      <c r="C17" s="155" t="str">
        <f t="shared" si="1"/>
        <v>A1</v>
      </c>
      <c r="D17" s="155" t="s">
        <v>485</v>
      </c>
      <c r="E17" s="155"/>
      <c r="F17">
        <f>MATCH(Impacts_Additional[[#This Row],[Indicator]],Material_Impacts[Look up],0)</f>
        <v>61</v>
      </c>
      <c r="G17" s="246" cm="1">
        <f t="array" aca="1" ref="G1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7" s="165" cm="1">
        <f t="array" ref="H1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7" s="165" t="e">
        <f>Diesel_RawM_Prim*INDEX(Indicators,MATCH(Impacts_Additional[[#This Row],[Indicator]],Materials!$D:$D,0),MATCH("Diesel Combustion",Materials!$1:$1,0))*Diesel_density*Project_Area*Prim_Lays*Area_trans</f>
        <v>#DIV/0!</v>
      </c>
      <c r="J17" s="250" t="e" cm="1">
        <f t="array" aca="1" ref="J1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7" s="250" t="e" cm="1">
        <f t="array" aca="1" ref="K1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7" s="250" t="e" cm="1">
        <f t="array" aca="1" ref="L1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7" s="250" t="e" cm="1">
        <f t="array" aca="1" ref="M1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7" s="250" t="e" cm="1">
        <f t="array" aca="1" ref="N1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7" s="250" t="e" cm="1">
        <f t="array" aca="1" ref="O1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7" s="250" t="e" cm="1">
        <f t="array" aca="1" ref="P1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7" s="250" t="e" cm="1">
        <f t="array" aca="1" ref="Q1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7" s="250" t="e" cm="1">
        <f t="array" aca="1" ref="R1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7" s="250" t="e" cm="1">
        <f t="array" aca="1" ref="S1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7" s="250" t="e" cm="1">
        <f t="array" aca="1" ref="T1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7" s="250" t="e" cm="1">
        <f t="array" aca="1" ref="U1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7" s="250" t="e" cm="1">
        <f t="array" aca="1" ref="V1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7" s="250" t="e" cm="1">
        <f t="array" aca="1" ref="W1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7" s="250" t="e" cm="1">
        <f t="array" aca="1" ref="X1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7" s="250" t="e" cm="1">
        <f t="array" aca="1" ref="Y1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7" s="250" t="e" cm="1">
        <f t="array" aca="1" ref="Z1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7" s="250" t="e" cm="1">
        <f t="array" aca="1" ref="AA1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7" s="250" t="e" cm="1">
        <f t="array" aca="1" ref="AB1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7" s="250" t="e" cm="1">
        <f t="array" aca="1" ref="AC1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7" s="250" t="e" cm="1">
        <f t="array" aca="1" ref="AD1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7" s="250" t="e" cm="1">
        <f t="array" aca="1" ref="AE1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7" s="250" t="e" cm="1">
        <f t="array" aca="1" ref="AF1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7" s="250" t="e" cm="1">
        <f t="array" aca="1" ref="AG1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7" s="250" t="e" cm="1">
        <f t="array" aca="1" ref="AH1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7" s="250" t="e" cm="1">
        <f t="array" aca="1" ref="AI1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7" s="250" t="e" cm="1">
        <f t="array" aca="1" ref="AJ1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7" s="165" cm="1">
        <f t="array" aca="1" ref="AK17" ca="1">((E_modulus_Prim/40114)^-0.25)*((Subgrade_stiffness_Prim/35)^-0.25)*((Surface_thickness_Prim/0.22)^-0.75)*Area_trans*delflec_switch*SUM((INDEX(PVI_vehicle_EFC,1,1)/INDEX(PVI_fuel_energy_density,1,1))*(INDEX(Indicators,MATCH('Additional Impact Indicators'!$A17,Materials!$D:$D,0),MATCH("diesel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Indicators'!$A17,Materials!$D:$D,0),MATCH("bio-diesel combustion",Materials!$1:$1,0))*((1-enviro_disc)^Handle_years)*Handle_electricity_emissions:OFFSET(Handle_electricity_emissions,0,Results_timespan-1)^0)*OFFSET(Handle_traffic_fleet,6,0):OFFSET(Handle_traffic_fleet,6,Results_timespan-1))</f>
        <v>0</v>
      </c>
      <c r="AL17" s="165" cm="1">
        <f t="array" aca="1" ref="AL1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7" s="251" cm="1">
        <f t="array" aca="1" ref="AM17" ca="1">(SUMPRODUCT(Delay_emissions_table[Consumption of Diesel (kg) - Primary Scenario],IF(Delay_emissions_table[Form of Maintenance - Primary Scenario]="Life Extension",1,0))*INDEX(Indicators,MATCH('Additional Impact Indicators'!$A17,Materials!$D:$D,0),MATCH("diesel combustion",Materials!$1:$1,0))+SUMPRODUCT(Delay_emissions_table[Consumption of Petrol (kg) - Primary Scenario],IF(Delay_emissions_table[Form of Maintenance - Primary Scenario]="Life Extension",1,0))*INDEX(Indicators,MATCH('Additional Impact Indicators'!$A17,Materials!$D:$D,0),MATCH("petrol combustion",Materials!$1:$1,0))+IFERROR(SUMPRODUCT(TRANSPOSE(INDEX(elec_project_emissions,MATCH(Elec_scenario&amp;'Additional Impact Indicators'!$B17,INDEX(Electricity_projection,0,3),0)-1,0)),Delay_emissions_table[Consumption of electricity (MJ) - Primary Scenario],IF(Delay_emissions_table[Form of Maintenance - Primary Scenario]="Life Extension",1,0)),0))*Area_trans*Time_adj_Prim</f>
        <v>0</v>
      </c>
      <c r="AN17" s="251" cm="1">
        <f t="array" aca="1" ref="AN17" ca="1">(SUMPRODUCT(Delay_emissions_table[Consumption of Diesel (kg) - Primary Scenario],IF(Delay_emissions_table[Form of Maintenance - Primary Scenario]="Replacement",1,0))*INDEX(Indicators,MATCH('Additional Impact Indicators'!$A17,Materials!$D:$D,0),MATCH("diesel combustion",Materials!$1:$1,0))+SUMPRODUCT(Delay_emissions_table[Consumption of Petrol (kg) - Primary Scenario],IF(Delay_emissions_table[Form of Maintenance - Primary Scenario]="Replacement",1,0))*INDEX(Indicators,MATCH('Additional Impact Indicators'!$A17,Materials!$D:$D,0),MATCH("petrol combustion",Materials!$1:$1,0))+IFERROR(SUMPRODUCT(TRANSPOSE(INDEX(elec_project_emissions,MATCH(Elec_scenario&amp;'Additional Impact Indicators'!$B17,INDEX(Electricity_projection,0,3),0)-1,0)),Delay_emissions_table[Consumption of electricity (MJ) - Primary Scenario],IF(Delay_emissions_table[Form of Maintenance - Primary Scenario]="Replacement",1,0)),0))*Area_trans*Time_adj_Prim</f>
        <v>0</v>
      </c>
      <c r="AO17" s="252" t="e" cm="1">
        <f t="array" ref="AO1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7" s="252" t="e" cm="1">
        <f t="array" ref="AP1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7" s="253" t="e" cm="1">
        <f t="array" ref="AQ1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7" s="385" t="e" cm="1">
        <f t="array" ref="AR1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7" t="e">
        <f ca="1">SUMIF('Additional Impact Indicators'!$G17:$AQ17,"&lt;&gt;#N/A")</f>
        <v>#DIV/0!</v>
      </c>
      <c r="AW17" s="155" t="s">
        <v>498</v>
      </c>
      <c r="AX17" s="155" t="s">
        <v>499</v>
      </c>
      <c r="AY17" s="155" t="str">
        <f t="shared" si="2"/>
        <v>A1</v>
      </c>
      <c r="AZ17" s="155" t="s">
        <v>485</v>
      </c>
      <c r="BA17" s="155"/>
      <c r="BB17" s="155">
        <f>MATCH(Table3[[#This Row],[Indicator]],Material_Impacts[Look up],0)</f>
        <v>61</v>
      </c>
      <c r="BC17" s="246" cm="1">
        <f t="array" aca="1" ref="BC1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7" s="165" cm="1">
        <f t="array" ref="BD1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7" s="165" t="e">
        <f>Diesel_RawM_Sec*INDEX(Indicators,MATCH(Impacts_Additional[[#This Row],[Indicator]],Materials!$D:$D,0),MATCH("Diesel Combustion",Materials!$1:$1,0))*Diesel_density*Project_Area*Sec_Lays*Area_trans</f>
        <v>#DIV/0!</v>
      </c>
      <c r="BF17" s="35" t="e" cm="1">
        <f t="array" aca="1" ref="BF1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7" s="35" t="e" cm="1">
        <f t="array" aca="1" ref="BG1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7" t="e" cm="1">
        <f t="array" aca="1" ref="BH1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7" s="35" t="e" cm="1">
        <f t="array" aca="1" ref="BI1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7" s="35" t="e" cm="1">
        <f t="array" aca="1" ref="BJ1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7" t="e" cm="1">
        <f t="array" aca="1" ref="BK1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7" s="35" t="e" cm="1">
        <f t="array" aca="1" ref="BL1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7" s="35" t="e" cm="1">
        <f t="array" aca="1" ref="BM1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7" t="e" cm="1">
        <f t="array" aca="1" ref="BN1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7" s="35" t="e" cm="1">
        <f t="array" aca="1" ref="BO1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7" s="35" t="e" cm="1">
        <f t="array" aca="1" ref="BP1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7" t="e" cm="1">
        <f t="array" aca="1" ref="BQ1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7" s="35" t="e" cm="1">
        <f t="array" aca="1" ref="BR1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7" s="35" t="e" cm="1">
        <f t="array" aca="1" ref="BS1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7" t="e" cm="1">
        <f t="array" aca="1" ref="BT1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7" s="35" t="e" cm="1">
        <f t="array" aca="1" ref="BU1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7" s="35" t="e" cm="1">
        <f t="array" aca="1" ref="BV1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7" t="e" cm="1">
        <f t="array" aca="1" ref="BW1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7" s="35" t="e" cm="1">
        <f t="array" aca="1" ref="BX1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7" s="35" t="e" cm="1">
        <f t="array" aca="1" ref="BY1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7" t="e" cm="1">
        <f t="array" aca="1" ref="BZ1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7" s="35" t="e" cm="1">
        <f t="array" aca="1" ref="CA1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7" s="35" t="e" cm="1">
        <f t="array" aca="1" ref="CB1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7" t="e" cm="1">
        <f t="array" aca="1" ref="CC1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7" s="35" t="e" cm="1">
        <f t="array" aca="1" ref="CD1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7" s="35" t="e" cm="1">
        <f t="array" aca="1" ref="CE1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7" t="e" cm="1">
        <f t="array" aca="1" ref="CF1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7" s="165" cm="1">
        <f t="array" aca="1" ref="CG17" ca="1">((E_modulus_Sec/40114)^-0.25)*((Subgrade_stiffness_Sec/35)^-0.25)*((Surface_thickness_Sec/0.22)^-0.75)*Area_trans*delflec_switch*SUM((INDEX(PVI_vehicle_EFC,1,1)/INDEX(PVI_fuel_energy_density,1,1))*(INDEX(Indicators,MATCH('Additional Impact Indicators'!$A17,Materials!$D:$D,0),MATCH("diesel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Indicators'!$A17,Materials!$D:$D,0),MATCH("bio-diesel combustion",Materials!$1:$1,0))*((1-enviro_disc)^Handle_years)*Handle_electricity_emissions:OFFSET(Handle_electricity_emissions,0,Results_timespan-1)^0)*OFFSET(Handle_traffic_fleet,6,0):OFFSET(Handle_traffic_fleet,6,Results_timespan-1))</f>
        <v>0</v>
      </c>
      <c r="CH17" s="375" cm="1">
        <f t="array" aca="1" ref="CH1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7" s="251" cm="1">
        <f t="array" aca="1" ref="CI17" ca="1">(SUMPRODUCT(Delay_emissions_table[Consumption of Diesel (kg) - Secondary Scenario],IF(Delay_emissions_table[Form of Maintenance - Secondary Scenario]="Life Extension",1,0))*INDEX(Indicators,MATCH('Additional Impact Indicators'!$A17,Materials!$D:$D,0),MATCH("diesel combustion",Materials!$1:$1,0))+SUMPRODUCT(Delay_emissions_table[Consumption of Petrol (kg) - Secondary Scenario],IF(Delay_emissions_table[Form of Maintenance - Secondary Scenario]="Life Extension",1,0))*INDEX(Indicators,MATCH('Additional Impact Indicators'!$A17,Materials!$D:$D,0),MATCH("petrol combustion",Materials!$1:$1,0))+IFERROR(SUMPRODUCT(TRANSPOSE(INDEX(elec_project_emissions,MATCH(Elec_scenario&amp;'Additional Impact Indicators'!$B17,INDEX(Electricity_projection,0,3),0)-1,0)),Delay_emissions_table[Consumption of electricity (MJ) - Secondary Scenario],IF(Delay_emissions_table[Form of Maintenance - Secondary Scenario]="Life Extension",1,0)),0))*Area_trans*time_adj_Sec</f>
        <v>0</v>
      </c>
      <c r="CJ17" s="251" cm="1">
        <f t="array" aca="1" ref="CJ17" ca="1">(SUMPRODUCT(Delay_emissions_table[Consumption of Diesel (kg) - Secondary Scenario],IF(Delay_emissions_table[Form of Maintenance - Secondary Scenario]="Replacement",1,0))*INDEX(Indicators,MATCH('Additional Impact Indicators'!$A17,Materials!$D:$D,0),MATCH("diesel combustion",Materials!$1:$1,0))+SUMPRODUCT(Delay_emissions_table[Consumption of Petrol (kg) - Secondary Scenario],IF(Delay_emissions_table[Form of Maintenance - Secondary Scenario]="Replacement",1,0))*INDEX(Indicators,MATCH('Additional Impact Indicators'!$A17,Materials!$D:$D,0),MATCH("petrol combustion",Materials!$1:$1,0))+IFERROR(SUMPRODUCT(TRANSPOSE(INDEX(elec_project_emissions,MATCH(Elec_scenario&amp;'Additional Impact Indicators'!$B17,INDEX(Electricity_projection,0,3),0)-1,0)),Delay_emissions_table[Consumption of electricity (MJ) - Secondary Scenario],IF(Delay_emissions_table[Form of Maintenance - Secondary Scenario]="Replacement",1,0)),0))*Area_trans*time_adj_Sec</f>
        <v>0</v>
      </c>
      <c r="CK17" s="252" t="e" cm="1">
        <f t="array" ref="CK1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7" s="252" t="e" cm="1">
        <f t="array" ref="CL1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7" s="253" t="e" cm="1">
        <f t="array" ref="CM1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7" s="387" t="e" cm="1">
        <f t="array" ref="CN1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7" s="51" t="e">
        <f ca="1">SUMIF(Table3[[#This Row],[Raw-Materials]:[Transport to recycling facility]],"&lt;&gt;#N/A")</f>
        <v>#DIV/0!</v>
      </c>
      <c r="CT17" t="s">
        <v>498</v>
      </c>
      <c r="CU17" t="s">
        <v>499</v>
      </c>
      <c r="CV17" t="str">
        <f t="shared" si="3"/>
        <v>A1</v>
      </c>
      <c r="CW17" t="s">
        <v>485</v>
      </c>
      <c r="CY17">
        <f>MATCH(Table611[[#This Row],[Indicator]],Material_Impacts[Look up],0)</f>
        <v>61</v>
      </c>
      <c r="CZ17" s="246" cm="1">
        <f t="array" aca="1" ref="CZ1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7" s="165" cm="1">
        <f t="array" ref="DA1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7" s="165" t="e">
        <f>Diesel_RawM_Tert*INDEX(Indicators,MATCH(Impacts_Additional[[#This Row],[Indicator]],Materials!$D:$D,0),MATCH("Diesel Combustion",Materials!$1:$1,0))*Diesel_density*Project_Area*Tert_Lays*Area_trans</f>
        <v>#DIV/0!</v>
      </c>
      <c r="DC17" s="35" t="e" cm="1">
        <f t="array" aca="1" ref="DC1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7" s="35" t="e" cm="1">
        <f t="array" aca="1" ref="DD1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7" t="e" cm="1">
        <f t="array" aca="1" ref="DE1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7" s="35" t="e" cm="1">
        <f t="array" aca="1" ref="DF1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7" s="35" t="e" cm="1">
        <f t="array" aca="1" ref="DG1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7" t="e" cm="1">
        <f t="array" aca="1" ref="DH1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7" s="35" t="e" cm="1">
        <f t="array" aca="1" ref="DI1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7" s="35" t="e" cm="1">
        <f t="array" aca="1" ref="DJ1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7" t="e" cm="1">
        <f t="array" aca="1" ref="DK1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7" s="35" t="e" cm="1">
        <f t="array" aca="1" ref="DL1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7" s="35" t="e" cm="1">
        <f t="array" aca="1" ref="DM1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7" t="e" cm="1">
        <f t="array" aca="1" ref="DN1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7" s="35" t="e" cm="1">
        <f t="array" aca="1" ref="DO1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7" s="35" t="e" cm="1">
        <f t="array" aca="1" ref="DP1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7" t="e" cm="1">
        <f t="array" aca="1" ref="DQ1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7" s="35" t="e" cm="1">
        <f t="array" aca="1" ref="DR1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7" s="35" t="e" cm="1">
        <f t="array" aca="1" ref="DS1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7" t="e" cm="1">
        <f t="array" aca="1" ref="DT1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7" s="35" t="e" cm="1">
        <f t="array" aca="1" ref="DU1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7" s="35" t="e" cm="1">
        <f t="array" aca="1" ref="DV1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7" t="e" cm="1">
        <f t="array" aca="1" ref="DW1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7" s="35" t="e" cm="1">
        <f t="array" aca="1" ref="DX1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7" s="35" t="e" cm="1">
        <f t="array" aca="1" ref="DY1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7" t="e" cm="1">
        <f t="array" aca="1" ref="DZ1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7" s="35" t="e" cm="1">
        <f t="array" aca="1" ref="EA1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7" s="35" t="e" cm="1">
        <f t="array" aca="1" ref="EB1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7" t="e" cm="1">
        <f t="array" aca="1" ref="EC1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7" s="165" cm="1">
        <f t="array" aca="1" ref="ED17" ca="1">((E_modulus_Tert/40114)^-0.25)*((Subgrade_stiffness_Tert/35)^-0.25)*((Surface_thickness_Tert/0.22)^-0.75)*Area_trans*delflec_switch*SUM((INDEX(PVI_vehicle_EFC,1,1)/INDEX(PVI_fuel_energy_density,1,1))*(INDEX(Indicators,MATCH('Additional Impact Indicators'!$A17,Materials!$D:$D,0),MATCH("diesel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Indicators'!$A17,Materials!$D:$D,0),MATCH("bio-diesel combustion",Materials!$1:$1,0))*((1-enviro_disc)^Handle_years)*Handle_electricity_emissions:OFFSET(Handle_electricity_emissions,0,Results_timespan-1)^0)*OFFSET(Handle_traffic_fleet,6,0):OFFSET(Handle_traffic_fleet,6,Results_timespan-1))</f>
        <v>0</v>
      </c>
      <c r="EE17" s="375" cm="1">
        <f t="array" aca="1" ref="EE1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7" s="251" cm="1">
        <f t="array" aca="1" ref="EF17" ca="1">(SUMPRODUCT(Delay_emissions_table[Consumption of Diesel (kg) - Tertiary Scenario],IF(Delay_emissions_table[Form of Maintenance - Tertiary Scenario]="Life Extension",1,0))*INDEX(Indicators,MATCH('Additional Impact Indicators'!$A17,Materials!$D:$D,0),MATCH("diesel combustion",Materials!$1:$1,0))+SUMPRODUCT(Delay_emissions_table[Consumption of Petrol (kg) - Tertiary Scenario],IF(Delay_emissions_table[Form of Maintenance - Tertiary Scenario]="Life Extension",1,0))*INDEX(Indicators,MATCH('Additional Impact Indicators'!$A17,Materials!$D:$D,0),MATCH("petrol combustion",Materials!$1:$1,0))+IFERROR(SUMPRODUCT(TRANSPOSE(INDEX(elec_project_emissions,MATCH(Elec_scenario&amp;'Additional Impact Indicators'!$B17,INDEX(Electricity_projection,0,3),0)-1,0)),Delay_emissions_table[Consumption of electricity (MJ) - Tertiary Scenario],IF(Delay_emissions_table[Form of Maintenance - Tertiary Scenario]="Life Extension",1,0)),0))*Area_trans*Time_adj_Tert</f>
        <v>0</v>
      </c>
      <c r="EG17" s="251" cm="1">
        <f t="array" aca="1" ref="EG17" ca="1">(SUMPRODUCT(Delay_emissions_table[Consumption of Diesel (kg) - Tertiary Scenario],IF(Delay_emissions_table[Form of Maintenance - Tertiary Scenario]="Replacement",1,0))*INDEX(Indicators,MATCH('Additional Impact Indicators'!$A17,Materials!$D:$D,0),MATCH("diesel combustion",Materials!$1:$1,0))+SUMPRODUCT(Delay_emissions_table[Consumption of Petrol (kg) - Tertiary Scenario],IF(Delay_emissions_table[Form of Maintenance - Tertiary Scenario]="Replacement",1,0))*INDEX(Indicators,MATCH('Additional Impact Indicators'!$A17,Materials!$D:$D,0),MATCH("petrol combustion",Materials!$1:$1,0))+IFERROR(SUMPRODUCT(TRANSPOSE(INDEX(elec_project_emissions,MATCH(Elec_scenario&amp;'Additional Impact Indicators'!$B17,INDEX(Electricity_projection,0,3),0)-1,0)),Delay_emissions_table[Consumption of electricity (MJ) - Tertiary Scenario],IF(Delay_emissions_table[Form of Maintenance - Tertiary Scenario]="Replacement",1,0)),0))*Area_trans*Time_adj_Tert</f>
        <v>0</v>
      </c>
      <c r="EH17" s="252" t="e" cm="1">
        <f t="array" ref="EH1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7" s="252" t="e" cm="1">
        <f t="array" ref="EI1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7" s="253" t="e" cm="1">
        <f t="array" ref="EJ1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7" s="253" t="e" cm="1">
        <f t="array" ref="EK1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7" t="e">
        <f ca="1">SUMIF(Table611[[#This Row],[Raw-Materials]:[Transport to recycling facility]],"&lt;&gt;#N/A")</f>
        <v>#DIV/0!</v>
      </c>
    </row>
    <row r="18" spans="1:142" x14ac:dyDescent="0.35">
      <c r="A18" t="s">
        <v>500</v>
      </c>
      <c r="B18" t="s">
        <v>501</v>
      </c>
      <c r="C18" t="str">
        <f t="shared" si="1"/>
        <v>A1</v>
      </c>
      <c r="D18" t="s">
        <v>485</v>
      </c>
      <c r="F18">
        <f>MATCH(Impacts_Additional[[#This Row],[Indicator]],Material_Impacts[Look up],0)</f>
        <v>62</v>
      </c>
      <c r="G18" s="246" cm="1">
        <f t="array" aca="1" ref="G1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8" s="166" cm="1">
        <f t="array" ref="H1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8" s="166" t="e">
        <f>Diesel_RawM_Prim*INDEX(Indicators,MATCH(Impacts_Additional[[#This Row],[Indicator]],Materials!$D:$D,0),MATCH("Diesel Combustion",Materials!$1:$1,0))*Diesel_density*Project_Area*Prim_Lays*Area_trans</f>
        <v>#DIV/0!</v>
      </c>
      <c r="J18" s="20" t="e" cm="1">
        <f t="array" aca="1" ref="J1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8" s="20" t="e" cm="1">
        <f t="array" aca="1" ref="K1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8" s="20" t="e" cm="1">
        <f t="array" aca="1" ref="L1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8" s="20" t="e" cm="1">
        <f t="array" aca="1" ref="M1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8" s="20" t="e" cm="1">
        <f t="array" aca="1" ref="N1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8" s="20" t="e" cm="1">
        <f t="array" aca="1" ref="O1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8" s="20" t="e" cm="1">
        <f t="array" aca="1" ref="P1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8" s="20" t="e" cm="1">
        <f t="array" aca="1" ref="Q1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8" s="20" t="e" cm="1">
        <f t="array" aca="1" ref="R1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8" s="20" t="e" cm="1">
        <f t="array" aca="1" ref="S1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8" s="20" t="e" cm="1">
        <f t="array" aca="1" ref="T1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8" s="20" t="e" cm="1">
        <f t="array" aca="1" ref="U1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8" s="20" t="e" cm="1">
        <f t="array" aca="1" ref="V1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8" s="20" t="e" cm="1">
        <f t="array" aca="1" ref="W1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8" s="20" t="e" cm="1">
        <f t="array" aca="1" ref="X1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8" s="20" t="e" cm="1">
        <f t="array" aca="1" ref="Y1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8" s="20" t="e" cm="1">
        <f t="array" aca="1" ref="Z1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8" s="20" t="e" cm="1">
        <f t="array" aca="1" ref="AA1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8" s="20" t="e" cm="1">
        <f t="array" aca="1" ref="AB1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8" s="20" t="e" cm="1">
        <f t="array" aca="1" ref="AC1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8" s="20" t="e" cm="1">
        <f t="array" aca="1" ref="AD1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8" s="20" t="e" cm="1">
        <f t="array" aca="1" ref="AE1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8" s="20" t="e" cm="1">
        <f t="array" aca="1" ref="AF1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8" s="20" t="e" cm="1">
        <f t="array" aca="1" ref="AG1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8" s="20" t="e" cm="1">
        <f t="array" aca="1" ref="AH1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8" s="20" t="e" cm="1">
        <f t="array" aca="1" ref="AI1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8" s="20" t="e" cm="1">
        <f t="array" aca="1" ref="AJ1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8" s="166" cm="1">
        <f t="array" aca="1" ref="AK18" ca="1">((E_modulus_Prim/40114)^-0.25)*((Subgrade_stiffness_Prim/35)^-0.25)*((Surface_thickness_Prim/0.22)^-0.75)*Area_trans*delflec_switch*SUM((INDEX(PVI_vehicle_EFC,1,1)/INDEX(PVI_fuel_energy_density,1,1))*(INDEX(Indicators,MATCH('Additional Impact Indicators'!$A18,Materials!$D:$D,0),MATCH("diesel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Indicators'!$A18,Materials!$D:$D,0),MATCH("bio-diesel combustion",Materials!$1:$1,0))*((1-enviro_disc)^Handle_years)*Handle_electricity_emissions:OFFSET(Handle_electricity_emissions,0,Results_timespan-1)^0)*OFFSET(Handle_traffic_fleet,6,0):OFFSET(Handle_traffic_fleet,6,Results_timespan-1))</f>
        <v>0</v>
      </c>
      <c r="AL18" s="166" cm="1">
        <f t="array" aca="1" ref="AL1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8" s="247" cm="1">
        <f t="array" aca="1" ref="AM18" ca="1">(SUMPRODUCT(Delay_emissions_table[Consumption of Diesel (kg) - Primary Scenario],IF(Delay_emissions_table[Form of Maintenance - Primary Scenario]="Life Extension",1,0))*INDEX(Indicators,MATCH('Additional Impact Indicators'!$A18,Materials!$D:$D,0),MATCH("diesel combustion",Materials!$1:$1,0))+SUMPRODUCT(Delay_emissions_table[Consumption of Petrol (kg) - Primary Scenario],IF(Delay_emissions_table[Form of Maintenance - Primary Scenario]="Life Extension",1,0))*INDEX(Indicators,MATCH('Additional Impact Indicators'!$A18,Materials!$D:$D,0),MATCH("petrol combustion",Materials!$1:$1,0))+IFERROR(SUMPRODUCT(TRANSPOSE(INDEX(elec_project_emissions,MATCH(Elec_scenario&amp;'Additional Impact Indicators'!$B18,INDEX(Electricity_projection,0,3),0)-1,0)),Delay_emissions_table[Consumption of electricity (MJ) - Primary Scenario],IF(Delay_emissions_table[Form of Maintenance - Primary Scenario]="Life Extension",1,0)),0))*Area_trans*Time_adj_Prim</f>
        <v>0</v>
      </c>
      <c r="AN18" s="247" cm="1">
        <f t="array" aca="1" ref="AN18" ca="1">(SUMPRODUCT(Delay_emissions_table[Consumption of Diesel (kg) - Primary Scenario],IF(Delay_emissions_table[Form of Maintenance - Primary Scenario]="Replacement",1,0))*INDEX(Indicators,MATCH('Additional Impact Indicators'!$A18,Materials!$D:$D,0),MATCH("diesel combustion",Materials!$1:$1,0))+SUMPRODUCT(Delay_emissions_table[Consumption of Petrol (kg) - Primary Scenario],IF(Delay_emissions_table[Form of Maintenance - Primary Scenario]="Replacement",1,0))*INDEX(Indicators,MATCH('Additional Impact Indicators'!$A18,Materials!$D:$D,0),MATCH("petrol combustion",Materials!$1:$1,0))+IFERROR(SUMPRODUCT(TRANSPOSE(INDEX(elec_project_emissions,MATCH(Elec_scenario&amp;'Additional Impact Indicators'!$B18,INDEX(Electricity_projection,0,3),0)-1,0)),Delay_emissions_table[Consumption of electricity (MJ) - Primary Scenario],IF(Delay_emissions_table[Form of Maintenance - Primary Scenario]="Replacement",1,0)),0))*Area_trans*Time_adj_Prim</f>
        <v>0</v>
      </c>
      <c r="AO18" s="248" t="e" cm="1">
        <f t="array" ref="AO1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8" s="248" t="e" cm="1">
        <f t="array" ref="AP1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8" s="249" t="e" cm="1">
        <f t="array" ref="AQ1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8" s="386" t="e" cm="1">
        <f t="array" ref="AR1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8" t="e">
        <f ca="1">SUMIF('Additional Impact Indicators'!$G18:$AQ18,"&lt;&gt;#N/A")</f>
        <v>#DIV/0!</v>
      </c>
      <c r="AW18" t="s">
        <v>500</v>
      </c>
      <c r="AX18" t="s">
        <v>501</v>
      </c>
      <c r="AY18" t="str">
        <f t="shared" si="2"/>
        <v>A1</v>
      </c>
      <c r="AZ18" t="s">
        <v>485</v>
      </c>
      <c r="BB18">
        <f>MATCH(Table3[[#This Row],[Indicator]],Material_Impacts[Look up],0)</f>
        <v>62</v>
      </c>
      <c r="BC18" s="246" cm="1">
        <f t="array" aca="1" ref="BC1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8" s="166" cm="1">
        <f t="array" ref="BD1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8" s="166" t="e">
        <f>Diesel_RawM_Sec*INDEX(Indicators,MATCH(Impacts_Additional[[#This Row],[Indicator]],Materials!$D:$D,0),MATCH("Diesel Combustion",Materials!$1:$1,0))*Diesel_density*Project_Area*Sec_Lays*Area_trans</f>
        <v>#DIV/0!</v>
      </c>
      <c r="BF18" s="35" t="e" cm="1">
        <f t="array" aca="1" ref="BF1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8" s="35" t="e" cm="1">
        <f t="array" aca="1" ref="BG1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8" t="e" cm="1">
        <f t="array" aca="1" ref="BH1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8" s="35" t="e" cm="1">
        <f t="array" aca="1" ref="BI1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8" s="35" t="e" cm="1">
        <f t="array" aca="1" ref="BJ1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8" t="e" cm="1">
        <f t="array" aca="1" ref="BK1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8" s="35" t="e" cm="1">
        <f t="array" aca="1" ref="BL1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8" s="35" t="e" cm="1">
        <f t="array" aca="1" ref="BM1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8" t="e" cm="1">
        <f t="array" aca="1" ref="BN1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8" s="35" t="e" cm="1">
        <f t="array" aca="1" ref="BO1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8" s="35" t="e" cm="1">
        <f t="array" aca="1" ref="BP1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8" t="e" cm="1">
        <f t="array" aca="1" ref="BQ1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8" s="35" t="e" cm="1">
        <f t="array" aca="1" ref="BR1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8" s="35" t="e" cm="1">
        <f t="array" aca="1" ref="BS1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8" t="e" cm="1">
        <f t="array" aca="1" ref="BT1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8" s="35" t="e" cm="1">
        <f t="array" aca="1" ref="BU1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8" s="35" t="e" cm="1">
        <f t="array" aca="1" ref="BV1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8" t="e" cm="1">
        <f t="array" aca="1" ref="BW1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8" s="35" t="e" cm="1">
        <f t="array" aca="1" ref="BX1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8" s="35" t="e" cm="1">
        <f t="array" aca="1" ref="BY1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8" t="e" cm="1">
        <f t="array" aca="1" ref="BZ1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8" s="35" t="e" cm="1">
        <f t="array" aca="1" ref="CA1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8" s="35" t="e" cm="1">
        <f t="array" aca="1" ref="CB1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8" t="e" cm="1">
        <f t="array" aca="1" ref="CC1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8" s="35" t="e" cm="1">
        <f t="array" aca="1" ref="CD1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8" s="35" t="e" cm="1">
        <f t="array" aca="1" ref="CE1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8" t="e" cm="1">
        <f t="array" aca="1" ref="CF1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8" s="166" cm="1">
        <f t="array" aca="1" ref="CG18" ca="1">((E_modulus_Sec/40114)^-0.25)*((Subgrade_stiffness_Sec/35)^-0.25)*((Surface_thickness_Sec/0.22)^-0.75)*Area_trans*delflec_switch*SUM((INDEX(PVI_vehicle_EFC,1,1)/INDEX(PVI_fuel_energy_density,1,1))*(INDEX(Indicators,MATCH('Additional Impact Indicators'!$A18,Materials!$D:$D,0),MATCH("diesel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Indicators'!$A18,Materials!$D:$D,0),MATCH("bio-diesel combustion",Materials!$1:$1,0))*((1-enviro_disc)^Handle_years)*Handle_electricity_emissions:OFFSET(Handle_electricity_emissions,0,Results_timespan-1)^0)*OFFSET(Handle_traffic_fleet,6,0):OFFSET(Handle_traffic_fleet,6,Results_timespan-1))</f>
        <v>0</v>
      </c>
      <c r="CH18" s="375" cm="1">
        <f t="array" aca="1" ref="CH1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8" s="247" cm="1">
        <f t="array" aca="1" ref="CI18" ca="1">(SUMPRODUCT(Delay_emissions_table[Consumption of Diesel (kg) - Secondary Scenario],IF(Delay_emissions_table[Form of Maintenance - Secondary Scenario]="Life Extension",1,0))*INDEX(Indicators,MATCH('Additional Impact Indicators'!$A18,Materials!$D:$D,0),MATCH("diesel combustion",Materials!$1:$1,0))+SUMPRODUCT(Delay_emissions_table[Consumption of Petrol (kg) - Secondary Scenario],IF(Delay_emissions_table[Form of Maintenance - Secondary Scenario]="Life Extension",1,0))*INDEX(Indicators,MATCH('Additional Impact Indicators'!$A18,Materials!$D:$D,0),MATCH("petrol combustion",Materials!$1:$1,0))+IFERROR(SUMPRODUCT(TRANSPOSE(INDEX(elec_project_emissions,MATCH(Elec_scenario&amp;'Additional Impact Indicators'!$B18,INDEX(Electricity_projection,0,3),0)-1,0)),Delay_emissions_table[Consumption of electricity (MJ) - Secondary Scenario],IF(Delay_emissions_table[Form of Maintenance - Secondary Scenario]="Life Extension",1,0)),0))*Area_trans*time_adj_Sec</f>
        <v>0</v>
      </c>
      <c r="CJ18" s="247" cm="1">
        <f t="array" aca="1" ref="CJ18" ca="1">(SUMPRODUCT(Delay_emissions_table[Consumption of Diesel (kg) - Secondary Scenario],IF(Delay_emissions_table[Form of Maintenance - Secondary Scenario]="Replacement",1,0))*INDEX(Indicators,MATCH('Additional Impact Indicators'!$A18,Materials!$D:$D,0),MATCH("diesel combustion",Materials!$1:$1,0))+SUMPRODUCT(Delay_emissions_table[Consumption of Petrol (kg) - Secondary Scenario],IF(Delay_emissions_table[Form of Maintenance - Secondary Scenario]="Replacement",1,0))*INDEX(Indicators,MATCH('Additional Impact Indicators'!$A18,Materials!$D:$D,0),MATCH("petrol combustion",Materials!$1:$1,0))+IFERROR(SUMPRODUCT(TRANSPOSE(INDEX(elec_project_emissions,MATCH(Elec_scenario&amp;'Additional Impact Indicators'!$B18,INDEX(Electricity_projection,0,3),0)-1,0)),Delay_emissions_table[Consumption of electricity (MJ) - Secondary Scenario],IF(Delay_emissions_table[Form of Maintenance - Secondary Scenario]="Replacement",1,0)),0))*Area_trans*time_adj_Sec</f>
        <v>0</v>
      </c>
      <c r="CK18" s="248" t="e" cm="1">
        <f t="array" ref="CK1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8" s="248" t="e" cm="1">
        <f t="array" ref="CL1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8" s="249" t="e" cm="1">
        <f t="array" ref="CM1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8" s="387" t="e" cm="1">
        <f t="array" ref="CN1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8" s="51" t="e">
        <f ca="1">SUMIF(Table3[[#This Row],[Raw-Materials]:[Transport to recycling facility]],"&lt;&gt;#N/A")</f>
        <v>#DIV/0!</v>
      </c>
      <c r="CT18" t="s">
        <v>500</v>
      </c>
      <c r="CU18" t="s">
        <v>501</v>
      </c>
      <c r="CV18" t="str">
        <f t="shared" si="3"/>
        <v>A1</v>
      </c>
      <c r="CW18" t="s">
        <v>485</v>
      </c>
      <c r="CY18">
        <f>MATCH(Table611[[#This Row],[Indicator]],Material_Impacts[Look up],0)</f>
        <v>62</v>
      </c>
      <c r="CZ18" s="246" cm="1">
        <f t="array" aca="1" ref="CZ1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8" s="166" cm="1">
        <f t="array" ref="DA1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8" s="166" t="e">
        <f>Diesel_RawM_Tert*INDEX(Indicators,MATCH(Impacts_Additional[[#This Row],[Indicator]],Materials!$D:$D,0),MATCH("Diesel Combustion",Materials!$1:$1,0))*Diesel_density*Project_Area*Tert_Lays*Area_trans</f>
        <v>#DIV/0!</v>
      </c>
      <c r="DC18" s="35" t="e" cm="1">
        <f t="array" aca="1" ref="DC1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8" s="35" t="e" cm="1">
        <f t="array" aca="1" ref="DD1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8" t="e" cm="1">
        <f t="array" aca="1" ref="DE1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8" s="35" t="e" cm="1">
        <f t="array" aca="1" ref="DF1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8" s="35" t="e" cm="1">
        <f t="array" aca="1" ref="DG1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8" t="e" cm="1">
        <f t="array" aca="1" ref="DH1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8" s="35" t="e" cm="1">
        <f t="array" aca="1" ref="DI1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8" s="35" t="e" cm="1">
        <f t="array" aca="1" ref="DJ1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8" t="e" cm="1">
        <f t="array" aca="1" ref="DK1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8" s="35" t="e" cm="1">
        <f t="array" aca="1" ref="DL1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8" s="35" t="e" cm="1">
        <f t="array" aca="1" ref="DM1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8" t="e" cm="1">
        <f t="array" aca="1" ref="DN1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8" s="35" t="e" cm="1">
        <f t="array" aca="1" ref="DO1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8" s="35" t="e" cm="1">
        <f t="array" aca="1" ref="DP1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8" t="e" cm="1">
        <f t="array" aca="1" ref="DQ1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8" s="35" t="e" cm="1">
        <f t="array" aca="1" ref="DR1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8" s="35" t="e" cm="1">
        <f t="array" aca="1" ref="DS1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8" t="e" cm="1">
        <f t="array" aca="1" ref="DT1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8" s="35" t="e" cm="1">
        <f t="array" aca="1" ref="DU1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8" s="35" t="e" cm="1">
        <f t="array" aca="1" ref="DV1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8" t="e" cm="1">
        <f t="array" aca="1" ref="DW1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8" s="35" t="e" cm="1">
        <f t="array" aca="1" ref="DX1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8" s="35" t="e" cm="1">
        <f t="array" aca="1" ref="DY1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8" t="e" cm="1">
        <f t="array" aca="1" ref="DZ1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8" s="35" t="e" cm="1">
        <f t="array" aca="1" ref="EA1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8" s="35" t="e" cm="1">
        <f t="array" aca="1" ref="EB1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8" t="e" cm="1">
        <f t="array" aca="1" ref="EC1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8" s="166" cm="1">
        <f t="array" aca="1" ref="ED18" ca="1">((E_modulus_Tert/40114)^-0.25)*((Subgrade_stiffness_Tert/35)^-0.25)*((Surface_thickness_Tert/0.22)^-0.75)*Area_trans*delflec_switch*SUM((INDEX(PVI_vehicle_EFC,1,1)/INDEX(PVI_fuel_energy_density,1,1))*(INDEX(Indicators,MATCH('Additional Impact Indicators'!$A18,Materials!$D:$D,0),MATCH("diesel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Indicators'!$A18,Materials!$D:$D,0),MATCH("bio-diesel combustion",Materials!$1:$1,0))*((1-enviro_disc)^Handle_years)*Handle_electricity_emissions:OFFSET(Handle_electricity_emissions,0,Results_timespan-1)^0)*OFFSET(Handle_traffic_fleet,6,0):OFFSET(Handle_traffic_fleet,6,Results_timespan-1))</f>
        <v>0</v>
      </c>
      <c r="EE18" s="375" cm="1">
        <f t="array" aca="1" ref="EE1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8" s="247" cm="1">
        <f t="array" aca="1" ref="EF18" ca="1">(SUMPRODUCT(Delay_emissions_table[Consumption of Diesel (kg) - Tertiary Scenario],IF(Delay_emissions_table[Form of Maintenance - Tertiary Scenario]="Life Extension",1,0))*INDEX(Indicators,MATCH('Additional Impact Indicators'!$A18,Materials!$D:$D,0),MATCH("diesel combustion",Materials!$1:$1,0))+SUMPRODUCT(Delay_emissions_table[Consumption of Petrol (kg) - Tertiary Scenario],IF(Delay_emissions_table[Form of Maintenance - Tertiary Scenario]="Life Extension",1,0))*INDEX(Indicators,MATCH('Additional Impact Indicators'!$A18,Materials!$D:$D,0),MATCH("petrol combustion",Materials!$1:$1,0))+IFERROR(SUMPRODUCT(TRANSPOSE(INDEX(elec_project_emissions,MATCH(Elec_scenario&amp;'Additional Impact Indicators'!$B18,INDEX(Electricity_projection,0,3),0)-1,0)),Delay_emissions_table[Consumption of electricity (MJ) - Tertiary Scenario],IF(Delay_emissions_table[Form of Maintenance - Tertiary Scenario]="Life Extension",1,0)),0))*Area_trans*Time_adj_Tert</f>
        <v>0</v>
      </c>
      <c r="EG18" s="247" cm="1">
        <f t="array" aca="1" ref="EG18" ca="1">(SUMPRODUCT(Delay_emissions_table[Consumption of Diesel (kg) - Tertiary Scenario],IF(Delay_emissions_table[Form of Maintenance - Tertiary Scenario]="Replacement",1,0))*INDEX(Indicators,MATCH('Additional Impact Indicators'!$A18,Materials!$D:$D,0),MATCH("diesel combustion",Materials!$1:$1,0))+SUMPRODUCT(Delay_emissions_table[Consumption of Petrol (kg) - Tertiary Scenario],IF(Delay_emissions_table[Form of Maintenance - Tertiary Scenario]="Replacement",1,0))*INDEX(Indicators,MATCH('Additional Impact Indicators'!$A18,Materials!$D:$D,0),MATCH("petrol combustion",Materials!$1:$1,0))+IFERROR(SUMPRODUCT(TRANSPOSE(INDEX(elec_project_emissions,MATCH(Elec_scenario&amp;'Additional Impact Indicators'!$B18,INDEX(Electricity_projection,0,3),0)-1,0)),Delay_emissions_table[Consumption of electricity (MJ) - Tertiary Scenario],IF(Delay_emissions_table[Form of Maintenance - Tertiary Scenario]="Replacement",1,0)),0))*Area_trans*Time_adj_Tert</f>
        <v>0</v>
      </c>
      <c r="EH18" s="248" t="e" cm="1">
        <f t="array" ref="EH1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8" s="248" t="e" cm="1">
        <f t="array" ref="EI1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8" s="249" t="e" cm="1">
        <f t="array" ref="EJ1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8" s="249" t="e" cm="1">
        <f t="array" ref="EK1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8" t="e">
        <f ca="1">SUMIF(Table611[[#This Row],[Raw-Materials]:[Transport to recycling facility]],"&lt;&gt;#N/A")</f>
        <v>#DIV/0!</v>
      </c>
    </row>
    <row r="19" spans="1:142" x14ac:dyDescent="0.35">
      <c r="A19" s="155" t="s">
        <v>502</v>
      </c>
      <c r="B19" s="155" t="s">
        <v>503</v>
      </c>
      <c r="C19" s="155" t="str">
        <f t="shared" si="1"/>
        <v>A1</v>
      </c>
      <c r="D19" s="155" t="s">
        <v>485</v>
      </c>
      <c r="E19" s="155"/>
      <c r="F19">
        <f>MATCH(Impacts_Additional[[#This Row],[Indicator]],Material_Impacts[Look up],0)</f>
        <v>63</v>
      </c>
      <c r="G19" s="246" cm="1">
        <f t="array" aca="1" ref="G1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9" s="165" cm="1">
        <f t="array" ref="H1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9" s="165" t="e">
        <f>Diesel_RawM_Prim*INDEX(Indicators,MATCH(Impacts_Additional[[#This Row],[Indicator]],Materials!$D:$D,0),MATCH("Diesel Combustion",Materials!$1:$1,0))*Diesel_density*Project_Area*Prim_Lays*Area_trans</f>
        <v>#DIV/0!</v>
      </c>
      <c r="J19" s="250" t="e" cm="1">
        <f t="array" aca="1" ref="J1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9" s="250" t="e" cm="1">
        <f t="array" aca="1" ref="K1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9" s="250" t="e" cm="1">
        <f t="array" aca="1" ref="L1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9" s="250" t="e" cm="1">
        <f t="array" aca="1" ref="M1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9" s="250" t="e" cm="1">
        <f t="array" aca="1" ref="N1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9" s="250" t="e" cm="1">
        <f t="array" aca="1" ref="O1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9" s="250" t="e" cm="1">
        <f t="array" aca="1" ref="P1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9" s="250" t="e" cm="1">
        <f t="array" aca="1" ref="Q1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9" s="250" t="e" cm="1">
        <f t="array" aca="1" ref="R1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9" s="250" t="e" cm="1">
        <f t="array" aca="1" ref="S1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9" s="250" t="e" cm="1">
        <f t="array" aca="1" ref="T1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9" s="250" t="e" cm="1">
        <f t="array" aca="1" ref="U1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9" s="250" t="e" cm="1">
        <f t="array" aca="1" ref="V1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9" s="250" t="e" cm="1">
        <f t="array" aca="1" ref="W1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9" s="250" t="e" cm="1">
        <f t="array" aca="1" ref="X1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9" s="250" t="e" cm="1">
        <f t="array" aca="1" ref="Y1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9" s="250" t="e" cm="1">
        <f t="array" aca="1" ref="Z1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9" s="250" t="e" cm="1">
        <f t="array" aca="1" ref="AA1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9" s="250" t="e" cm="1">
        <f t="array" aca="1" ref="AB1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9" s="250" t="e" cm="1">
        <f t="array" aca="1" ref="AC1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9" s="250" t="e" cm="1">
        <f t="array" aca="1" ref="AD1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9" s="250" t="e" cm="1">
        <f t="array" aca="1" ref="AE1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9" s="250" t="e" cm="1">
        <f t="array" aca="1" ref="AF1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9" s="250" t="e" cm="1">
        <f t="array" aca="1" ref="AG1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9" s="250" t="e" cm="1">
        <f t="array" aca="1" ref="AH1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9" s="250" t="e" cm="1">
        <f t="array" aca="1" ref="AI1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9" s="250" t="e" cm="1">
        <f t="array" aca="1" ref="AJ1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9" s="165" cm="1">
        <f t="array" aca="1" ref="AK19" ca="1">((E_modulus_Prim/40114)^-0.25)*((Subgrade_stiffness_Prim/35)^-0.25)*((Surface_thickness_Prim/0.22)^-0.75)*Area_trans*delflec_switch*SUM((INDEX(PVI_vehicle_EFC,1,1)/INDEX(PVI_fuel_energy_density,1,1))*(INDEX(Indicators,MATCH('Additional Impact Indicators'!$A19,Materials!$D:$D,0),MATCH("diesel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Indicators'!$A19,Materials!$D:$D,0),MATCH("bio-diesel combustion",Materials!$1:$1,0))*((1-enviro_disc)^Handle_years)*Handle_electricity_emissions:OFFSET(Handle_electricity_emissions,0,Results_timespan-1)^0)*OFFSET(Handle_traffic_fleet,6,0):OFFSET(Handle_traffic_fleet,6,Results_timespan-1))</f>
        <v>0</v>
      </c>
      <c r="AL19" s="165" cm="1">
        <f t="array" aca="1" ref="AL1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9" s="251" cm="1">
        <f t="array" aca="1" ref="AM19" ca="1">(SUMPRODUCT(Delay_emissions_table[Consumption of Diesel (kg) - Primary Scenario],IF(Delay_emissions_table[Form of Maintenance - Primary Scenario]="Life Extension",1,0))*INDEX(Indicators,MATCH('Additional Impact Indicators'!$A19,Materials!$D:$D,0),MATCH("diesel combustion",Materials!$1:$1,0))+SUMPRODUCT(Delay_emissions_table[Consumption of Petrol (kg) - Primary Scenario],IF(Delay_emissions_table[Form of Maintenance - Primary Scenario]="Life Extension",1,0))*INDEX(Indicators,MATCH('Additional Impact Indicators'!$A19,Materials!$D:$D,0),MATCH("petrol combustion",Materials!$1:$1,0))+IFERROR(SUMPRODUCT(TRANSPOSE(INDEX(elec_project_emissions,MATCH(Elec_scenario&amp;'Additional Impact Indicators'!$B19,INDEX(Electricity_projection,0,3),0)-1,0)),Delay_emissions_table[Consumption of electricity (MJ) - Primary Scenario],IF(Delay_emissions_table[Form of Maintenance - Primary Scenario]="Life Extension",1,0)),0))*Area_trans*Time_adj_Prim</f>
        <v>0</v>
      </c>
      <c r="AN19" s="251" cm="1">
        <f t="array" aca="1" ref="AN19" ca="1">(SUMPRODUCT(Delay_emissions_table[Consumption of Diesel (kg) - Primary Scenario],IF(Delay_emissions_table[Form of Maintenance - Primary Scenario]="Replacement",1,0))*INDEX(Indicators,MATCH('Additional Impact Indicators'!$A19,Materials!$D:$D,0),MATCH("diesel combustion",Materials!$1:$1,0))+SUMPRODUCT(Delay_emissions_table[Consumption of Petrol (kg) - Primary Scenario],IF(Delay_emissions_table[Form of Maintenance - Primary Scenario]="Replacement",1,0))*INDEX(Indicators,MATCH('Additional Impact Indicators'!$A19,Materials!$D:$D,0),MATCH("petrol combustion",Materials!$1:$1,0))+IFERROR(SUMPRODUCT(TRANSPOSE(INDEX(elec_project_emissions,MATCH(Elec_scenario&amp;'Additional Impact Indicators'!$B19,INDEX(Electricity_projection,0,3),0)-1,0)),Delay_emissions_table[Consumption of electricity (MJ) - Primary Scenario],IF(Delay_emissions_table[Form of Maintenance - Primary Scenario]="Replacement",1,0)),0))*Area_trans*Time_adj_Prim</f>
        <v>0</v>
      </c>
      <c r="AO19" s="252" t="e" cm="1">
        <f t="array" ref="AO1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9" s="252" t="e" cm="1">
        <f t="array" ref="AP1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9" s="253" t="e" cm="1">
        <f t="array" ref="AQ1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9" s="385" t="e" cm="1">
        <f t="array" ref="AR1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9" t="e">
        <f ca="1">SUMIF('Additional Impact Indicators'!$G19:$AQ19,"&lt;&gt;#N/A")</f>
        <v>#DIV/0!</v>
      </c>
      <c r="AW19" s="155" t="s">
        <v>502</v>
      </c>
      <c r="AX19" s="155" t="s">
        <v>503</v>
      </c>
      <c r="AY19" s="155" t="str">
        <f t="shared" si="2"/>
        <v>A1</v>
      </c>
      <c r="AZ19" s="155" t="s">
        <v>485</v>
      </c>
      <c r="BA19" s="155"/>
      <c r="BB19" s="155">
        <f>MATCH(Table3[[#This Row],[Indicator]],Material_Impacts[Look up],0)</f>
        <v>63</v>
      </c>
      <c r="BC19" s="246" cm="1">
        <f t="array" aca="1" ref="BC1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9" s="165" cm="1">
        <f t="array" ref="BD1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9" s="165" t="e">
        <f>Diesel_RawM_Sec*INDEX(Indicators,MATCH(Impacts_Additional[[#This Row],[Indicator]],Materials!$D:$D,0),MATCH("Diesel Combustion",Materials!$1:$1,0))*Diesel_density*Project_Area*Sec_Lays*Area_trans</f>
        <v>#DIV/0!</v>
      </c>
      <c r="BF19" s="35" t="e" cm="1">
        <f t="array" aca="1" ref="BF1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9" s="35" t="e" cm="1">
        <f t="array" aca="1" ref="BG1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9" t="e" cm="1">
        <f t="array" aca="1" ref="BH1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9" s="35" t="e" cm="1">
        <f t="array" aca="1" ref="BI1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9" s="35" t="e" cm="1">
        <f t="array" aca="1" ref="BJ1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9" t="e" cm="1">
        <f t="array" aca="1" ref="BK1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9" s="35" t="e" cm="1">
        <f t="array" aca="1" ref="BL1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9" s="35" t="e" cm="1">
        <f t="array" aca="1" ref="BM1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9" t="e" cm="1">
        <f t="array" aca="1" ref="BN1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9" s="35" t="e" cm="1">
        <f t="array" aca="1" ref="BO1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9" s="35" t="e" cm="1">
        <f t="array" aca="1" ref="BP1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9" t="e" cm="1">
        <f t="array" aca="1" ref="BQ1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9" s="35" t="e" cm="1">
        <f t="array" aca="1" ref="BR1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9" s="35" t="e" cm="1">
        <f t="array" aca="1" ref="BS1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9" t="e" cm="1">
        <f t="array" aca="1" ref="BT1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9" s="35" t="e" cm="1">
        <f t="array" aca="1" ref="BU1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9" s="35" t="e" cm="1">
        <f t="array" aca="1" ref="BV1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9" t="e" cm="1">
        <f t="array" aca="1" ref="BW1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9" s="35" t="e" cm="1">
        <f t="array" aca="1" ref="BX1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9" s="35" t="e" cm="1">
        <f t="array" aca="1" ref="BY1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9" t="e" cm="1">
        <f t="array" aca="1" ref="BZ1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9" s="35" t="e" cm="1">
        <f t="array" aca="1" ref="CA1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9" s="35" t="e" cm="1">
        <f t="array" aca="1" ref="CB1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9" t="e" cm="1">
        <f t="array" aca="1" ref="CC1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9" s="35" t="e" cm="1">
        <f t="array" aca="1" ref="CD1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9" s="35" t="e" cm="1">
        <f t="array" aca="1" ref="CE1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9" t="e" cm="1">
        <f t="array" aca="1" ref="CF1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9" s="165" cm="1">
        <f t="array" aca="1" ref="CG19" ca="1">((E_modulus_Sec/40114)^-0.25)*((Subgrade_stiffness_Sec/35)^-0.25)*((Surface_thickness_Sec/0.22)^-0.75)*Area_trans*delflec_switch*SUM((INDEX(PVI_vehicle_EFC,1,1)/INDEX(PVI_fuel_energy_density,1,1))*(INDEX(Indicators,MATCH('Additional Impact Indicators'!$A19,Materials!$D:$D,0),MATCH("diesel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Indicators'!$A19,Materials!$D:$D,0),MATCH("bio-diesel combustion",Materials!$1:$1,0))*((1-enviro_disc)^Handle_years)*Handle_electricity_emissions:OFFSET(Handle_electricity_emissions,0,Results_timespan-1)^0)*OFFSET(Handle_traffic_fleet,6,0):OFFSET(Handle_traffic_fleet,6,Results_timespan-1))</f>
        <v>0</v>
      </c>
      <c r="CH19" s="375" cm="1">
        <f t="array" aca="1" ref="CH1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9" s="251" cm="1">
        <f t="array" aca="1" ref="CI19" ca="1">(SUMPRODUCT(Delay_emissions_table[Consumption of Diesel (kg) - Secondary Scenario],IF(Delay_emissions_table[Form of Maintenance - Secondary Scenario]="Life Extension",1,0))*INDEX(Indicators,MATCH('Additional Impact Indicators'!$A19,Materials!$D:$D,0),MATCH("diesel combustion",Materials!$1:$1,0))+SUMPRODUCT(Delay_emissions_table[Consumption of Petrol (kg) - Secondary Scenario],IF(Delay_emissions_table[Form of Maintenance - Secondary Scenario]="Life Extension",1,0))*INDEX(Indicators,MATCH('Additional Impact Indicators'!$A19,Materials!$D:$D,0),MATCH("petrol combustion",Materials!$1:$1,0))+IFERROR(SUMPRODUCT(TRANSPOSE(INDEX(elec_project_emissions,MATCH(Elec_scenario&amp;'Additional Impact Indicators'!$B19,INDEX(Electricity_projection,0,3),0)-1,0)),Delay_emissions_table[Consumption of electricity (MJ) - Secondary Scenario],IF(Delay_emissions_table[Form of Maintenance - Secondary Scenario]="Life Extension",1,0)),0))*Area_trans*time_adj_Sec</f>
        <v>0</v>
      </c>
      <c r="CJ19" s="251" cm="1">
        <f t="array" aca="1" ref="CJ19" ca="1">(SUMPRODUCT(Delay_emissions_table[Consumption of Diesel (kg) - Secondary Scenario],IF(Delay_emissions_table[Form of Maintenance - Secondary Scenario]="Replacement",1,0))*INDEX(Indicators,MATCH('Additional Impact Indicators'!$A19,Materials!$D:$D,0),MATCH("diesel combustion",Materials!$1:$1,0))+SUMPRODUCT(Delay_emissions_table[Consumption of Petrol (kg) - Secondary Scenario],IF(Delay_emissions_table[Form of Maintenance - Secondary Scenario]="Replacement",1,0))*INDEX(Indicators,MATCH('Additional Impact Indicators'!$A19,Materials!$D:$D,0),MATCH("petrol combustion",Materials!$1:$1,0))+IFERROR(SUMPRODUCT(TRANSPOSE(INDEX(elec_project_emissions,MATCH(Elec_scenario&amp;'Additional Impact Indicators'!$B19,INDEX(Electricity_projection,0,3),0)-1,0)),Delay_emissions_table[Consumption of electricity (MJ) - Secondary Scenario],IF(Delay_emissions_table[Form of Maintenance - Secondary Scenario]="Replacement",1,0)),0))*Area_trans*time_adj_Sec</f>
        <v>0</v>
      </c>
      <c r="CK19" s="252" t="e" cm="1">
        <f t="array" ref="CK1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9" s="252" t="e" cm="1">
        <f t="array" ref="CL1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9" s="253" t="e" cm="1">
        <f t="array" ref="CM1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9" s="387" t="e" cm="1">
        <f t="array" ref="CN1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9" s="51" t="e">
        <f ca="1">SUMIF(Table3[[#This Row],[Raw-Materials]:[Transport to recycling facility]],"&lt;&gt;#N/A")</f>
        <v>#DIV/0!</v>
      </c>
      <c r="CT19" t="s">
        <v>502</v>
      </c>
      <c r="CU19" t="s">
        <v>503</v>
      </c>
      <c r="CV19" t="str">
        <f t="shared" si="3"/>
        <v>A1</v>
      </c>
      <c r="CW19" t="s">
        <v>485</v>
      </c>
      <c r="CY19">
        <f>MATCH(Table611[[#This Row],[Indicator]],Material_Impacts[Look up],0)</f>
        <v>63</v>
      </c>
      <c r="CZ19" s="246" cm="1">
        <f t="array" aca="1" ref="CZ1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9" s="165" cm="1">
        <f t="array" ref="DA1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9" s="165" t="e">
        <f>Diesel_RawM_Tert*INDEX(Indicators,MATCH(Impacts_Additional[[#This Row],[Indicator]],Materials!$D:$D,0),MATCH("Diesel Combustion",Materials!$1:$1,0))*Diesel_density*Project_Area*Tert_Lays*Area_trans</f>
        <v>#DIV/0!</v>
      </c>
      <c r="DC19" s="35" t="e" cm="1">
        <f t="array" aca="1" ref="DC1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9" s="35" t="e" cm="1">
        <f t="array" aca="1" ref="DD1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9" t="e" cm="1">
        <f t="array" aca="1" ref="DE1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9" s="35" t="e" cm="1">
        <f t="array" aca="1" ref="DF1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9" s="35" t="e" cm="1">
        <f t="array" aca="1" ref="DG1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9" t="e" cm="1">
        <f t="array" aca="1" ref="DH1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9" s="35" t="e" cm="1">
        <f t="array" aca="1" ref="DI1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9" s="35" t="e" cm="1">
        <f t="array" aca="1" ref="DJ1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9" t="e" cm="1">
        <f t="array" aca="1" ref="DK1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9" s="35" t="e" cm="1">
        <f t="array" aca="1" ref="DL1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9" s="35" t="e" cm="1">
        <f t="array" aca="1" ref="DM1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9" t="e" cm="1">
        <f t="array" aca="1" ref="DN1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9" s="35" t="e" cm="1">
        <f t="array" aca="1" ref="DO1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9" s="35" t="e" cm="1">
        <f t="array" aca="1" ref="DP1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9" t="e" cm="1">
        <f t="array" aca="1" ref="DQ1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9" s="35" t="e" cm="1">
        <f t="array" aca="1" ref="DR1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9" s="35" t="e" cm="1">
        <f t="array" aca="1" ref="DS1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9" t="e" cm="1">
        <f t="array" aca="1" ref="DT1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9" s="35" t="e" cm="1">
        <f t="array" aca="1" ref="DU1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9" s="35" t="e" cm="1">
        <f t="array" aca="1" ref="DV1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9" t="e" cm="1">
        <f t="array" aca="1" ref="DW1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9" s="35" t="e" cm="1">
        <f t="array" aca="1" ref="DX1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9" s="35" t="e" cm="1">
        <f t="array" aca="1" ref="DY1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9" t="e" cm="1">
        <f t="array" aca="1" ref="DZ1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9" s="35" t="e" cm="1">
        <f t="array" aca="1" ref="EA1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9" s="35" t="e" cm="1">
        <f t="array" aca="1" ref="EB1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9" t="e" cm="1">
        <f t="array" aca="1" ref="EC1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9" s="165" cm="1">
        <f t="array" aca="1" ref="ED19" ca="1">((E_modulus_Tert/40114)^-0.25)*((Subgrade_stiffness_Tert/35)^-0.25)*((Surface_thickness_Tert/0.22)^-0.75)*Area_trans*delflec_switch*SUM((INDEX(PVI_vehicle_EFC,1,1)/INDEX(PVI_fuel_energy_density,1,1))*(INDEX(Indicators,MATCH('Additional Impact Indicators'!$A19,Materials!$D:$D,0),MATCH("diesel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Indicators'!$A19,Materials!$D:$D,0),MATCH("petrol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Indicators'!$A19,Materials!$D:$D,0),MATCH("diesel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Indicators'!$A19,Materials!$D:$D,0),MATCH("petrol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Indicators'!$A19,Materials!$D:$D,0),MATCH("bio-diesel combustion",Materials!$1:$1,0))*((1-enviro_disc)^Handle_years)*Handle_electricity_emissions:OFFSET(Handle_electricity_emissions,0,Results_timespan-1)^0)*OFFSET(Handle_traffic_fleet,6,0):OFFSET(Handle_traffic_fleet,6,Results_timespan-1))</f>
        <v>0</v>
      </c>
      <c r="EE19" s="375" cm="1">
        <f t="array" aca="1" ref="EE1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9" s="251" cm="1">
        <f t="array" aca="1" ref="EF19" ca="1">(SUMPRODUCT(Delay_emissions_table[Consumption of Diesel (kg) - Tertiary Scenario],IF(Delay_emissions_table[Form of Maintenance - Tertiary Scenario]="Life Extension",1,0))*INDEX(Indicators,MATCH('Additional Impact Indicators'!$A19,Materials!$D:$D,0),MATCH("diesel combustion",Materials!$1:$1,0))+SUMPRODUCT(Delay_emissions_table[Consumption of Petrol (kg) - Tertiary Scenario],IF(Delay_emissions_table[Form of Maintenance - Tertiary Scenario]="Life Extension",1,0))*INDEX(Indicators,MATCH('Additional Impact Indicators'!$A19,Materials!$D:$D,0),MATCH("petrol combustion",Materials!$1:$1,0))+IFERROR(SUMPRODUCT(TRANSPOSE(INDEX(elec_project_emissions,MATCH(Elec_scenario&amp;'Additional Impact Indicators'!$B19,INDEX(Electricity_projection,0,3),0)-1,0)),Delay_emissions_table[Consumption of electricity (MJ) - Tertiary Scenario],IF(Delay_emissions_table[Form of Maintenance - Tertiary Scenario]="Life Extension",1,0)),0))*Area_trans*Time_adj_Tert</f>
        <v>0</v>
      </c>
      <c r="EG19" s="251" cm="1">
        <f t="array" aca="1" ref="EG19" ca="1">(SUMPRODUCT(Delay_emissions_table[Consumption of Diesel (kg) - Tertiary Scenario],IF(Delay_emissions_table[Form of Maintenance - Tertiary Scenario]="Replacement",1,0))*INDEX(Indicators,MATCH('Additional Impact Indicators'!$A19,Materials!$D:$D,0),MATCH("diesel combustion",Materials!$1:$1,0))+SUMPRODUCT(Delay_emissions_table[Consumption of Petrol (kg) - Tertiary Scenario],IF(Delay_emissions_table[Form of Maintenance - Tertiary Scenario]="Replacement",1,0))*INDEX(Indicators,MATCH('Additional Impact Indicators'!$A19,Materials!$D:$D,0),MATCH("petrol combustion",Materials!$1:$1,0))+IFERROR(SUMPRODUCT(TRANSPOSE(INDEX(elec_project_emissions,MATCH(Elec_scenario&amp;'Additional Impact Indicators'!$B19,INDEX(Electricity_projection,0,3),0)-1,0)),Delay_emissions_table[Consumption of electricity (MJ) - Tertiary Scenario],IF(Delay_emissions_table[Form of Maintenance - Tertiary Scenario]="Replacement",1,0)),0))*Area_trans*Time_adj_Tert</f>
        <v>0</v>
      </c>
      <c r="EH19" s="252" t="e" cm="1">
        <f t="array" ref="EH1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9" s="252" t="e" cm="1">
        <f t="array" ref="EI1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9" s="253" t="e" cm="1">
        <f t="array" ref="EJ1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9" s="253" t="e" cm="1">
        <f t="array" ref="EK1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9" t="e">
        <f ca="1">SUMIF(Table611[[#This Row],[Raw-Materials]:[Transport to recycling facility]],"&lt;&gt;#N/A")</f>
        <v>#DIV/0!</v>
      </c>
    </row>
    <row r="20" spans="1:142" x14ac:dyDescent="0.35">
      <c r="A20" t="s">
        <v>504</v>
      </c>
      <c r="B20" t="s">
        <v>409</v>
      </c>
      <c r="C20" t="str">
        <f t="shared" si="1"/>
        <v>A1</v>
      </c>
      <c r="D20" t="s">
        <v>485</v>
      </c>
      <c r="F20">
        <f>MATCH(Impacts_Additional[[#This Row],[Indicator]],Material_Impacts[Look up],0)</f>
        <v>64</v>
      </c>
      <c r="G20" s="246" cm="1">
        <f t="array" aca="1" ref="G2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0" s="166" cm="1">
        <f t="array" ref="H2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0" s="166" t="e">
        <f>Diesel_RawM_Prim*INDEX(Indicators,MATCH(Impacts_Additional[[#This Row],[Indicator]],Materials!$D:$D,0),MATCH("Diesel Combustion",Materials!$1:$1,0))*Diesel_density*Project_Area*Prim_Lays*Area_trans</f>
        <v>#DIV/0!</v>
      </c>
      <c r="J20" s="20" t="e" cm="1">
        <f t="array" aca="1" ref="J2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0" s="20" t="e" cm="1">
        <f t="array" aca="1" ref="K2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0" s="20" t="e" cm="1">
        <f t="array" aca="1" ref="L2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0" s="20" t="e" cm="1">
        <f t="array" aca="1" ref="M2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0" s="20" t="e" cm="1">
        <f t="array" aca="1" ref="N2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0" s="20" t="e" cm="1">
        <f t="array" aca="1" ref="O2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0" s="20" t="e" cm="1">
        <f t="array" aca="1" ref="P2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0" s="20" t="e" cm="1">
        <f t="array" aca="1" ref="Q2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0" s="20" t="e" cm="1">
        <f t="array" aca="1" ref="R2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0" s="20" t="e" cm="1">
        <f t="array" aca="1" ref="S2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0" s="20" t="e" cm="1">
        <f t="array" aca="1" ref="T2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0" s="20" t="e" cm="1">
        <f t="array" aca="1" ref="U2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0" s="20" t="e" cm="1">
        <f t="array" aca="1" ref="V2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0" s="20" t="e" cm="1">
        <f t="array" aca="1" ref="W2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0" s="20" t="e" cm="1">
        <f t="array" aca="1" ref="X2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0" s="20" t="e" cm="1">
        <f t="array" aca="1" ref="Y2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0" s="20" t="e" cm="1">
        <f t="array" aca="1" ref="Z2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0" s="20" t="e" cm="1">
        <f t="array" aca="1" ref="AA2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0" s="20" t="e" cm="1">
        <f t="array" aca="1" ref="AB2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0" s="20" t="e" cm="1">
        <f t="array" aca="1" ref="AC2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0" s="20" t="e" cm="1">
        <f t="array" aca="1" ref="AD2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0" s="20" t="e" cm="1">
        <f t="array" aca="1" ref="AE2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0" s="20" t="e" cm="1">
        <f t="array" aca="1" ref="AF2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0" s="20" t="e" cm="1">
        <f t="array" aca="1" ref="AG2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0" s="20" t="e" cm="1">
        <f t="array" aca="1" ref="AH2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0" s="20" t="e" cm="1">
        <f t="array" aca="1" ref="AI2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0" s="20" t="e" cm="1">
        <f t="array" aca="1" ref="AJ2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0" s="166" cm="1">
        <f t="array" aca="1" ref="AK20" ca="1">((E_modulus_Prim/40114)^-0.25)*((Subgrade_stiffness_Prim/35)^-0.25)*((Surface_thickness_Prim/0.22)^-0.75)*Area_trans*delflec_switch*SUM((INDEX(PVI_vehicle_EFC,1,1)/INDEX(PVI_fuel_energy_density,1,1))*(INDEX(Indicators,MATCH('Additional Impact Indicators'!$A20,Materials!$D:$D,0),MATCH("diesel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Indicators'!$A20,Materials!$D:$D,0),MATCH("bio-diesel combustion",Materials!$1:$1,0))*((1-enviro_disc)^Handle_years)*Handle_electricity_emissions:OFFSET(Handle_electricity_emissions,0,Results_timespan-1)^0)*OFFSET(Handle_traffic_fleet,6,0):OFFSET(Handle_traffic_fleet,6,Results_timespan-1))</f>
        <v>0</v>
      </c>
      <c r="AL20" s="166" cm="1">
        <f t="array" aca="1" ref="AL2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0" s="247" cm="1">
        <f t="array" aca="1" ref="AM20" ca="1">(SUMPRODUCT(Delay_emissions_table[Consumption of Diesel (kg) - Primary Scenario],IF(Delay_emissions_table[Form of Maintenance - Primary Scenario]="Life Extension",1,0))*INDEX(Indicators,MATCH('Additional Impact Indicators'!$A20,Materials!$D:$D,0),MATCH("diesel combustion",Materials!$1:$1,0))+SUMPRODUCT(Delay_emissions_table[Consumption of Petrol (kg) - Primary Scenario],IF(Delay_emissions_table[Form of Maintenance - Primary Scenario]="Life Extension",1,0))*INDEX(Indicators,MATCH('Additional Impact Indicators'!$A20,Materials!$D:$D,0),MATCH("petrol combustion",Materials!$1:$1,0))+IFERROR(SUMPRODUCT(TRANSPOSE(INDEX(elec_project_emissions,MATCH(Elec_scenario&amp;'Additional Impact Indicators'!$B20,INDEX(Electricity_projection,0,3),0)-1,0)),Delay_emissions_table[Consumption of electricity (MJ) - Primary Scenario],IF(Delay_emissions_table[Form of Maintenance - Primary Scenario]="Life Extension",1,0)),0))*Area_trans*Time_adj_Prim</f>
        <v>0</v>
      </c>
      <c r="AN20" s="247" cm="1">
        <f t="array" aca="1" ref="AN20" ca="1">(SUMPRODUCT(Delay_emissions_table[Consumption of Diesel (kg) - Primary Scenario],IF(Delay_emissions_table[Form of Maintenance - Primary Scenario]="Replacement",1,0))*INDEX(Indicators,MATCH('Additional Impact Indicators'!$A20,Materials!$D:$D,0),MATCH("diesel combustion",Materials!$1:$1,0))+SUMPRODUCT(Delay_emissions_table[Consumption of Petrol (kg) - Primary Scenario],IF(Delay_emissions_table[Form of Maintenance - Primary Scenario]="Replacement",1,0))*INDEX(Indicators,MATCH('Additional Impact Indicators'!$A20,Materials!$D:$D,0),MATCH("petrol combustion",Materials!$1:$1,0))+IFERROR(SUMPRODUCT(TRANSPOSE(INDEX(elec_project_emissions,MATCH(Elec_scenario&amp;'Additional Impact Indicators'!$B20,INDEX(Electricity_projection,0,3),0)-1,0)),Delay_emissions_table[Consumption of electricity (MJ) - Primary Scenario],IF(Delay_emissions_table[Form of Maintenance - Primary Scenario]="Replacement",1,0)),0))*Area_trans*Time_adj_Prim</f>
        <v>0</v>
      </c>
      <c r="AO20" s="248" t="e" cm="1">
        <f t="array" ref="AO2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0" s="248" t="e" cm="1">
        <f t="array" ref="AP2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0" s="249" t="e" cm="1">
        <f t="array" ref="AQ2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0" s="386" t="e" cm="1">
        <f t="array" ref="AR2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0" t="e">
        <f ca="1">SUMIF('Additional Impact Indicators'!$G20:$AQ20,"&lt;&gt;#N/A")</f>
        <v>#DIV/0!</v>
      </c>
      <c r="AW20" t="s">
        <v>504</v>
      </c>
      <c r="AX20" t="s">
        <v>409</v>
      </c>
      <c r="AY20" t="str">
        <f t="shared" si="2"/>
        <v>A1</v>
      </c>
      <c r="AZ20" t="s">
        <v>485</v>
      </c>
      <c r="BB20">
        <f>MATCH(Table3[[#This Row],[Indicator]],Material_Impacts[Look up],0)</f>
        <v>64</v>
      </c>
      <c r="BC20" s="246" cm="1">
        <f t="array" aca="1" ref="BC2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0" s="166" cm="1">
        <f t="array" ref="BD2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0" s="166" t="e">
        <f>Diesel_RawM_Sec*INDEX(Indicators,MATCH(Impacts_Additional[[#This Row],[Indicator]],Materials!$D:$D,0),MATCH("Diesel Combustion",Materials!$1:$1,0))*Diesel_density*Project_Area*Sec_Lays*Area_trans</f>
        <v>#DIV/0!</v>
      </c>
      <c r="BF20" s="35" t="e" cm="1">
        <f t="array" aca="1" ref="BF2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0" s="35" t="e" cm="1">
        <f t="array" aca="1" ref="BG2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0" t="e" cm="1">
        <f t="array" aca="1" ref="BH2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0" s="35" t="e" cm="1">
        <f t="array" aca="1" ref="BI2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0" s="35" t="e" cm="1">
        <f t="array" aca="1" ref="BJ2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0" t="e" cm="1">
        <f t="array" aca="1" ref="BK2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0" s="35" t="e" cm="1">
        <f t="array" aca="1" ref="BL2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0" s="35" t="e" cm="1">
        <f t="array" aca="1" ref="BM2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0" t="e" cm="1">
        <f t="array" aca="1" ref="BN2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0" s="35" t="e" cm="1">
        <f t="array" aca="1" ref="BO2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0" s="35" t="e" cm="1">
        <f t="array" aca="1" ref="BP2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0" t="e" cm="1">
        <f t="array" aca="1" ref="BQ2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0" s="35" t="e" cm="1">
        <f t="array" aca="1" ref="BR2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0" s="35" t="e" cm="1">
        <f t="array" aca="1" ref="BS2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0" t="e" cm="1">
        <f t="array" aca="1" ref="BT2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0" s="35" t="e" cm="1">
        <f t="array" aca="1" ref="BU2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0" s="35" t="e" cm="1">
        <f t="array" aca="1" ref="BV2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0" t="e" cm="1">
        <f t="array" aca="1" ref="BW2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0" s="35" t="e" cm="1">
        <f t="array" aca="1" ref="BX2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0" s="35" t="e" cm="1">
        <f t="array" aca="1" ref="BY2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0" t="e" cm="1">
        <f t="array" aca="1" ref="BZ2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0" s="35" t="e" cm="1">
        <f t="array" aca="1" ref="CA2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0" s="35" t="e" cm="1">
        <f t="array" aca="1" ref="CB2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0" t="e" cm="1">
        <f t="array" aca="1" ref="CC2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0" s="35" t="e" cm="1">
        <f t="array" aca="1" ref="CD2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0" s="35" t="e" cm="1">
        <f t="array" aca="1" ref="CE2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0" t="e" cm="1">
        <f t="array" aca="1" ref="CF2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0" s="166" cm="1">
        <f t="array" aca="1" ref="CG20" ca="1">((E_modulus_Sec/40114)^-0.25)*((Subgrade_stiffness_Sec/35)^-0.25)*((Surface_thickness_Sec/0.22)^-0.75)*Area_trans*delflec_switch*SUM((INDEX(PVI_vehicle_EFC,1,1)/INDEX(PVI_fuel_energy_density,1,1))*(INDEX(Indicators,MATCH('Additional Impact Indicators'!$A20,Materials!$D:$D,0),MATCH("diesel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Indicators'!$A20,Materials!$D:$D,0),MATCH("bio-diesel combustion",Materials!$1:$1,0))*((1-enviro_disc)^Handle_years)*Handle_electricity_emissions:OFFSET(Handle_electricity_emissions,0,Results_timespan-1)^0)*OFFSET(Handle_traffic_fleet,6,0):OFFSET(Handle_traffic_fleet,6,Results_timespan-1))</f>
        <v>0</v>
      </c>
      <c r="CH20" s="375" cm="1">
        <f t="array" aca="1" ref="CH2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0" s="247" cm="1">
        <f t="array" aca="1" ref="CI20" ca="1">(SUMPRODUCT(Delay_emissions_table[Consumption of Diesel (kg) - Secondary Scenario],IF(Delay_emissions_table[Form of Maintenance - Secondary Scenario]="Life Extension",1,0))*INDEX(Indicators,MATCH('Additional Impact Indicators'!$A20,Materials!$D:$D,0),MATCH("diesel combustion",Materials!$1:$1,0))+SUMPRODUCT(Delay_emissions_table[Consumption of Petrol (kg) - Secondary Scenario],IF(Delay_emissions_table[Form of Maintenance - Secondary Scenario]="Life Extension",1,0))*INDEX(Indicators,MATCH('Additional Impact Indicators'!$A20,Materials!$D:$D,0),MATCH("petrol combustion",Materials!$1:$1,0))+IFERROR(SUMPRODUCT(TRANSPOSE(INDEX(elec_project_emissions,MATCH(Elec_scenario&amp;'Additional Impact Indicators'!$B20,INDEX(Electricity_projection,0,3),0)-1,0)),Delay_emissions_table[Consumption of electricity (MJ) - Secondary Scenario],IF(Delay_emissions_table[Form of Maintenance - Secondary Scenario]="Life Extension",1,0)),0))*Area_trans*time_adj_Sec</f>
        <v>0</v>
      </c>
      <c r="CJ20" s="247" cm="1">
        <f t="array" aca="1" ref="CJ20" ca="1">(SUMPRODUCT(Delay_emissions_table[Consumption of Diesel (kg) - Secondary Scenario],IF(Delay_emissions_table[Form of Maintenance - Secondary Scenario]="Replacement",1,0))*INDEX(Indicators,MATCH('Additional Impact Indicators'!$A20,Materials!$D:$D,0),MATCH("diesel combustion",Materials!$1:$1,0))+SUMPRODUCT(Delay_emissions_table[Consumption of Petrol (kg) - Secondary Scenario],IF(Delay_emissions_table[Form of Maintenance - Secondary Scenario]="Replacement",1,0))*INDEX(Indicators,MATCH('Additional Impact Indicators'!$A20,Materials!$D:$D,0),MATCH("petrol combustion",Materials!$1:$1,0))+IFERROR(SUMPRODUCT(TRANSPOSE(INDEX(elec_project_emissions,MATCH(Elec_scenario&amp;'Additional Impact Indicators'!$B20,INDEX(Electricity_projection,0,3),0)-1,0)),Delay_emissions_table[Consumption of electricity (MJ) - Secondary Scenario],IF(Delay_emissions_table[Form of Maintenance - Secondary Scenario]="Replacement",1,0)),0))*Area_trans*time_adj_Sec</f>
        <v>0</v>
      </c>
      <c r="CK20" s="248" t="e" cm="1">
        <f t="array" ref="CK2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0" s="248" t="e" cm="1">
        <f t="array" ref="CL2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0" s="249" t="e" cm="1">
        <f t="array" ref="CM2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0" s="387" t="e" cm="1">
        <f t="array" ref="CN2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0" s="51" t="e">
        <f ca="1">SUMIF(Table3[[#This Row],[Raw-Materials]:[Transport to recycling facility]],"&lt;&gt;#N/A")</f>
        <v>#DIV/0!</v>
      </c>
      <c r="CT20" t="s">
        <v>504</v>
      </c>
      <c r="CU20" t="s">
        <v>409</v>
      </c>
      <c r="CV20" t="str">
        <f t="shared" si="3"/>
        <v>A1</v>
      </c>
      <c r="CW20" t="s">
        <v>485</v>
      </c>
      <c r="CY20">
        <f>MATCH(Table611[[#This Row],[Indicator]],Material_Impacts[Look up],0)</f>
        <v>64</v>
      </c>
      <c r="CZ20" s="246" cm="1">
        <f t="array" aca="1" ref="CZ2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0" s="166" cm="1">
        <f t="array" ref="DA2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0" s="166" t="e">
        <f>Diesel_RawM_Tert*INDEX(Indicators,MATCH(Impacts_Additional[[#This Row],[Indicator]],Materials!$D:$D,0),MATCH("Diesel Combustion",Materials!$1:$1,0))*Diesel_density*Project_Area*Tert_Lays*Area_trans</f>
        <v>#DIV/0!</v>
      </c>
      <c r="DC20" s="35" t="e" cm="1">
        <f t="array" aca="1" ref="DC2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0" s="35" t="e" cm="1">
        <f t="array" aca="1" ref="DD2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0" t="e" cm="1">
        <f t="array" aca="1" ref="DE2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0" s="35" t="e" cm="1">
        <f t="array" aca="1" ref="DF2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0" s="35" t="e" cm="1">
        <f t="array" aca="1" ref="DG2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0" t="e" cm="1">
        <f t="array" aca="1" ref="DH2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0" s="35" t="e" cm="1">
        <f t="array" aca="1" ref="DI2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0" s="35" t="e" cm="1">
        <f t="array" aca="1" ref="DJ2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0" t="e" cm="1">
        <f t="array" aca="1" ref="DK2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0" s="35" t="e" cm="1">
        <f t="array" aca="1" ref="DL2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0" s="35" t="e" cm="1">
        <f t="array" aca="1" ref="DM2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0" t="e" cm="1">
        <f t="array" aca="1" ref="DN2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0" s="35" t="e" cm="1">
        <f t="array" aca="1" ref="DO2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0" s="35" t="e" cm="1">
        <f t="array" aca="1" ref="DP2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0" t="e" cm="1">
        <f t="array" aca="1" ref="DQ2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0" s="35" t="e" cm="1">
        <f t="array" aca="1" ref="DR2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0" s="35" t="e" cm="1">
        <f t="array" aca="1" ref="DS2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0" t="e" cm="1">
        <f t="array" aca="1" ref="DT2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0" s="35" t="e" cm="1">
        <f t="array" aca="1" ref="DU2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0" s="35" t="e" cm="1">
        <f t="array" aca="1" ref="DV2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0" t="e" cm="1">
        <f t="array" aca="1" ref="DW2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0" s="35" t="e" cm="1">
        <f t="array" aca="1" ref="DX2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0" s="35" t="e" cm="1">
        <f t="array" aca="1" ref="DY2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0" t="e" cm="1">
        <f t="array" aca="1" ref="DZ2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0" s="35" t="e" cm="1">
        <f t="array" aca="1" ref="EA2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0" s="35" t="e" cm="1">
        <f t="array" aca="1" ref="EB2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0" t="e" cm="1">
        <f t="array" aca="1" ref="EC2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0" s="166" cm="1">
        <f t="array" aca="1" ref="ED20" ca="1">((E_modulus_Tert/40114)^-0.25)*((Subgrade_stiffness_Tert/35)^-0.25)*((Surface_thickness_Tert/0.22)^-0.75)*Area_trans*delflec_switch*SUM((INDEX(PVI_vehicle_EFC,1,1)/INDEX(PVI_fuel_energy_density,1,1))*(INDEX(Indicators,MATCH('Additional Impact Indicators'!$A20,Materials!$D:$D,0),MATCH("diesel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Indicators'!$A20,Materials!$D:$D,0),MATCH("bio-diesel combustion",Materials!$1:$1,0))*((1-enviro_disc)^Handle_years)*Handle_electricity_emissions:OFFSET(Handle_electricity_emissions,0,Results_timespan-1)^0)*OFFSET(Handle_traffic_fleet,6,0):OFFSET(Handle_traffic_fleet,6,Results_timespan-1))</f>
        <v>0</v>
      </c>
      <c r="EE20" s="375" cm="1">
        <f t="array" aca="1" ref="EE2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0" s="247" cm="1">
        <f t="array" aca="1" ref="EF20" ca="1">(SUMPRODUCT(Delay_emissions_table[Consumption of Diesel (kg) - Tertiary Scenario],IF(Delay_emissions_table[Form of Maintenance - Tertiary Scenario]="Life Extension",1,0))*INDEX(Indicators,MATCH('Additional Impact Indicators'!$A20,Materials!$D:$D,0),MATCH("diesel combustion",Materials!$1:$1,0))+SUMPRODUCT(Delay_emissions_table[Consumption of Petrol (kg) - Tertiary Scenario],IF(Delay_emissions_table[Form of Maintenance - Tertiary Scenario]="Life Extension",1,0))*INDEX(Indicators,MATCH('Additional Impact Indicators'!$A20,Materials!$D:$D,0),MATCH("petrol combustion",Materials!$1:$1,0))+IFERROR(SUMPRODUCT(TRANSPOSE(INDEX(elec_project_emissions,MATCH(Elec_scenario&amp;'Additional Impact Indicators'!$B20,INDEX(Electricity_projection,0,3),0)-1,0)),Delay_emissions_table[Consumption of electricity (MJ) - Tertiary Scenario],IF(Delay_emissions_table[Form of Maintenance - Tertiary Scenario]="Life Extension",1,0)),0))*Area_trans*Time_adj_Tert</f>
        <v>0</v>
      </c>
      <c r="EG20" s="247" cm="1">
        <f t="array" aca="1" ref="EG20" ca="1">(SUMPRODUCT(Delay_emissions_table[Consumption of Diesel (kg) - Tertiary Scenario],IF(Delay_emissions_table[Form of Maintenance - Tertiary Scenario]="Replacement",1,0))*INDEX(Indicators,MATCH('Additional Impact Indicators'!$A20,Materials!$D:$D,0),MATCH("diesel combustion",Materials!$1:$1,0))+SUMPRODUCT(Delay_emissions_table[Consumption of Petrol (kg) - Tertiary Scenario],IF(Delay_emissions_table[Form of Maintenance - Tertiary Scenario]="Replacement",1,0))*INDEX(Indicators,MATCH('Additional Impact Indicators'!$A20,Materials!$D:$D,0),MATCH("petrol combustion",Materials!$1:$1,0))+IFERROR(SUMPRODUCT(TRANSPOSE(INDEX(elec_project_emissions,MATCH(Elec_scenario&amp;'Additional Impact Indicators'!$B20,INDEX(Electricity_projection,0,3),0)-1,0)),Delay_emissions_table[Consumption of electricity (MJ) - Tertiary Scenario],IF(Delay_emissions_table[Form of Maintenance - Tertiary Scenario]="Replacement",1,0)),0))*Area_trans*Time_adj_Tert</f>
        <v>0</v>
      </c>
      <c r="EH20" s="248" t="e" cm="1">
        <f t="array" ref="EH2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0" s="248" t="e" cm="1">
        <f t="array" ref="EI2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0" s="249" t="e" cm="1">
        <f t="array" ref="EJ2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0" s="249" t="e" cm="1">
        <f t="array" ref="EK2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0" t="e">
        <f ca="1">SUMIF(Table611[[#This Row],[Raw-Materials]:[Transport to recycling facility]],"&lt;&gt;#N/A")</f>
        <v>#DIV/0!</v>
      </c>
    </row>
    <row r="21" spans="1:142" x14ac:dyDescent="0.35">
      <c r="A21" s="155" t="s">
        <v>505</v>
      </c>
      <c r="B21" s="155" t="s">
        <v>411</v>
      </c>
      <c r="C21" s="155" t="str">
        <f t="shared" si="1"/>
        <v>A1</v>
      </c>
      <c r="D21" s="155" t="s">
        <v>485</v>
      </c>
      <c r="E21" s="155"/>
      <c r="F21">
        <f>MATCH(Impacts_Additional[[#This Row],[Indicator]],Material_Impacts[Look up],0)</f>
        <v>65</v>
      </c>
      <c r="G21" s="246" cm="1">
        <f t="array" aca="1" ref="G2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1" s="165" cm="1">
        <f t="array" ref="H2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1" s="165" t="e">
        <f>Diesel_RawM_Prim*INDEX(Indicators,MATCH(Impacts_Additional[[#This Row],[Indicator]],Materials!$D:$D,0),MATCH("Diesel Combustion",Materials!$1:$1,0))*Diesel_density*Project_Area*Prim_Lays*Area_trans</f>
        <v>#DIV/0!</v>
      </c>
      <c r="J21" s="250" t="e" cm="1">
        <f t="array" aca="1" ref="J2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1" s="250" t="e" cm="1">
        <f t="array" aca="1" ref="K2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1" s="250" t="e" cm="1">
        <f t="array" aca="1" ref="L2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1" s="250" t="e" cm="1">
        <f t="array" aca="1" ref="M2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1" s="250" t="e" cm="1">
        <f t="array" aca="1" ref="N2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1" s="250" t="e" cm="1">
        <f t="array" aca="1" ref="O2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1" s="250" t="e" cm="1">
        <f t="array" aca="1" ref="P2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1" s="250" t="e" cm="1">
        <f t="array" aca="1" ref="Q2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1" s="250" t="e" cm="1">
        <f t="array" aca="1" ref="R2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1" s="250" t="e" cm="1">
        <f t="array" aca="1" ref="S2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1" s="250" t="e" cm="1">
        <f t="array" aca="1" ref="T2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1" s="250" t="e" cm="1">
        <f t="array" aca="1" ref="U2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1" s="250" t="e" cm="1">
        <f t="array" aca="1" ref="V2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1" s="250" t="e" cm="1">
        <f t="array" aca="1" ref="W2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1" s="250" t="e" cm="1">
        <f t="array" aca="1" ref="X2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1" s="250" t="e" cm="1">
        <f t="array" aca="1" ref="Y2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1" s="250" t="e" cm="1">
        <f t="array" aca="1" ref="Z2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1" s="250" t="e" cm="1">
        <f t="array" aca="1" ref="AA2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1" s="250" t="e" cm="1">
        <f t="array" aca="1" ref="AB2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1" s="250" t="e" cm="1">
        <f t="array" aca="1" ref="AC2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1" s="250" t="e" cm="1">
        <f t="array" aca="1" ref="AD2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1" s="250" t="e" cm="1">
        <f t="array" aca="1" ref="AE2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1" s="250" t="e" cm="1">
        <f t="array" aca="1" ref="AF2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1" s="250" t="e" cm="1">
        <f t="array" aca="1" ref="AG2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1" s="250" t="e" cm="1">
        <f t="array" aca="1" ref="AH2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1" s="250" t="e" cm="1">
        <f t="array" aca="1" ref="AI2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1" s="250" t="e" cm="1">
        <f t="array" aca="1" ref="AJ2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1" s="165" cm="1">
        <f t="array" aca="1" ref="AK21" ca="1">((E_modulus_Prim/40114)^-0.25)*((Subgrade_stiffness_Prim/35)^-0.25)*((Surface_thickness_Prim/0.22)^-0.75)*Area_trans*delflec_switch*SUM((INDEX(PVI_vehicle_EFC,1,1)/INDEX(PVI_fuel_energy_density,1,1))*(INDEX(Indicators,MATCH('Additional Impact Indicators'!$A21,Materials!$D:$D,0),MATCH("diesel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Indicators'!$A21,Materials!$D:$D,0),MATCH("bio-diesel combustion",Materials!$1:$1,0))*((1-enviro_disc)^Handle_years)*Handle_electricity_emissions:OFFSET(Handle_electricity_emissions,0,Results_timespan-1)^0)*OFFSET(Handle_traffic_fleet,6,0):OFFSET(Handle_traffic_fleet,6,Results_timespan-1))</f>
        <v>0</v>
      </c>
      <c r="AL21" s="165" cm="1">
        <f t="array" aca="1" ref="AL2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1" s="251" cm="1">
        <f t="array" aca="1" ref="AM21" ca="1">(SUMPRODUCT(Delay_emissions_table[Consumption of Diesel (kg) - Primary Scenario],IF(Delay_emissions_table[Form of Maintenance - Primary Scenario]="Life Extension",1,0))*INDEX(Indicators,MATCH('Additional Impact Indicators'!$A21,Materials!$D:$D,0),MATCH("diesel combustion",Materials!$1:$1,0))+SUMPRODUCT(Delay_emissions_table[Consumption of Petrol (kg) - Primary Scenario],IF(Delay_emissions_table[Form of Maintenance - Primary Scenario]="Life Extension",1,0))*INDEX(Indicators,MATCH('Additional Impact Indicators'!$A21,Materials!$D:$D,0),MATCH("petrol combustion",Materials!$1:$1,0))+IFERROR(SUMPRODUCT(TRANSPOSE(INDEX(elec_project_emissions,MATCH(Elec_scenario&amp;'Additional Impact Indicators'!$B21,INDEX(Electricity_projection,0,3),0)-1,0)),Delay_emissions_table[Consumption of electricity (MJ) - Primary Scenario],IF(Delay_emissions_table[Form of Maintenance - Primary Scenario]="Life Extension",1,0)),0))*Area_trans*Time_adj_Prim</f>
        <v>0</v>
      </c>
      <c r="AN21" s="251" cm="1">
        <f t="array" aca="1" ref="AN21" ca="1">(SUMPRODUCT(Delay_emissions_table[Consumption of Diesel (kg) - Primary Scenario],IF(Delay_emissions_table[Form of Maintenance - Primary Scenario]="Replacement",1,0))*INDEX(Indicators,MATCH('Additional Impact Indicators'!$A21,Materials!$D:$D,0),MATCH("diesel combustion",Materials!$1:$1,0))+SUMPRODUCT(Delay_emissions_table[Consumption of Petrol (kg) - Primary Scenario],IF(Delay_emissions_table[Form of Maintenance - Primary Scenario]="Replacement",1,0))*INDEX(Indicators,MATCH('Additional Impact Indicators'!$A21,Materials!$D:$D,0),MATCH("petrol combustion",Materials!$1:$1,0))+IFERROR(SUMPRODUCT(TRANSPOSE(INDEX(elec_project_emissions,MATCH(Elec_scenario&amp;'Additional Impact Indicators'!$B21,INDEX(Electricity_projection,0,3),0)-1,0)),Delay_emissions_table[Consumption of electricity (MJ) - Primary Scenario],IF(Delay_emissions_table[Form of Maintenance - Primary Scenario]="Replacement",1,0)),0))*Area_trans*Time_adj_Prim</f>
        <v>0</v>
      </c>
      <c r="AO21" s="252" t="e" cm="1">
        <f t="array" ref="AO2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1" s="252" t="e" cm="1">
        <f t="array" ref="AP2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1" s="253" t="e" cm="1">
        <f t="array" ref="AQ2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1" s="385" t="e" cm="1">
        <f t="array" ref="AR2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1" t="e">
        <f ca="1">SUMIF('Additional Impact Indicators'!$G21:$AQ21,"&lt;&gt;#N/A")</f>
        <v>#DIV/0!</v>
      </c>
      <c r="AW21" s="155" t="s">
        <v>505</v>
      </c>
      <c r="AX21" s="155" t="s">
        <v>411</v>
      </c>
      <c r="AY21" s="155" t="str">
        <f t="shared" si="2"/>
        <v>A1</v>
      </c>
      <c r="AZ21" s="155" t="s">
        <v>485</v>
      </c>
      <c r="BA21" s="155"/>
      <c r="BB21" s="155">
        <f>MATCH(Table3[[#This Row],[Indicator]],Material_Impacts[Look up],0)</f>
        <v>65</v>
      </c>
      <c r="BC21" s="246" cm="1">
        <f t="array" aca="1" ref="BC2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1" s="165" cm="1">
        <f t="array" ref="BD2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1" s="165" t="e">
        <f>Diesel_RawM_Sec*INDEX(Indicators,MATCH(Impacts_Additional[[#This Row],[Indicator]],Materials!$D:$D,0),MATCH("Diesel Combustion",Materials!$1:$1,0))*Diesel_density*Project_Area*Sec_Lays*Area_trans</f>
        <v>#DIV/0!</v>
      </c>
      <c r="BF21" s="35" t="e" cm="1">
        <f t="array" aca="1" ref="BF2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1" s="35" t="e" cm="1">
        <f t="array" aca="1" ref="BG2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1" t="e" cm="1">
        <f t="array" aca="1" ref="BH2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1" s="35" t="e" cm="1">
        <f t="array" aca="1" ref="BI2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1" s="35" t="e" cm="1">
        <f t="array" aca="1" ref="BJ2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1" t="e" cm="1">
        <f t="array" aca="1" ref="BK2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1" s="35" t="e" cm="1">
        <f t="array" aca="1" ref="BL2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1" s="35" t="e" cm="1">
        <f t="array" aca="1" ref="BM2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1" t="e" cm="1">
        <f t="array" aca="1" ref="BN2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1" s="35" t="e" cm="1">
        <f t="array" aca="1" ref="BO2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1" s="35" t="e" cm="1">
        <f t="array" aca="1" ref="BP2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1" t="e" cm="1">
        <f t="array" aca="1" ref="BQ2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1" s="35" t="e" cm="1">
        <f t="array" aca="1" ref="BR2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1" s="35" t="e" cm="1">
        <f t="array" aca="1" ref="BS2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1" t="e" cm="1">
        <f t="array" aca="1" ref="BT2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1" s="35" t="e" cm="1">
        <f t="array" aca="1" ref="BU2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1" s="35" t="e" cm="1">
        <f t="array" aca="1" ref="BV2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1" t="e" cm="1">
        <f t="array" aca="1" ref="BW2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1" s="35" t="e" cm="1">
        <f t="array" aca="1" ref="BX2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1" s="35" t="e" cm="1">
        <f t="array" aca="1" ref="BY2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1" t="e" cm="1">
        <f t="array" aca="1" ref="BZ2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1" s="35" t="e" cm="1">
        <f t="array" aca="1" ref="CA2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1" s="35" t="e" cm="1">
        <f t="array" aca="1" ref="CB2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1" t="e" cm="1">
        <f t="array" aca="1" ref="CC2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1" s="35" t="e" cm="1">
        <f t="array" aca="1" ref="CD2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1" s="35" t="e" cm="1">
        <f t="array" aca="1" ref="CE2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1" t="e" cm="1">
        <f t="array" aca="1" ref="CF2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1" s="165" cm="1">
        <f t="array" aca="1" ref="CG21" ca="1">((E_modulus_Sec/40114)^-0.25)*((Subgrade_stiffness_Sec/35)^-0.25)*((Surface_thickness_Sec/0.22)^-0.75)*Area_trans*delflec_switch*SUM((INDEX(PVI_vehicle_EFC,1,1)/INDEX(PVI_fuel_energy_density,1,1))*(INDEX(Indicators,MATCH('Additional Impact Indicators'!$A21,Materials!$D:$D,0),MATCH("diesel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Indicators'!$A21,Materials!$D:$D,0),MATCH("bio-diesel combustion",Materials!$1:$1,0))*((1-enviro_disc)^Handle_years)*Handle_electricity_emissions:OFFSET(Handle_electricity_emissions,0,Results_timespan-1)^0)*OFFSET(Handle_traffic_fleet,6,0):OFFSET(Handle_traffic_fleet,6,Results_timespan-1))</f>
        <v>0</v>
      </c>
      <c r="CH21" s="375" cm="1">
        <f t="array" aca="1" ref="CH2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1" s="251" cm="1">
        <f t="array" aca="1" ref="CI21" ca="1">(SUMPRODUCT(Delay_emissions_table[Consumption of Diesel (kg) - Secondary Scenario],IF(Delay_emissions_table[Form of Maintenance - Secondary Scenario]="Life Extension",1,0))*INDEX(Indicators,MATCH('Additional Impact Indicators'!$A21,Materials!$D:$D,0),MATCH("diesel combustion",Materials!$1:$1,0))+SUMPRODUCT(Delay_emissions_table[Consumption of Petrol (kg) - Secondary Scenario],IF(Delay_emissions_table[Form of Maintenance - Secondary Scenario]="Life Extension",1,0))*INDEX(Indicators,MATCH('Additional Impact Indicators'!$A21,Materials!$D:$D,0),MATCH("petrol combustion",Materials!$1:$1,0))+IFERROR(SUMPRODUCT(TRANSPOSE(INDEX(elec_project_emissions,MATCH(Elec_scenario&amp;'Additional Impact Indicators'!$B21,INDEX(Electricity_projection,0,3),0)-1,0)),Delay_emissions_table[Consumption of electricity (MJ) - Secondary Scenario],IF(Delay_emissions_table[Form of Maintenance - Secondary Scenario]="Life Extension",1,0)),0))*Area_trans*time_adj_Sec</f>
        <v>0</v>
      </c>
      <c r="CJ21" s="251" cm="1">
        <f t="array" aca="1" ref="CJ21" ca="1">(SUMPRODUCT(Delay_emissions_table[Consumption of Diesel (kg) - Secondary Scenario],IF(Delay_emissions_table[Form of Maintenance - Secondary Scenario]="Replacement",1,0))*INDEX(Indicators,MATCH('Additional Impact Indicators'!$A21,Materials!$D:$D,0),MATCH("diesel combustion",Materials!$1:$1,0))+SUMPRODUCT(Delay_emissions_table[Consumption of Petrol (kg) - Secondary Scenario],IF(Delay_emissions_table[Form of Maintenance - Secondary Scenario]="Replacement",1,0))*INDEX(Indicators,MATCH('Additional Impact Indicators'!$A21,Materials!$D:$D,0),MATCH("petrol combustion",Materials!$1:$1,0))+IFERROR(SUMPRODUCT(TRANSPOSE(INDEX(elec_project_emissions,MATCH(Elec_scenario&amp;'Additional Impact Indicators'!$B21,INDEX(Electricity_projection,0,3),0)-1,0)),Delay_emissions_table[Consumption of electricity (MJ) - Secondary Scenario],IF(Delay_emissions_table[Form of Maintenance - Secondary Scenario]="Replacement",1,0)),0))*Area_trans*time_adj_Sec</f>
        <v>0</v>
      </c>
      <c r="CK21" s="252" t="e" cm="1">
        <f t="array" ref="CK2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1" s="252" t="e" cm="1">
        <f t="array" ref="CL2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1" s="253" t="e" cm="1">
        <f t="array" ref="CM2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1" s="387" t="e" cm="1">
        <f t="array" ref="CN2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1" s="51" t="e">
        <f ca="1">SUMIF(Table3[[#This Row],[Raw-Materials]:[Transport to recycling facility]],"&lt;&gt;#N/A")</f>
        <v>#DIV/0!</v>
      </c>
      <c r="CT21" t="s">
        <v>505</v>
      </c>
      <c r="CU21" t="s">
        <v>411</v>
      </c>
      <c r="CV21" t="str">
        <f t="shared" si="3"/>
        <v>A1</v>
      </c>
      <c r="CW21" t="s">
        <v>485</v>
      </c>
      <c r="CY21">
        <f>MATCH(Table611[[#This Row],[Indicator]],Material_Impacts[Look up],0)</f>
        <v>65</v>
      </c>
      <c r="CZ21" s="246" cm="1">
        <f t="array" aca="1" ref="CZ2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1" s="165" cm="1">
        <f t="array" ref="DA2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1" s="165" t="e">
        <f>Diesel_RawM_Tert*INDEX(Indicators,MATCH(Impacts_Additional[[#This Row],[Indicator]],Materials!$D:$D,0),MATCH("Diesel Combustion",Materials!$1:$1,0))*Diesel_density*Project_Area*Tert_Lays*Area_trans</f>
        <v>#DIV/0!</v>
      </c>
      <c r="DC21" s="35" t="e" cm="1">
        <f t="array" aca="1" ref="DC2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1" s="35" t="e" cm="1">
        <f t="array" aca="1" ref="DD2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1" t="e" cm="1">
        <f t="array" aca="1" ref="DE2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1" s="35" t="e" cm="1">
        <f t="array" aca="1" ref="DF2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1" s="35" t="e" cm="1">
        <f t="array" aca="1" ref="DG2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1" t="e" cm="1">
        <f t="array" aca="1" ref="DH2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1" s="35" t="e" cm="1">
        <f t="array" aca="1" ref="DI2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1" s="35" t="e" cm="1">
        <f t="array" aca="1" ref="DJ2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1" t="e" cm="1">
        <f t="array" aca="1" ref="DK2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1" s="35" t="e" cm="1">
        <f t="array" aca="1" ref="DL2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1" s="35" t="e" cm="1">
        <f t="array" aca="1" ref="DM2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1" t="e" cm="1">
        <f t="array" aca="1" ref="DN2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1" s="35" t="e" cm="1">
        <f t="array" aca="1" ref="DO2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1" s="35" t="e" cm="1">
        <f t="array" aca="1" ref="DP2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1" t="e" cm="1">
        <f t="array" aca="1" ref="DQ2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1" s="35" t="e" cm="1">
        <f t="array" aca="1" ref="DR2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1" s="35" t="e" cm="1">
        <f t="array" aca="1" ref="DS2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1" t="e" cm="1">
        <f t="array" aca="1" ref="DT2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1" s="35" t="e" cm="1">
        <f t="array" aca="1" ref="DU2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1" s="35" t="e" cm="1">
        <f t="array" aca="1" ref="DV2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1" t="e" cm="1">
        <f t="array" aca="1" ref="DW2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1" s="35" t="e" cm="1">
        <f t="array" aca="1" ref="DX2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1" s="35" t="e" cm="1">
        <f t="array" aca="1" ref="DY2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1" t="e" cm="1">
        <f t="array" aca="1" ref="DZ2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1" s="35" t="e" cm="1">
        <f t="array" aca="1" ref="EA2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1" s="35" t="e" cm="1">
        <f t="array" aca="1" ref="EB2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1" t="e" cm="1">
        <f t="array" aca="1" ref="EC2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1" s="165" cm="1">
        <f t="array" aca="1" ref="ED21" ca="1">((E_modulus_Tert/40114)^-0.25)*((Subgrade_stiffness_Tert/35)^-0.25)*((Surface_thickness_Tert/0.22)^-0.75)*Area_trans*delflec_switch*SUM((INDEX(PVI_vehicle_EFC,1,1)/INDEX(PVI_fuel_energy_density,1,1))*(INDEX(Indicators,MATCH('Additional Impact Indicators'!$A21,Materials!$D:$D,0),MATCH("diesel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Indicators'!$A21,Materials!$D:$D,0),MATCH("bio-diesel combustion",Materials!$1:$1,0))*((1-enviro_disc)^Handle_years)*Handle_electricity_emissions:OFFSET(Handle_electricity_emissions,0,Results_timespan-1)^0)*OFFSET(Handle_traffic_fleet,6,0):OFFSET(Handle_traffic_fleet,6,Results_timespan-1))</f>
        <v>0</v>
      </c>
      <c r="EE21" s="375" cm="1">
        <f t="array" aca="1" ref="EE2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1" s="251" cm="1">
        <f t="array" aca="1" ref="EF21" ca="1">(SUMPRODUCT(Delay_emissions_table[Consumption of Diesel (kg) - Tertiary Scenario],IF(Delay_emissions_table[Form of Maintenance - Tertiary Scenario]="Life Extension",1,0))*INDEX(Indicators,MATCH('Additional Impact Indicators'!$A21,Materials!$D:$D,0),MATCH("diesel combustion",Materials!$1:$1,0))+SUMPRODUCT(Delay_emissions_table[Consumption of Petrol (kg) - Tertiary Scenario],IF(Delay_emissions_table[Form of Maintenance - Tertiary Scenario]="Life Extension",1,0))*INDEX(Indicators,MATCH('Additional Impact Indicators'!$A21,Materials!$D:$D,0),MATCH("petrol combustion",Materials!$1:$1,0))+IFERROR(SUMPRODUCT(TRANSPOSE(INDEX(elec_project_emissions,MATCH(Elec_scenario&amp;'Additional Impact Indicators'!$B21,INDEX(Electricity_projection,0,3),0)-1,0)),Delay_emissions_table[Consumption of electricity (MJ) - Tertiary Scenario],IF(Delay_emissions_table[Form of Maintenance - Tertiary Scenario]="Life Extension",1,0)),0))*Area_trans*Time_adj_Tert</f>
        <v>0</v>
      </c>
      <c r="EG21" s="251" cm="1">
        <f t="array" aca="1" ref="EG21" ca="1">(SUMPRODUCT(Delay_emissions_table[Consumption of Diesel (kg) - Tertiary Scenario],IF(Delay_emissions_table[Form of Maintenance - Tertiary Scenario]="Replacement",1,0))*INDEX(Indicators,MATCH('Additional Impact Indicators'!$A21,Materials!$D:$D,0),MATCH("diesel combustion",Materials!$1:$1,0))+SUMPRODUCT(Delay_emissions_table[Consumption of Petrol (kg) - Tertiary Scenario],IF(Delay_emissions_table[Form of Maintenance - Tertiary Scenario]="Replacement",1,0))*INDEX(Indicators,MATCH('Additional Impact Indicators'!$A21,Materials!$D:$D,0),MATCH("petrol combustion",Materials!$1:$1,0))+IFERROR(SUMPRODUCT(TRANSPOSE(INDEX(elec_project_emissions,MATCH(Elec_scenario&amp;'Additional Impact Indicators'!$B21,INDEX(Electricity_projection,0,3),0)-1,0)),Delay_emissions_table[Consumption of electricity (MJ) - Tertiary Scenario],IF(Delay_emissions_table[Form of Maintenance - Tertiary Scenario]="Replacement",1,0)),0))*Area_trans*Time_adj_Tert</f>
        <v>0</v>
      </c>
      <c r="EH21" s="252" t="e" cm="1">
        <f t="array" ref="EH2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1" s="252" t="e" cm="1">
        <f t="array" ref="EI2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1" s="253" t="e" cm="1">
        <f t="array" ref="EJ2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1" s="253" t="e" cm="1">
        <f t="array" ref="EK2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1" t="e">
        <f ca="1">SUMIF(Table611[[#This Row],[Raw-Materials]:[Transport to recycling facility]],"&lt;&gt;#N/A")</f>
        <v>#DIV/0!</v>
      </c>
    </row>
    <row r="22" spans="1:142" x14ac:dyDescent="0.35">
      <c r="A22" t="s">
        <v>506</v>
      </c>
      <c r="B22" t="s">
        <v>413</v>
      </c>
      <c r="C22" t="str">
        <f t="shared" si="1"/>
        <v>A1</v>
      </c>
      <c r="D22" t="s">
        <v>485</v>
      </c>
      <c r="F22">
        <f>MATCH(Impacts_Additional[[#This Row],[Indicator]],Material_Impacts[Look up],0)</f>
        <v>66</v>
      </c>
      <c r="G22" s="246" cm="1">
        <f t="array" aca="1" ref="G2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2" s="166" cm="1">
        <f t="array" ref="H2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2" s="166" t="e">
        <f>Diesel_RawM_Prim*INDEX(Indicators,MATCH(Impacts_Additional[[#This Row],[Indicator]],Materials!$D:$D,0),MATCH("Diesel Combustion",Materials!$1:$1,0))*Diesel_density*Project_Area*Prim_Lays*Area_trans</f>
        <v>#DIV/0!</v>
      </c>
      <c r="J22" s="20" t="e" cm="1">
        <f t="array" aca="1" ref="J2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2" s="20" t="e" cm="1">
        <f t="array" aca="1" ref="K2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2" s="20" t="e" cm="1">
        <f t="array" aca="1" ref="L2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2" s="20" t="e" cm="1">
        <f t="array" aca="1" ref="M2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2" s="20" t="e" cm="1">
        <f t="array" aca="1" ref="N2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2" s="20" t="e" cm="1">
        <f t="array" aca="1" ref="O2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2" s="20" t="e" cm="1">
        <f t="array" aca="1" ref="P2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2" s="20" t="e" cm="1">
        <f t="array" aca="1" ref="Q2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2" s="20" t="e" cm="1">
        <f t="array" aca="1" ref="R2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2" s="20" t="e" cm="1">
        <f t="array" aca="1" ref="S2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2" s="20" t="e" cm="1">
        <f t="array" aca="1" ref="T2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2" s="20" t="e" cm="1">
        <f t="array" aca="1" ref="U2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2" s="20" t="e" cm="1">
        <f t="array" aca="1" ref="V2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2" s="20" t="e" cm="1">
        <f t="array" aca="1" ref="W2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2" s="20" t="e" cm="1">
        <f t="array" aca="1" ref="X2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2" s="20" t="e" cm="1">
        <f t="array" aca="1" ref="Y2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2" s="20" t="e" cm="1">
        <f t="array" aca="1" ref="Z2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2" s="20" t="e" cm="1">
        <f t="array" aca="1" ref="AA2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2" s="20" t="e" cm="1">
        <f t="array" aca="1" ref="AB2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2" s="20" t="e" cm="1">
        <f t="array" aca="1" ref="AC2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2" s="20" t="e" cm="1">
        <f t="array" aca="1" ref="AD2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2" s="20" t="e" cm="1">
        <f t="array" aca="1" ref="AE2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2" s="20" t="e" cm="1">
        <f t="array" aca="1" ref="AF2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2" s="20" t="e" cm="1">
        <f t="array" aca="1" ref="AG2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2" s="20" t="e" cm="1">
        <f t="array" aca="1" ref="AH2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2" s="20" t="e" cm="1">
        <f t="array" aca="1" ref="AI2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2" s="20" t="e" cm="1">
        <f t="array" aca="1" ref="AJ2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2" s="166" cm="1">
        <f t="array" aca="1" ref="AK22" ca="1">((E_modulus_Prim/40114)^-0.25)*((Subgrade_stiffness_Prim/35)^-0.25)*((Surface_thickness_Prim/0.22)^-0.75)*Area_trans*delflec_switch*SUM((INDEX(PVI_vehicle_EFC,1,1)/INDEX(PVI_fuel_energy_density,1,1))*(INDEX(Indicators,MATCH('Additional Impact Indicators'!$A22,Materials!$D:$D,0),MATCH("diesel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Indicators'!$A22,Materials!$D:$D,0),MATCH("petrol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Indicators'!$A22,Materials!$D:$D,0),MATCH("diesel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Indicators'!$A22,Materials!$D:$D,0),MATCH("petrol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Indicators'!$A22,Materials!$D:$D,0),MATCH("bio-diesel combustion",Materials!$1:$1,0))*((1-enviro_disc)^Handle_years)*Handle_electricity_emissions:OFFSET(Handle_electricity_emissions,0,Results_timespan-1)^0)*OFFSET(Handle_traffic_fleet,6,0):OFFSET(Handle_traffic_fleet,6,Results_timespan-1))</f>
        <v>0</v>
      </c>
      <c r="AL22" s="166" cm="1">
        <f t="array" aca="1" ref="AL2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2" s="247" cm="1">
        <f t="array" aca="1" ref="AM22" ca="1">(SUMPRODUCT(Delay_emissions_table[Consumption of Diesel (kg) - Primary Scenario],IF(Delay_emissions_table[Form of Maintenance - Primary Scenario]="Life Extension",1,0))*INDEX(Indicators,MATCH('Additional Impact Indicators'!$A22,Materials!$D:$D,0),MATCH("diesel combustion",Materials!$1:$1,0))+SUMPRODUCT(Delay_emissions_table[Consumption of Petrol (kg) - Primary Scenario],IF(Delay_emissions_table[Form of Maintenance - Primary Scenario]="Life Extension",1,0))*INDEX(Indicators,MATCH('Additional Impact Indicators'!$A22,Materials!$D:$D,0),MATCH("petrol combustion",Materials!$1:$1,0))+IFERROR(SUMPRODUCT(TRANSPOSE(INDEX(elec_project_emissions,MATCH(Elec_scenario&amp;'Additional Impact Indicators'!$B22,INDEX(Electricity_projection,0,3),0)-1,0)),Delay_emissions_table[Consumption of electricity (MJ) - Primary Scenario],IF(Delay_emissions_table[Form of Maintenance - Primary Scenario]="Life Extension",1,0)),0))*Area_trans*Time_adj_Prim</f>
        <v>0</v>
      </c>
      <c r="AN22" s="247" cm="1">
        <f t="array" aca="1" ref="AN22" ca="1">(SUMPRODUCT(Delay_emissions_table[Consumption of Diesel (kg) - Primary Scenario],IF(Delay_emissions_table[Form of Maintenance - Primary Scenario]="Replacement",1,0))*INDEX(Indicators,MATCH('Additional Impact Indicators'!$A22,Materials!$D:$D,0),MATCH("diesel combustion",Materials!$1:$1,0))+SUMPRODUCT(Delay_emissions_table[Consumption of Petrol (kg) - Primary Scenario],IF(Delay_emissions_table[Form of Maintenance - Primary Scenario]="Replacement",1,0))*INDEX(Indicators,MATCH('Additional Impact Indicators'!$A22,Materials!$D:$D,0),MATCH("petrol combustion",Materials!$1:$1,0))+IFERROR(SUMPRODUCT(TRANSPOSE(INDEX(elec_project_emissions,MATCH(Elec_scenario&amp;'Additional Impact Indicators'!$B22,INDEX(Electricity_projection,0,3),0)-1,0)),Delay_emissions_table[Consumption of electricity (MJ) - Primary Scenario],IF(Delay_emissions_table[Form of Maintenance - Primary Scenario]="Replacement",1,0)),0))*Area_trans*Time_adj_Prim</f>
        <v>0</v>
      </c>
      <c r="AO22" s="248" t="e" cm="1">
        <f t="array" ref="AO2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2" s="248" t="e" cm="1">
        <f t="array" ref="AP2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2" s="249" t="e" cm="1">
        <f t="array" ref="AQ2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2" s="386" t="e" cm="1">
        <f t="array" ref="AR2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2" t="e">
        <f ca="1">SUMIF('Additional Impact Indicators'!$G22:$AQ22,"&lt;&gt;#N/A")</f>
        <v>#DIV/0!</v>
      </c>
      <c r="AW22" t="s">
        <v>506</v>
      </c>
      <c r="AX22" t="s">
        <v>413</v>
      </c>
      <c r="AY22" t="str">
        <f t="shared" si="2"/>
        <v>A1</v>
      </c>
      <c r="AZ22" t="s">
        <v>485</v>
      </c>
      <c r="BB22">
        <f>MATCH(Table3[[#This Row],[Indicator]],Material_Impacts[Look up],0)</f>
        <v>66</v>
      </c>
      <c r="BC22" s="246" cm="1">
        <f t="array" aca="1" ref="BC2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2" s="166" cm="1">
        <f t="array" ref="BD2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2" s="166" t="e">
        <f>Diesel_RawM_Sec*INDEX(Indicators,MATCH(Impacts_Additional[[#This Row],[Indicator]],Materials!$D:$D,0),MATCH("Diesel Combustion",Materials!$1:$1,0))*Diesel_density*Project_Area*Sec_Lays*Area_trans</f>
        <v>#DIV/0!</v>
      </c>
      <c r="BF22" s="35" t="e" cm="1">
        <f t="array" aca="1" ref="BF2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2" s="35" t="e" cm="1">
        <f t="array" aca="1" ref="BG2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2" t="e" cm="1">
        <f t="array" aca="1" ref="BH2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2" s="35" t="e" cm="1">
        <f t="array" aca="1" ref="BI2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2" s="35" t="e" cm="1">
        <f t="array" aca="1" ref="BJ2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2" t="e" cm="1">
        <f t="array" aca="1" ref="BK2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2" s="35" t="e" cm="1">
        <f t="array" aca="1" ref="BL2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2" s="35" t="e" cm="1">
        <f t="array" aca="1" ref="BM2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2" t="e" cm="1">
        <f t="array" aca="1" ref="BN2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2" s="35" t="e" cm="1">
        <f t="array" aca="1" ref="BO2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2" s="35" t="e" cm="1">
        <f t="array" aca="1" ref="BP2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2" t="e" cm="1">
        <f t="array" aca="1" ref="BQ2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2" s="35" t="e" cm="1">
        <f t="array" aca="1" ref="BR2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2" s="35" t="e" cm="1">
        <f t="array" aca="1" ref="BS2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2" t="e" cm="1">
        <f t="array" aca="1" ref="BT2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2" s="35" t="e" cm="1">
        <f t="array" aca="1" ref="BU2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2" s="35" t="e" cm="1">
        <f t="array" aca="1" ref="BV2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2" t="e" cm="1">
        <f t="array" aca="1" ref="BW2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2" s="35" t="e" cm="1">
        <f t="array" aca="1" ref="BX2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2" s="35" t="e" cm="1">
        <f t="array" aca="1" ref="BY2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2" t="e" cm="1">
        <f t="array" aca="1" ref="BZ2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2" s="35" t="e" cm="1">
        <f t="array" aca="1" ref="CA2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2" s="35" t="e" cm="1">
        <f t="array" aca="1" ref="CB2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2" t="e" cm="1">
        <f t="array" aca="1" ref="CC2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2" s="35" t="e" cm="1">
        <f t="array" aca="1" ref="CD2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2" s="35" t="e" cm="1">
        <f t="array" aca="1" ref="CE2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2" t="e" cm="1">
        <f t="array" aca="1" ref="CF2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2" s="166" cm="1">
        <f t="array" aca="1" ref="CG22" ca="1">((E_modulus_Sec/40114)^-0.25)*((Subgrade_stiffness_Sec/35)^-0.25)*((Surface_thickness_Sec/0.22)^-0.75)*Area_trans*delflec_switch*SUM((INDEX(PVI_vehicle_EFC,1,1)/INDEX(PVI_fuel_energy_density,1,1))*(INDEX(Indicators,MATCH('Additional Impact Indicators'!$A22,Materials!$D:$D,0),MATCH("diesel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Indicators'!$A22,Materials!$D:$D,0),MATCH("petrol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Indicators'!$A22,Materials!$D:$D,0),MATCH("diesel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Indicators'!$A22,Materials!$D:$D,0),MATCH("petrol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Indicators'!$A22,Materials!$D:$D,0),MATCH("bio-diesel combustion",Materials!$1:$1,0))*((1-enviro_disc)^Handle_years)*Handle_electricity_emissions:OFFSET(Handle_electricity_emissions,0,Results_timespan-1)^0)*OFFSET(Handle_traffic_fleet,6,0):OFFSET(Handle_traffic_fleet,6,Results_timespan-1))</f>
        <v>0</v>
      </c>
      <c r="CH22" s="375" cm="1">
        <f t="array" aca="1" ref="CH2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2" s="247" cm="1">
        <f t="array" aca="1" ref="CI22" ca="1">(SUMPRODUCT(Delay_emissions_table[Consumption of Diesel (kg) - Secondary Scenario],IF(Delay_emissions_table[Form of Maintenance - Secondary Scenario]="Life Extension",1,0))*INDEX(Indicators,MATCH('Additional Impact Indicators'!$A22,Materials!$D:$D,0),MATCH("diesel combustion",Materials!$1:$1,0))+SUMPRODUCT(Delay_emissions_table[Consumption of Petrol (kg) - Secondary Scenario],IF(Delay_emissions_table[Form of Maintenance - Secondary Scenario]="Life Extension",1,0))*INDEX(Indicators,MATCH('Additional Impact Indicators'!$A22,Materials!$D:$D,0),MATCH("petrol combustion",Materials!$1:$1,0))+IFERROR(SUMPRODUCT(TRANSPOSE(INDEX(elec_project_emissions,MATCH(Elec_scenario&amp;'Additional Impact Indicators'!$B22,INDEX(Electricity_projection,0,3),0)-1,0)),Delay_emissions_table[Consumption of electricity (MJ) - Secondary Scenario],IF(Delay_emissions_table[Form of Maintenance - Secondary Scenario]="Life Extension",1,0)),0))*Area_trans*time_adj_Sec</f>
        <v>0</v>
      </c>
      <c r="CJ22" s="247" cm="1">
        <f t="array" aca="1" ref="CJ22" ca="1">(SUMPRODUCT(Delay_emissions_table[Consumption of Diesel (kg) - Secondary Scenario],IF(Delay_emissions_table[Form of Maintenance - Secondary Scenario]="Replacement",1,0))*INDEX(Indicators,MATCH('Additional Impact Indicators'!$A22,Materials!$D:$D,0),MATCH("diesel combustion",Materials!$1:$1,0))+SUMPRODUCT(Delay_emissions_table[Consumption of Petrol (kg) - Secondary Scenario],IF(Delay_emissions_table[Form of Maintenance - Secondary Scenario]="Replacement",1,0))*INDEX(Indicators,MATCH('Additional Impact Indicators'!$A22,Materials!$D:$D,0),MATCH("petrol combustion",Materials!$1:$1,0))+IFERROR(SUMPRODUCT(TRANSPOSE(INDEX(elec_project_emissions,MATCH(Elec_scenario&amp;'Additional Impact Indicators'!$B22,INDEX(Electricity_projection,0,3),0)-1,0)),Delay_emissions_table[Consumption of electricity (MJ) - Secondary Scenario],IF(Delay_emissions_table[Form of Maintenance - Secondary Scenario]="Replacement",1,0)),0))*Area_trans*time_adj_Sec</f>
        <v>0</v>
      </c>
      <c r="CK22" s="248" t="e" cm="1">
        <f t="array" ref="CK2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2" s="248" t="e" cm="1">
        <f t="array" ref="CL2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2" s="249" t="e" cm="1">
        <f t="array" ref="CM2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2" s="387" t="e" cm="1">
        <f t="array" ref="CN2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2" s="51" t="e">
        <f ca="1">SUMIF(Table3[[#This Row],[Raw-Materials]:[Transport to recycling facility]],"&lt;&gt;#N/A")</f>
        <v>#DIV/0!</v>
      </c>
      <c r="CT22" t="s">
        <v>506</v>
      </c>
      <c r="CU22" t="s">
        <v>413</v>
      </c>
      <c r="CV22" t="str">
        <f t="shared" si="3"/>
        <v>A1</v>
      </c>
      <c r="CW22" t="s">
        <v>485</v>
      </c>
      <c r="CY22">
        <f>MATCH(Table611[[#This Row],[Indicator]],Material_Impacts[Look up],0)</f>
        <v>66</v>
      </c>
      <c r="CZ22" s="246" cm="1">
        <f t="array" aca="1" ref="CZ2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2" s="166" cm="1">
        <f t="array" ref="DA2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2" s="166" t="e">
        <f>Diesel_RawM_Tert*INDEX(Indicators,MATCH(Impacts_Additional[[#This Row],[Indicator]],Materials!$D:$D,0),MATCH("Diesel Combustion",Materials!$1:$1,0))*Diesel_density*Project_Area*Tert_Lays*Area_trans</f>
        <v>#DIV/0!</v>
      </c>
      <c r="DC22" s="35" t="e" cm="1">
        <f t="array" aca="1" ref="DC2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2" s="35" t="e" cm="1">
        <f t="array" aca="1" ref="DD2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2" t="e" cm="1">
        <f t="array" aca="1" ref="DE2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2" s="35" t="e" cm="1">
        <f t="array" aca="1" ref="DF2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2" s="35" t="e" cm="1">
        <f t="array" aca="1" ref="DG2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2" t="e" cm="1">
        <f t="array" aca="1" ref="DH2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2" s="35" t="e" cm="1">
        <f t="array" aca="1" ref="DI2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2" s="35" t="e" cm="1">
        <f t="array" aca="1" ref="DJ2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2" t="e" cm="1">
        <f t="array" aca="1" ref="DK2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2" s="35" t="e" cm="1">
        <f t="array" aca="1" ref="DL2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2" s="35" t="e" cm="1">
        <f t="array" aca="1" ref="DM2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2" t="e" cm="1">
        <f t="array" aca="1" ref="DN2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2" s="35" t="e" cm="1">
        <f t="array" aca="1" ref="DO2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2" s="35" t="e" cm="1">
        <f t="array" aca="1" ref="DP2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2" t="e" cm="1">
        <f t="array" aca="1" ref="DQ2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2" s="35" t="e" cm="1">
        <f t="array" aca="1" ref="DR2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2" s="35" t="e" cm="1">
        <f t="array" aca="1" ref="DS2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2" t="e" cm="1">
        <f t="array" aca="1" ref="DT2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2" s="35" t="e" cm="1">
        <f t="array" aca="1" ref="DU2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2" s="35" t="e" cm="1">
        <f t="array" aca="1" ref="DV2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2" t="e" cm="1">
        <f t="array" aca="1" ref="DW2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2" s="35" t="e" cm="1">
        <f t="array" aca="1" ref="DX2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2" s="35" t="e" cm="1">
        <f t="array" aca="1" ref="DY2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2" t="e" cm="1">
        <f t="array" aca="1" ref="DZ2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2" s="35" t="e" cm="1">
        <f t="array" aca="1" ref="EA2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2" s="35" t="e" cm="1">
        <f t="array" aca="1" ref="EB2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2" t="e" cm="1">
        <f t="array" aca="1" ref="EC2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2" s="166" cm="1">
        <f t="array" aca="1" ref="ED22" ca="1">((E_modulus_Tert/40114)^-0.25)*((Subgrade_stiffness_Tert/35)^-0.25)*((Surface_thickness_Tert/0.22)^-0.75)*Area_trans*delflec_switch*SUM((INDEX(PVI_vehicle_EFC,1,1)/INDEX(PVI_fuel_energy_density,1,1))*(INDEX(Indicators,MATCH('Additional Impact Indicators'!$A22,Materials!$D:$D,0),MATCH("diesel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Indicators'!$A22,Materials!$D:$D,0),MATCH("petrol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Indicators'!$A22,Materials!$D:$D,0),MATCH("diesel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Indicators'!$A22,Materials!$D:$D,0),MATCH("petrol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Indicators'!$A22,Materials!$D:$D,0),MATCH("bio-diesel combustion",Materials!$1:$1,0))*((1-enviro_disc)^Handle_years)*Handle_electricity_emissions:OFFSET(Handle_electricity_emissions,0,Results_timespan-1)^0)*OFFSET(Handle_traffic_fleet,6,0):OFFSET(Handle_traffic_fleet,6,Results_timespan-1))</f>
        <v>0</v>
      </c>
      <c r="EE22" s="375" cm="1">
        <f t="array" aca="1" ref="EE2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2" s="247" cm="1">
        <f t="array" aca="1" ref="EF22" ca="1">(SUMPRODUCT(Delay_emissions_table[Consumption of Diesel (kg) - Tertiary Scenario],IF(Delay_emissions_table[Form of Maintenance - Tertiary Scenario]="Life Extension",1,0))*INDEX(Indicators,MATCH('Additional Impact Indicators'!$A22,Materials!$D:$D,0),MATCH("diesel combustion",Materials!$1:$1,0))+SUMPRODUCT(Delay_emissions_table[Consumption of Petrol (kg) - Tertiary Scenario],IF(Delay_emissions_table[Form of Maintenance - Tertiary Scenario]="Life Extension",1,0))*INDEX(Indicators,MATCH('Additional Impact Indicators'!$A22,Materials!$D:$D,0),MATCH("petrol combustion",Materials!$1:$1,0))+IFERROR(SUMPRODUCT(TRANSPOSE(INDEX(elec_project_emissions,MATCH(Elec_scenario&amp;'Additional Impact Indicators'!$B22,INDEX(Electricity_projection,0,3),0)-1,0)),Delay_emissions_table[Consumption of electricity (MJ) - Tertiary Scenario],IF(Delay_emissions_table[Form of Maintenance - Tertiary Scenario]="Life Extension",1,0)),0))*Area_trans*Time_adj_Tert</f>
        <v>0</v>
      </c>
      <c r="EG22" s="247" cm="1">
        <f t="array" aca="1" ref="EG22" ca="1">(SUMPRODUCT(Delay_emissions_table[Consumption of Diesel (kg) - Tertiary Scenario],IF(Delay_emissions_table[Form of Maintenance - Tertiary Scenario]="Replacement",1,0))*INDEX(Indicators,MATCH('Additional Impact Indicators'!$A22,Materials!$D:$D,0),MATCH("diesel combustion",Materials!$1:$1,0))+SUMPRODUCT(Delay_emissions_table[Consumption of Petrol (kg) - Tertiary Scenario],IF(Delay_emissions_table[Form of Maintenance - Tertiary Scenario]="Replacement",1,0))*INDEX(Indicators,MATCH('Additional Impact Indicators'!$A22,Materials!$D:$D,0),MATCH("petrol combustion",Materials!$1:$1,0))+IFERROR(SUMPRODUCT(TRANSPOSE(INDEX(elec_project_emissions,MATCH(Elec_scenario&amp;'Additional Impact Indicators'!$B22,INDEX(Electricity_projection,0,3),0)-1,0)),Delay_emissions_table[Consumption of electricity (MJ) - Tertiary Scenario],IF(Delay_emissions_table[Form of Maintenance - Tertiary Scenario]="Replacement",1,0)),0))*Area_trans*Time_adj_Tert</f>
        <v>0</v>
      </c>
      <c r="EH22" s="248" t="e" cm="1">
        <f t="array" ref="EH2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2" s="248" t="e" cm="1">
        <f t="array" ref="EI2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2" s="249" t="e" cm="1">
        <f t="array" ref="EJ2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2" s="249" t="e" cm="1">
        <f t="array" ref="EK2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2" t="e">
        <f ca="1">SUMIF(Table611[[#This Row],[Raw-Materials]:[Transport to recycling facility]],"&lt;&gt;#N/A")</f>
        <v>#DIV/0!</v>
      </c>
    </row>
    <row r="23" spans="1:142" x14ac:dyDescent="0.35">
      <c r="A23" s="155" t="s">
        <v>507</v>
      </c>
      <c r="B23" s="155" t="s">
        <v>508</v>
      </c>
      <c r="C23" s="155" t="str">
        <f t="shared" si="1"/>
        <v>A1</v>
      </c>
      <c r="D23" s="155" t="s">
        <v>485</v>
      </c>
      <c r="E23" s="155"/>
      <c r="F23">
        <f>MATCH(Impacts_Additional[[#This Row],[Indicator]],Material_Impacts[Look up],0)</f>
        <v>67</v>
      </c>
      <c r="G23" s="246" cm="1">
        <f t="array" aca="1" ref="G2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3" s="165" cm="1">
        <f t="array" ref="H2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3" s="165" t="e">
        <f>Diesel_RawM_Prim*INDEX(Indicators,MATCH(Impacts_Additional[[#This Row],[Indicator]],Materials!$D:$D,0),MATCH("Diesel Combustion",Materials!$1:$1,0))*Diesel_density*Project_Area*Prim_Lays*Area_trans</f>
        <v>#DIV/0!</v>
      </c>
      <c r="J23" s="250" t="e" cm="1">
        <f t="array" aca="1" ref="J2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3" s="250" t="e" cm="1">
        <f t="array" aca="1" ref="K2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3" s="250" t="e" cm="1">
        <f t="array" aca="1" ref="L2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3" s="250" t="e" cm="1">
        <f t="array" aca="1" ref="M2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3" s="250" t="e" cm="1">
        <f t="array" aca="1" ref="N2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3" s="250" t="e" cm="1">
        <f t="array" aca="1" ref="O2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3" s="250" t="e" cm="1">
        <f t="array" aca="1" ref="P2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3" s="250" t="e" cm="1">
        <f t="array" aca="1" ref="Q2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3" s="250" t="e" cm="1">
        <f t="array" aca="1" ref="R2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3" s="250" t="e" cm="1">
        <f t="array" aca="1" ref="S2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3" s="250" t="e" cm="1">
        <f t="array" aca="1" ref="T2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3" s="250" t="e" cm="1">
        <f t="array" aca="1" ref="U2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3" s="250" t="e" cm="1">
        <f t="array" aca="1" ref="V2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3" s="250" t="e" cm="1">
        <f t="array" aca="1" ref="W2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3" s="250" t="e" cm="1">
        <f t="array" aca="1" ref="X2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3" s="250" t="e" cm="1">
        <f t="array" aca="1" ref="Y2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3" s="250" t="e" cm="1">
        <f t="array" aca="1" ref="Z2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3" s="250" t="e" cm="1">
        <f t="array" aca="1" ref="AA2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3" s="250" t="e" cm="1">
        <f t="array" aca="1" ref="AB2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3" s="250" t="e" cm="1">
        <f t="array" aca="1" ref="AC2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3" s="250" t="e" cm="1">
        <f t="array" aca="1" ref="AD2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3" s="250" t="e" cm="1">
        <f t="array" aca="1" ref="AE2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3" s="250" t="e" cm="1">
        <f t="array" aca="1" ref="AF2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3" s="250" t="e" cm="1">
        <f t="array" aca="1" ref="AG2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3" s="250" t="e" cm="1">
        <f t="array" aca="1" ref="AH2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3" s="250" t="e" cm="1">
        <f t="array" aca="1" ref="AI2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3" s="250" t="e" cm="1">
        <f t="array" aca="1" ref="AJ2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3" s="165" cm="1">
        <f t="array" aca="1" ref="AK23" ca="1">((E_modulus_Prim/40114)^-0.25)*((Subgrade_stiffness_Prim/35)^-0.25)*((Surface_thickness_Prim/0.22)^-0.75)*Area_trans*delflec_switch*SUM((INDEX(PVI_vehicle_EFC,1,1)/INDEX(PVI_fuel_energy_density,1,1))*(INDEX(Indicators,MATCH('Additional Impact Indicators'!$A23,Materials!$D:$D,0),MATCH("diesel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Indicators'!$A23,Materials!$D:$D,0),MATCH("petrol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Indicators'!$A23,Materials!$D:$D,0),MATCH("diesel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Indicators'!$A23,Materials!$D:$D,0),MATCH("petrol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Indicators'!$A23,Materials!$D:$D,0),MATCH("bio-diesel combustion",Materials!$1:$1,0))*((1-enviro_disc)^Handle_years)*Handle_electricity_emissions:OFFSET(Handle_electricity_emissions,0,Results_timespan-1)^0)*OFFSET(Handle_traffic_fleet,6,0):OFFSET(Handle_traffic_fleet,6,Results_timespan-1))</f>
        <v>0</v>
      </c>
      <c r="AL23" s="165" cm="1">
        <f t="array" aca="1" ref="AL2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3" s="251" cm="1">
        <f t="array" aca="1" ref="AM23" ca="1">(SUMPRODUCT(Delay_emissions_table[Consumption of Diesel (kg) - Primary Scenario],IF(Delay_emissions_table[Form of Maintenance - Primary Scenario]="Life Extension",1,0))*INDEX(Indicators,MATCH('Additional Impact Indicators'!$A23,Materials!$D:$D,0),MATCH("diesel combustion",Materials!$1:$1,0))+SUMPRODUCT(Delay_emissions_table[Consumption of Petrol (kg) - Primary Scenario],IF(Delay_emissions_table[Form of Maintenance - Primary Scenario]="Life Extension",1,0))*INDEX(Indicators,MATCH('Additional Impact Indicators'!$A23,Materials!$D:$D,0),MATCH("petrol combustion",Materials!$1:$1,0))+IFERROR(SUMPRODUCT(TRANSPOSE(INDEX(elec_project_emissions,MATCH(Elec_scenario&amp;'Additional Impact Indicators'!$B23,INDEX(Electricity_projection,0,3),0)-1,0)),Delay_emissions_table[Consumption of electricity (MJ) - Primary Scenario],IF(Delay_emissions_table[Form of Maintenance - Primary Scenario]="Life Extension",1,0)),0))*Area_trans*Time_adj_Prim</f>
        <v>0</v>
      </c>
      <c r="AN23" s="251" cm="1">
        <f t="array" aca="1" ref="AN23" ca="1">(SUMPRODUCT(Delay_emissions_table[Consumption of Diesel (kg) - Primary Scenario],IF(Delay_emissions_table[Form of Maintenance - Primary Scenario]="Replacement",1,0))*INDEX(Indicators,MATCH('Additional Impact Indicators'!$A23,Materials!$D:$D,0),MATCH("diesel combustion",Materials!$1:$1,0))+SUMPRODUCT(Delay_emissions_table[Consumption of Petrol (kg) - Primary Scenario],IF(Delay_emissions_table[Form of Maintenance - Primary Scenario]="Replacement",1,0))*INDEX(Indicators,MATCH('Additional Impact Indicators'!$A23,Materials!$D:$D,0),MATCH("petrol combustion",Materials!$1:$1,0))+IFERROR(SUMPRODUCT(TRANSPOSE(INDEX(elec_project_emissions,MATCH(Elec_scenario&amp;'Additional Impact Indicators'!$B23,INDEX(Electricity_projection,0,3),0)-1,0)),Delay_emissions_table[Consumption of electricity (MJ) - Primary Scenario],IF(Delay_emissions_table[Form of Maintenance - Primary Scenario]="Replacement",1,0)),0))*Area_trans*Time_adj_Prim</f>
        <v>0</v>
      </c>
      <c r="AO23" s="252" t="e" cm="1">
        <f t="array" ref="AO2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3" s="252" t="e" cm="1">
        <f t="array" ref="AP2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3" s="253" t="e" cm="1">
        <f t="array" ref="AQ2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3" s="385" t="e" cm="1">
        <f t="array" ref="AR2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3" t="e">
        <f ca="1">SUMIF('Additional Impact Indicators'!$G23:$AQ23,"&lt;&gt;#N/A")</f>
        <v>#DIV/0!</v>
      </c>
      <c r="AW23" s="155" t="s">
        <v>507</v>
      </c>
      <c r="AX23" s="155" t="s">
        <v>508</v>
      </c>
      <c r="AY23" s="155" t="str">
        <f t="shared" si="2"/>
        <v>A1</v>
      </c>
      <c r="AZ23" s="155" t="s">
        <v>485</v>
      </c>
      <c r="BA23" s="155"/>
      <c r="BB23" s="155">
        <f>MATCH(Table3[[#This Row],[Indicator]],Material_Impacts[Look up],0)</f>
        <v>67</v>
      </c>
      <c r="BC23" s="246" cm="1">
        <f t="array" aca="1" ref="BC2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3" s="165" cm="1">
        <f t="array" ref="BD2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3" s="165" t="e">
        <f>Diesel_RawM_Sec*INDEX(Indicators,MATCH(Impacts_Additional[[#This Row],[Indicator]],Materials!$D:$D,0),MATCH("Diesel Combustion",Materials!$1:$1,0))*Diesel_density*Project_Area*Sec_Lays*Area_trans</f>
        <v>#DIV/0!</v>
      </c>
      <c r="BF23" s="35" t="e" cm="1">
        <f t="array" aca="1" ref="BF2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3" s="35" t="e" cm="1">
        <f t="array" aca="1" ref="BG2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3" t="e" cm="1">
        <f t="array" aca="1" ref="BH2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3" s="35" t="e" cm="1">
        <f t="array" aca="1" ref="BI2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3" s="35" t="e" cm="1">
        <f t="array" aca="1" ref="BJ2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3" t="e" cm="1">
        <f t="array" aca="1" ref="BK2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3" s="35" t="e" cm="1">
        <f t="array" aca="1" ref="BL2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3" s="35" t="e" cm="1">
        <f t="array" aca="1" ref="BM2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3" t="e" cm="1">
        <f t="array" aca="1" ref="BN2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3" s="35" t="e" cm="1">
        <f t="array" aca="1" ref="BO2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3" s="35" t="e" cm="1">
        <f t="array" aca="1" ref="BP2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3" t="e" cm="1">
        <f t="array" aca="1" ref="BQ2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3" s="35" t="e" cm="1">
        <f t="array" aca="1" ref="BR2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3" s="35" t="e" cm="1">
        <f t="array" aca="1" ref="BS2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3" t="e" cm="1">
        <f t="array" aca="1" ref="BT2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3" s="35" t="e" cm="1">
        <f t="array" aca="1" ref="BU2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3" s="35" t="e" cm="1">
        <f t="array" aca="1" ref="BV2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3" t="e" cm="1">
        <f t="array" aca="1" ref="BW2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3" s="35" t="e" cm="1">
        <f t="array" aca="1" ref="BX2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3" s="35" t="e" cm="1">
        <f t="array" aca="1" ref="BY2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3" t="e" cm="1">
        <f t="array" aca="1" ref="BZ2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3" s="35" t="e" cm="1">
        <f t="array" aca="1" ref="CA2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3" s="35" t="e" cm="1">
        <f t="array" aca="1" ref="CB2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3" t="e" cm="1">
        <f t="array" aca="1" ref="CC2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3" s="35" t="e" cm="1">
        <f t="array" aca="1" ref="CD2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3" s="35" t="e" cm="1">
        <f t="array" aca="1" ref="CE2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3" t="e" cm="1">
        <f t="array" aca="1" ref="CF2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3" s="165" cm="1">
        <f t="array" aca="1" ref="CG23" ca="1">((E_modulus_Sec/40114)^-0.25)*((Subgrade_stiffness_Sec/35)^-0.25)*((Surface_thickness_Sec/0.22)^-0.75)*Area_trans*delflec_switch*SUM((INDEX(PVI_vehicle_EFC,1,1)/INDEX(PVI_fuel_energy_density,1,1))*(INDEX(Indicators,MATCH('Additional Impact Indicators'!$A23,Materials!$D:$D,0),MATCH("diesel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Indicators'!$A23,Materials!$D:$D,0),MATCH("petrol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Indicators'!$A23,Materials!$D:$D,0),MATCH("diesel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Indicators'!$A23,Materials!$D:$D,0),MATCH("petrol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Indicators'!$A23,Materials!$D:$D,0),MATCH("bio-diesel combustion",Materials!$1:$1,0))*((1-enviro_disc)^Handle_years)*Handle_electricity_emissions:OFFSET(Handle_electricity_emissions,0,Results_timespan-1)^0)*OFFSET(Handle_traffic_fleet,6,0):OFFSET(Handle_traffic_fleet,6,Results_timespan-1))</f>
        <v>0</v>
      </c>
      <c r="CH23" s="375" cm="1">
        <f t="array" aca="1" ref="CH2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3" s="251" cm="1">
        <f t="array" aca="1" ref="CI23" ca="1">(SUMPRODUCT(Delay_emissions_table[Consumption of Diesel (kg) - Secondary Scenario],IF(Delay_emissions_table[Form of Maintenance - Secondary Scenario]="Life Extension",1,0))*INDEX(Indicators,MATCH('Additional Impact Indicators'!$A23,Materials!$D:$D,0),MATCH("diesel combustion",Materials!$1:$1,0))+SUMPRODUCT(Delay_emissions_table[Consumption of Petrol (kg) - Secondary Scenario],IF(Delay_emissions_table[Form of Maintenance - Secondary Scenario]="Life Extension",1,0))*INDEX(Indicators,MATCH('Additional Impact Indicators'!$A23,Materials!$D:$D,0),MATCH("petrol combustion",Materials!$1:$1,0))+IFERROR(SUMPRODUCT(TRANSPOSE(INDEX(elec_project_emissions,MATCH(Elec_scenario&amp;'Additional Impact Indicators'!$B23,INDEX(Electricity_projection,0,3),0)-1,0)),Delay_emissions_table[Consumption of electricity (MJ) - Secondary Scenario],IF(Delay_emissions_table[Form of Maintenance - Secondary Scenario]="Life Extension",1,0)),0))*Area_trans*time_adj_Sec</f>
        <v>0</v>
      </c>
      <c r="CJ23" s="251" cm="1">
        <f t="array" aca="1" ref="CJ23" ca="1">(SUMPRODUCT(Delay_emissions_table[Consumption of Diesel (kg) - Secondary Scenario],IF(Delay_emissions_table[Form of Maintenance - Secondary Scenario]="Replacement",1,0))*INDEX(Indicators,MATCH('Additional Impact Indicators'!$A23,Materials!$D:$D,0),MATCH("diesel combustion",Materials!$1:$1,0))+SUMPRODUCT(Delay_emissions_table[Consumption of Petrol (kg) - Secondary Scenario],IF(Delay_emissions_table[Form of Maintenance - Secondary Scenario]="Replacement",1,0))*INDEX(Indicators,MATCH('Additional Impact Indicators'!$A23,Materials!$D:$D,0),MATCH("petrol combustion",Materials!$1:$1,0))+IFERROR(SUMPRODUCT(TRANSPOSE(INDEX(elec_project_emissions,MATCH(Elec_scenario&amp;'Additional Impact Indicators'!$B23,INDEX(Electricity_projection,0,3),0)-1,0)),Delay_emissions_table[Consumption of electricity (MJ) - Secondary Scenario],IF(Delay_emissions_table[Form of Maintenance - Secondary Scenario]="Replacement",1,0)),0))*Area_trans*time_adj_Sec</f>
        <v>0</v>
      </c>
      <c r="CK23" s="252" t="e" cm="1">
        <f t="array" ref="CK2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3" s="252" t="e" cm="1">
        <f t="array" ref="CL2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3" s="253" t="e" cm="1">
        <f t="array" ref="CM2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3" s="387" t="e" cm="1">
        <f t="array" ref="CN2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3" s="51" t="e">
        <f ca="1">SUMIF(Table3[[#This Row],[Raw-Materials]:[Transport to recycling facility]],"&lt;&gt;#N/A")</f>
        <v>#DIV/0!</v>
      </c>
      <c r="CT23" t="s">
        <v>507</v>
      </c>
      <c r="CU23" t="s">
        <v>508</v>
      </c>
      <c r="CV23" t="str">
        <f t="shared" si="3"/>
        <v>A1</v>
      </c>
      <c r="CW23" t="s">
        <v>485</v>
      </c>
      <c r="CY23">
        <f>MATCH(Table611[[#This Row],[Indicator]],Material_Impacts[Look up],0)</f>
        <v>67</v>
      </c>
      <c r="CZ23" s="246" cm="1">
        <f t="array" aca="1" ref="CZ2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3" s="165" cm="1">
        <f t="array" ref="DA2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3" s="165" t="e">
        <f>Diesel_RawM_Tert*INDEX(Indicators,MATCH(Impacts_Additional[[#This Row],[Indicator]],Materials!$D:$D,0),MATCH("Diesel Combustion",Materials!$1:$1,0))*Diesel_density*Project_Area*Tert_Lays*Area_trans</f>
        <v>#DIV/0!</v>
      </c>
      <c r="DC23" s="35" t="e" cm="1">
        <f t="array" aca="1" ref="DC2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3" s="35" t="e" cm="1">
        <f t="array" aca="1" ref="DD2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3" t="e" cm="1">
        <f t="array" aca="1" ref="DE2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3" s="35" t="e" cm="1">
        <f t="array" aca="1" ref="DF2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3" s="35" t="e" cm="1">
        <f t="array" aca="1" ref="DG2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3" t="e" cm="1">
        <f t="array" aca="1" ref="DH2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3" s="35" t="e" cm="1">
        <f t="array" aca="1" ref="DI2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3" s="35" t="e" cm="1">
        <f t="array" aca="1" ref="DJ2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3" t="e" cm="1">
        <f t="array" aca="1" ref="DK2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3" s="35" t="e" cm="1">
        <f t="array" aca="1" ref="DL2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3" s="35" t="e" cm="1">
        <f t="array" aca="1" ref="DM2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3" t="e" cm="1">
        <f t="array" aca="1" ref="DN2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3" s="35" t="e" cm="1">
        <f t="array" aca="1" ref="DO2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3" s="35" t="e" cm="1">
        <f t="array" aca="1" ref="DP2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3" t="e" cm="1">
        <f t="array" aca="1" ref="DQ2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3" s="35" t="e" cm="1">
        <f t="array" aca="1" ref="DR2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3" s="35" t="e" cm="1">
        <f t="array" aca="1" ref="DS2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3" t="e" cm="1">
        <f t="array" aca="1" ref="DT2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3" s="35" t="e" cm="1">
        <f t="array" aca="1" ref="DU2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3" s="35" t="e" cm="1">
        <f t="array" aca="1" ref="DV2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3" t="e" cm="1">
        <f t="array" aca="1" ref="DW2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3" s="35" t="e" cm="1">
        <f t="array" aca="1" ref="DX2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3" s="35" t="e" cm="1">
        <f t="array" aca="1" ref="DY2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3" t="e" cm="1">
        <f t="array" aca="1" ref="DZ2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3" s="35" t="e" cm="1">
        <f t="array" aca="1" ref="EA2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3" s="35" t="e" cm="1">
        <f t="array" aca="1" ref="EB2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3" t="e" cm="1">
        <f t="array" aca="1" ref="EC2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3" s="165" cm="1">
        <f t="array" aca="1" ref="ED23" ca="1">((E_modulus_Tert/40114)^-0.25)*((Subgrade_stiffness_Tert/35)^-0.25)*((Surface_thickness_Tert/0.22)^-0.75)*Area_trans*delflec_switch*SUM((INDEX(PVI_vehicle_EFC,1,1)/INDEX(PVI_fuel_energy_density,1,1))*(INDEX(Indicators,MATCH('Additional Impact Indicators'!$A23,Materials!$D:$D,0),MATCH("diesel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Indicators'!$A23,Materials!$D:$D,0),MATCH("petrol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Indicators'!$A23,Materials!$D:$D,0),MATCH("diesel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Indicators'!$A23,Materials!$D:$D,0),MATCH("petrol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Indicators'!$A23,Materials!$D:$D,0),MATCH("bio-diesel combustion",Materials!$1:$1,0))*((1-enviro_disc)^Handle_years)*Handle_electricity_emissions:OFFSET(Handle_electricity_emissions,0,Results_timespan-1)^0)*OFFSET(Handle_traffic_fleet,6,0):OFFSET(Handle_traffic_fleet,6,Results_timespan-1))</f>
        <v>0</v>
      </c>
      <c r="EE23" s="375" cm="1">
        <f t="array" aca="1" ref="EE2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3" s="251" cm="1">
        <f t="array" aca="1" ref="EF23" ca="1">(SUMPRODUCT(Delay_emissions_table[Consumption of Diesel (kg) - Tertiary Scenario],IF(Delay_emissions_table[Form of Maintenance - Tertiary Scenario]="Life Extension",1,0))*INDEX(Indicators,MATCH('Additional Impact Indicators'!$A23,Materials!$D:$D,0),MATCH("diesel combustion",Materials!$1:$1,0))+SUMPRODUCT(Delay_emissions_table[Consumption of Petrol (kg) - Tertiary Scenario],IF(Delay_emissions_table[Form of Maintenance - Tertiary Scenario]="Life Extension",1,0))*INDEX(Indicators,MATCH('Additional Impact Indicators'!$A23,Materials!$D:$D,0),MATCH("petrol combustion",Materials!$1:$1,0))+IFERROR(SUMPRODUCT(TRANSPOSE(INDEX(elec_project_emissions,MATCH(Elec_scenario&amp;'Additional Impact Indicators'!$B23,INDEX(Electricity_projection,0,3),0)-1,0)),Delay_emissions_table[Consumption of electricity (MJ) - Tertiary Scenario],IF(Delay_emissions_table[Form of Maintenance - Tertiary Scenario]="Life Extension",1,0)),0))*Area_trans*Time_adj_Tert</f>
        <v>0</v>
      </c>
      <c r="EG23" s="251" cm="1">
        <f t="array" aca="1" ref="EG23" ca="1">(SUMPRODUCT(Delay_emissions_table[Consumption of Diesel (kg) - Tertiary Scenario],IF(Delay_emissions_table[Form of Maintenance - Tertiary Scenario]="Replacement",1,0))*INDEX(Indicators,MATCH('Additional Impact Indicators'!$A23,Materials!$D:$D,0),MATCH("diesel combustion",Materials!$1:$1,0))+SUMPRODUCT(Delay_emissions_table[Consumption of Petrol (kg) - Tertiary Scenario],IF(Delay_emissions_table[Form of Maintenance - Tertiary Scenario]="Replacement",1,0))*INDEX(Indicators,MATCH('Additional Impact Indicators'!$A23,Materials!$D:$D,0),MATCH("petrol combustion",Materials!$1:$1,0))+IFERROR(SUMPRODUCT(TRANSPOSE(INDEX(elec_project_emissions,MATCH(Elec_scenario&amp;'Additional Impact Indicators'!$B23,INDEX(Electricity_projection,0,3),0)-1,0)),Delay_emissions_table[Consumption of electricity (MJ) - Tertiary Scenario],IF(Delay_emissions_table[Form of Maintenance - Tertiary Scenario]="Replacement",1,0)),0))*Area_trans*Time_adj_Tert</f>
        <v>0</v>
      </c>
      <c r="EH23" s="252" t="e" cm="1">
        <f t="array" ref="EH2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3" s="252" t="e" cm="1">
        <f t="array" ref="EI2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3" s="253" t="e" cm="1">
        <f t="array" ref="EJ2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3" s="253" t="e" cm="1">
        <f t="array" ref="EK2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3" t="e">
        <f ca="1">SUMIF(Table611[[#This Row],[Raw-Materials]:[Transport to recycling facility]],"&lt;&gt;#N/A")</f>
        <v>#DIV/0!</v>
      </c>
    </row>
    <row r="24" spans="1:142" x14ac:dyDescent="0.35">
      <c r="A24" t="s">
        <v>509</v>
      </c>
      <c r="B24" t="s">
        <v>510</v>
      </c>
      <c r="C24" t="str">
        <f t="shared" si="1"/>
        <v>A1</v>
      </c>
      <c r="D24" t="s">
        <v>485</v>
      </c>
      <c r="F24">
        <f>MATCH(Impacts_Additional[[#This Row],[Indicator]],Material_Impacts[Look up],0)</f>
        <v>68</v>
      </c>
      <c r="G24" s="246" cm="1">
        <f t="array" aca="1" ref="G2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4" s="166" cm="1">
        <f t="array" ref="H2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4" s="166" t="e">
        <f>Diesel_RawM_Prim*INDEX(Indicators,MATCH(Impacts_Additional[[#This Row],[Indicator]],Materials!$D:$D,0),MATCH("Diesel Combustion",Materials!$1:$1,0))*Diesel_density*Project_Area*Prim_Lays*Area_trans</f>
        <v>#DIV/0!</v>
      </c>
      <c r="J24" s="20" t="e" cm="1">
        <f t="array" aca="1" ref="J2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4" s="20" t="e" cm="1">
        <f t="array" aca="1" ref="K2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4" s="20" t="e" cm="1">
        <f t="array" aca="1" ref="L2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4" s="20" t="e" cm="1">
        <f t="array" aca="1" ref="M2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4" s="20" t="e" cm="1">
        <f t="array" aca="1" ref="N2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4" s="20" t="e" cm="1">
        <f t="array" aca="1" ref="O2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4" s="20" t="e" cm="1">
        <f t="array" aca="1" ref="P2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4" s="20" t="e" cm="1">
        <f t="array" aca="1" ref="Q2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4" s="20" t="e" cm="1">
        <f t="array" aca="1" ref="R2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4" s="20" t="e" cm="1">
        <f t="array" aca="1" ref="S2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4" s="20" t="e" cm="1">
        <f t="array" aca="1" ref="T2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4" s="20" t="e" cm="1">
        <f t="array" aca="1" ref="U2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4" s="20" t="e" cm="1">
        <f t="array" aca="1" ref="V2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4" s="20" t="e" cm="1">
        <f t="array" aca="1" ref="W2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4" s="20" t="e" cm="1">
        <f t="array" aca="1" ref="X2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4" s="20" t="e" cm="1">
        <f t="array" aca="1" ref="Y2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4" s="20" t="e" cm="1">
        <f t="array" aca="1" ref="Z2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4" s="20" t="e" cm="1">
        <f t="array" aca="1" ref="AA2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4" s="20" t="e" cm="1">
        <f t="array" aca="1" ref="AB2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4" s="20" t="e" cm="1">
        <f t="array" aca="1" ref="AC2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4" s="20" t="e" cm="1">
        <f t="array" aca="1" ref="AD2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4" s="20" t="e" cm="1">
        <f t="array" aca="1" ref="AE2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4" s="20" t="e" cm="1">
        <f t="array" aca="1" ref="AF2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4" s="20" t="e" cm="1">
        <f t="array" aca="1" ref="AG2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4" s="20" t="e" cm="1">
        <f t="array" aca="1" ref="AH2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4" s="20" t="e" cm="1">
        <f t="array" aca="1" ref="AI2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4" s="20" t="e" cm="1">
        <f t="array" aca="1" ref="AJ2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4" s="166" cm="1">
        <f t="array" aca="1" ref="AK24" ca="1">((E_modulus_Prim/40114)^-0.25)*((Subgrade_stiffness_Prim/35)^-0.25)*((Surface_thickness_Prim/0.22)^-0.75)*Area_trans*delflec_switch*SUM((INDEX(PVI_vehicle_EFC,1,1)/INDEX(PVI_fuel_energy_density,1,1))*(INDEX(Indicators,MATCH('Additional Impact Indicators'!$A24,Materials!$D:$D,0),MATCH("diesel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Indicators'!$A24,Materials!$D:$D,0),MATCH("petrol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Indicators'!$A24,Materials!$D:$D,0),MATCH("diesel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Indicators'!$A24,Materials!$D:$D,0),MATCH("petrol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Indicators'!$A24,Materials!$D:$D,0),MATCH("bio-diesel combustion",Materials!$1:$1,0))*((1-enviro_disc)^Handle_years)*Handle_electricity_emissions:OFFSET(Handle_electricity_emissions,0,Results_timespan-1)^0)*OFFSET(Handle_traffic_fleet,6,0):OFFSET(Handle_traffic_fleet,6,Results_timespan-1))</f>
        <v>0</v>
      </c>
      <c r="AL24" s="166" cm="1">
        <f t="array" aca="1" ref="AL2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4" s="247" cm="1">
        <f t="array" aca="1" ref="AM24" ca="1">(SUMPRODUCT(Delay_emissions_table[Consumption of Diesel (kg) - Primary Scenario],IF(Delay_emissions_table[Form of Maintenance - Primary Scenario]="Life Extension",1,0))*INDEX(Indicators,MATCH('Additional Impact Indicators'!$A24,Materials!$D:$D,0),MATCH("diesel combustion",Materials!$1:$1,0))+SUMPRODUCT(Delay_emissions_table[Consumption of Petrol (kg) - Primary Scenario],IF(Delay_emissions_table[Form of Maintenance - Primary Scenario]="Life Extension",1,0))*INDEX(Indicators,MATCH('Additional Impact Indicators'!$A24,Materials!$D:$D,0),MATCH("petrol combustion",Materials!$1:$1,0))+IFERROR(SUMPRODUCT(TRANSPOSE(INDEX(elec_project_emissions,MATCH(Elec_scenario&amp;'Additional Impact Indicators'!$B24,INDEX(Electricity_projection,0,3),0)-1,0)),Delay_emissions_table[Consumption of electricity (MJ) - Primary Scenario],IF(Delay_emissions_table[Form of Maintenance - Primary Scenario]="Life Extension",1,0)),0))*Area_trans*Time_adj_Prim</f>
        <v>0</v>
      </c>
      <c r="AN24" s="247" cm="1">
        <f t="array" aca="1" ref="AN24" ca="1">(SUMPRODUCT(Delay_emissions_table[Consumption of Diesel (kg) - Primary Scenario],IF(Delay_emissions_table[Form of Maintenance - Primary Scenario]="Replacement",1,0))*INDEX(Indicators,MATCH('Additional Impact Indicators'!$A24,Materials!$D:$D,0),MATCH("diesel combustion",Materials!$1:$1,0))+SUMPRODUCT(Delay_emissions_table[Consumption of Petrol (kg) - Primary Scenario],IF(Delay_emissions_table[Form of Maintenance - Primary Scenario]="Replacement",1,0))*INDEX(Indicators,MATCH('Additional Impact Indicators'!$A24,Materials!$D:$D,0),MATCH("petrol combustion",Materials!$1:$1,0))+IFERROR(SUMPRODUCT(TRANSPOSE(INDEX(elec_project_emissions,MATCH(Elec_scenario&amp;'Additional Impact Indicators'!$B24,INDEX(Electricity_projection,0,3),0)-1,0)),Delay_emissions_table[Consumption of electricity (MJ) - Primary Scenario],IF(Delay_emissions_table[Form of Maintenance - Primary Scenario]="Replacement",1,0)),0))*Area_trans*Time_adj_Prim</f>
        <v>0</v>
      </c>
      <c r="AO24" s="248" t="e" cm="1">
        <f t="array" ref="AO2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4" s="248" t="e" cm="1">
        <f t="array" ref="AP2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4" s="249" t="e" cm="1">
        <f t="array" ref="AQ2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4" s="386" t="e" cm="1">
        <f t="array" ref="AR2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4" t="e">
        <f ca="1">SUMIF('Additional Impact Indicators'!$G24:$AQ24,"&lt;&gt;#N/A")</f>
        <v>#DIV/0!</v>
      </c>
      <c r="AW24" t="s">
        <v>509</v>
      </c>
      <c r="AX24" t="s">
        <v>510</v>
      </c>
      <c r="AY24" t="str">
        <f t="shared" si="2"/>
        <v>A1</v>
      </c>
      <c r="AZ24" t="s">
        <v>485</v>
      </c>
      <c r="BB24">
        <f>MATCH(Table3[[#This Row],[Indicator]],Material_Impacts[Look up],0)</f>
        <v>68</v>
      </c>
      <c r="BC24" s="246" cm="1">
        <f t="array" aca="1" ref="BC2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4" s="166" cm="1">
        <f t="array" ref="BD2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4" s="166" t="e">
        <f>Diesel_RawM_Sec*INDEX(Indicators,MATCH(Impacts_Additional[[#This Row],[Indicator]],Materials!$D:$D,0),MATCH("Diesel Combustion",Materials!$1:$1,0))*Diesel_density*Project_Area*Sec_Lays*Area_trans</f>
        <v>#DIV/0!</v>
      </c>
      <c r="BF24" s="35" t="e" cm="1">
        <f t="array" aca="1" ref="BF2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4" s="35" t="e" cm="1">
        <f t="array" aca="1" ref="BG2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4" t="e" cm="1">
        <f t="array" aca="1" ref="BH2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4" s="35" t="e" cm="1">
        <f t="array" aca="1" ref="BI2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4" s="35" t="e" cm="1">
        <f t="array" aca="1" ref="BJ2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4" t="e" cm="1">
        <f t="array" aca="1" ref="BK2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4" s="35" t="e" cm="1">
        <f t="array" aca="1" ref="BL2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4" s="35" t="e" cm="1">
        <f t="array" aca="1" ref="BM2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4" t="e" cm="1">
        <f t="array" aca="1" ref="BN2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4" s="35" t="e" cm="1">
        <f t="array" aca="1" ref="BO2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4" s="35" t="e" cm="1">
        <f t="array" aca="1" ref="BP2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4" t="e" cm="1">
        <f t="array" aca="1" ref="BQ2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4" s="35" t="e" cm="1">
        <f t="array" aca="1" ref="BR2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4" s="35" t="e" cm="1">
        <f t="array" aca="1" ref="BS2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4" t="e" cm="1">
        <f t="array" aca="1" ref="BT2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4" s="35" t="e" cm="1">
        <f t="array" aca="1" ref="BU2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4" s="35" t="e" cm="1">
        <f t="array" aca="1" ref="BV2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4" t="e" cm="1">
        <f t="array" aca="1" ref="BW2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4" s="35" t="e" cm="1">
        <f t="array" aca="1" ref="BX2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4" s="35" t="e" cm="1">
        <f t="array" aca="1" ref="BY2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4" t="e" cm="1">
        <f t="array" aca="1" ref="BZ2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4" s="35" t="e" cm="1">
        <f t="array" aca="1" ref="CA2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4" s="35" t="e" cm="1">
        <f t="array" aca="1" ref="CB2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4" t="e" cm="1">
        <f t="array" aca="1" ref="CC2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4" s="35" t="e" cm="1">
        <f t="array" aca="1" ref="CD2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4" s="35" t="e" cm="1">
        <f t="array" aca="1" ref="CE2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4" t="e" cm="1">
        <f t="array" aca="1" ref="CF2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4" s="166" cm="1">
        <f t="array" aca="1" ref="CG24" ca="1">((E_modulus_Sec/40114)^-0.25)*((Subgrade_stiffness_Sec/35)^-0.25)*((Surface_thickness_Sec/0.22)^-0.75)*Area_trans*delflec_switch*SUM((INDEX(PVI_vehicle_EFC,1,1)/INDEX(PVI_fuel_energy_density,1,1))*(INDEX(Indicators,MATCH('Additional Impact Indicators'!$A24,Materials!$D:$D,0),MATCH("diesel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Indicators'!$A24,Materials!$D:$D,0),MATCH("petrol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Indicators'!$A24,Materials!$D:$D,0),MATCH("diesel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Indicators'!$A24,Materials!$D:$D,0),MATCH("petrol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Indicators'!$A24,Materials!$D:$D,0),MATCH("bio-diesel combustion",Materials!$1:$1,0))*((1-enviro_disc)^Handle_years)*Handle_electricity_emissions:OFFSET(Handle_electricity_emissions,0,Results_timespan-1)^0)*OFFSET(Handle_traffic_fleet,6,0):OFFSET(Handle_traffic_fleet,6,Results_timespan-1))</f>
        <v>0</v>
      </c>
      <c r="CH24" s="375" cm="1">
        <f t="array" aca="1" ref="CH2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4" s="247" cm="1">
        <f t="array" aca="1" ref="CI24" ca="1">(SUMPRODUCT(Delay_emissions_table[Consumption of Diesel (kg) - Secondary Scenario],IF(Delay_emissions_table[Form of Maintenance - Secondary Scenario]="Life Extension",1,0))*INDEX(Indicators,MATCH('Additional Impact Indicators'!$A24,Materials!$D:$D,0),MATCH("diesel combustion",Materials!$1:$1,0))+SUMPRODUCT(Delay_emissions_table[Consumption of Petrol (kg) - Secondary Scenario],IF(Delay_emissions_table[Form of Maintenance - Secondary Scenario]="Life Extension",1,0))*INDEX(Indicators,MATCH('Additional Impact Indicators'!$A24,Materials!$D:$D,0),MATCH("petrol combustion",Materials!$1:$1,0))+IFERROR(SUMPRODUCT(TRANSPOSE(INDEX(elec_project_emissions,MATCH(Elec_scenario&amp;'Additional Impact Indicators'!$B24,INDEX(Electricity_projection,0,3),0)-1,0)),Delay_emissions_table[Consumption of electricity (MJ) - Secondary Scenario],IF(Delay_emissions_table[Form of Maintenance - Secondary Scenario]="Life Extension",1,0)),0))*Area_trans*time_adj_Sec</f>
        <v>0</v>
      </c>
      <c r="CJ24" s="247" cm="1">
        <f t="array" aca="1" ref="CJ24" ca="1">(SUMPRODUCT(Delay_emissions_table[Consumption of Diesel (kg) - Secondary Scenario],IF(Delay_emissions_table[Form of Maintenance - Secondary Scenario]="Replacement",1,0))*INDEX(Indicators,MATCH('Additional Impact Indicators'!$A24,Materials!$D:$D,0),MATCH("diesel combustion",Materials!$1:$1,0))+SUMPRODUCT(Delay_emissions_table[Consumption of Petrol (kg) - Secondary Scenario],IF(Delay_emissions_table[Form of Maintenance - Secondary Scenario]="Replacement",1,0))*INDEX(Indicators,MATCH('Additional Impact Indicators'!$A24,Materials!$D:$D,0),MATCH("petrol combustion",Materials!$1:$1,0))+IFERROR(SUMPRODUCT(TRANSPOSE(INDEX(elec_project_emissions,MATCH(Elec_scenario&amp;'Additional Impact Indicators'!$B24,INDEX(Electricity_projection,0,3),0)-1,0)),Delay_emissions_table[Consumption of electricity (MJ) - Secondary Scenario],IF(Delay_emissions_table[Form of Maintenance - Secondary Scenario]="Replacement",1,0)),0))*Area_trans*time_adj_Sec</f>
        <v>0</v>
      </c>
      <c r="CK24" s="248" t="e" cm="1">
        <f t="array" ref="CK2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4" s="248" t="e" cm="1">
        <f t="array" ref="CL2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4" s="249" t="e" cm="1">
        <f t="array" ref="CM2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4" s="387" t="e" cm="1">
        <f t="array" ref="CN2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4" s="51" t="e">
        <f ca="1">SUMIF(Table3[[#This Row],[Raw-Materials]:[Transport to recycling facility]],"&lt;&gt;#N/A")</f>
        <v>#DIV/0!</v>
      </c>
      <c r="CT24" t="s">
        <v>509</v>
      </c>
      <c r="CU24" t="s">
        <v>510</v>
      </c>
      <c r="CV24" t="str">
        <f t="shared" si="3"/>
        <v>A1</v>
      </c>
      <c r="CW24" t="s">
        <v>485</v>
      </c>
      <c r="CY24">
        <f>MATCH(Table611[[#This Row],[Indicator]],Material_Impacts[Look up],0)</f>
        <v>68</v>
      </c>
      <c r="CZ24" s="246" cm="1">
        <f t="array" aca="1" ref="CZ2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4" s="166" cm="1">
        <f t="array" ref="DA2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4" s="166" t="e">
        <f>Diesel_RawM_Tert*INDEX(Indicators,MATCH(Impacts_Additional[[#This Row],[Indicator]],Materials!$D:$D,0),MATCH("Diesel Combustion",Materials!$1:$1,0))*Diesel_density*Project_Area*Tert_Lays*Area_trans</f>
        <v>#DIV/0!</v>
      </c>
      <c r="DC24" s="35" t="e" cm="1">
        <f t="array" aca="1" ref="DC2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4" s="35" t="e" cm="1">
        <f t="array" aca="1" ref="DD2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4" t="e" cm="1">
        <f t="array" aca="1" ref="DE2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4" s="35" t="e" cm="1">
        <f t="array" aca="1" ref="DF2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4" s="35" t="e" cm="1">
        <f t="array" aca="1" ref="DG2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4" t="e" cm="1">
        <f t="array" aca="1" ref="DH2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4" s="35" t="e" cm="1">
        <f t="array" aca="1" ref="DI2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4" s="35" t="e" cm="1">
        <f t="array" aca="1" ref="DJ2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4" t="e" cm="1">
        <f t="array" aca="1" ref="DK2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4" s="35" t="e" cm="1">
        <f t="array" aca="1" ref="DL2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4" s="35" t="e" cm="1">
        <f t="array" aca="1" ref="DM2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4" t="e" cm="1">
        <f t="array" aca="1" ref="DN2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4" s="35" t="e" cm="1">
        <f t="array" aca="1" ref="DO2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4" s="35" t="e" cm="1">
        <f t="array" aca="1" ref="DP2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4" t="e" cm="1">
        <f t="array" aca="1" ref="DQ2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4" s="35" t="e" cm="1">
        <f t="array" aca="1" ref="DR2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4" s="35" t="e" cm="1">
        <f t="array" aca="1" ref="DS2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4" t="e" cm="1">
        <f t="array" aca="1" ref="DT2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4" s="35" t="e" cm="1">
        <f t="array" aca="1" ref="DU2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4" s="35" t="e" cm="1">
        <f t="array" aca="1" ref="DV2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4" t="e" cm="1">
        <f t="array" aca="1" ref="DW2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4" s="35" t="e" cm="1">
        <f t="array" aca="1" ref="DX2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4" s="35" t="e" cm="1">
        <f t="array" aca="1" ref="DY2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4" t="e" cm="1">
        <f t="array" aca="1" ref="DZ2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4" s="35" t="e" cm="1">
        <f t="array" aca="1" ref="EA2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4" s="35" t="e" cm="1">
        <f t="array" aca="1" ref="EB2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4" t="e" cm="1">
        <f t="array" aca="1" ref="EC2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4" s="166" cm="1">
        <f t="array" aca="1" ref="ED24" ca="1">((E_modulus_Tert/40114)^-0.25)*((Subgrade_stiffness_Tert/35)^-0.25)*((Surface_thickness_Tert/0.22)^-0.75)*Area_trans*delflec_switch*SUM((INDEX(PVI_vehicle_EFC,1,1)/INDEX(PVI_fuel_energy_density,1,1))*(INDEX(Indicators,MATCH('Additional Impact Indicators'!$A24,Materials!$D:$D,0),MATCH("diesel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Indicators'!$A24,Materials!$D:$D,0),MATCH("petrol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Indicators'!$A24,Materials!$D:$D,0),MATCH("diesel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Indicators'!$A24,Materials!$D:$D,0),MATCH("petrol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Indicators'!$A24,Materials!$D:$D,0),MATCH("bio-diesel combustion",Materials!$1:$1,0))*((1-enviro_disc)^Handle_years)*Handle_electricity_emissions:OFFSET(Handle_electricity_emissions,0,Results_timespan-1)^0)*OFFSET(Handle_traffic_fleet,6,0):OFFSET(Handle_traffic_fleet,6,Results_timespan-1))</f>
        <v>0</v>
      </c>
      <c r="EE24" s="375" cm="1">
        <f t="array" aca="1" ref="EE2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4" s="247" cm="1">
        <f t="array" aca="1" ref="EF24" ca="1">(SUMPRODUCT(Delay_emissions_table[Consumption of Diesel (kg) - Tertiary Scenario],IF(Delay_emissions_table[Form of Maintenance - Tertiary Scenario]="Life Extension",1,0))*INDEX(Indicators,MATCH('Additional Impact Indicators'!$A24,Materials!$D:$D,0),MATCH("diesel combustion",Materials!$1:$1,0))+SUMPRODUCT(Delay_emissions_table[Consumption of Petrol (kg) - Tertiary Scenario],IF(Delay_emissions_table[Form of Maintenance - Tertiary Scenario]="Life Extension",1,0))*INDEX(Indicators,MATCH('Additional Impact Indicators'!$A24,Materials!$D:$D,0),MATCH("petrol combustion",Materials!$1:$1,0))+IFERROR(SUMPRODUCT(TRANSPOSE(INDEX(elec_project_emissions,MATCH(Elec_scenario&amp;'Additional Impact Indicators'!$B24,INDEX(Electricity_projection,0,3),0)-1,0)),Delay_emissions_table[Consumption of electricity (MJ) - Tertiary Scenario],IF(Delay_emissions_table[Form of Maintenance - Tertiary Scenario]="Life Extension",1,0)),0))*Area_trans*Time_adj_Tert</f>
        <v>0</v>
      </c>
      <c r="EG24" s="247" cm="1">
        <f t="array" aca="1" ref="EG24" ca="1">(SUMPRODUCT(Delay_emissions_table[Consumption of Diesel (kg) - Tertiary Scenario],IF(Delay_emissions_table[Form of Maintenance - Tertiary Scenario]="Replacement",1,0))*INDEX(Indicators,MATCH('Additional Impact Indicators'!$A24,Materials!$D:$D,0),MATCH("diesel combustion",Materials!$1:$1,0))+SUMPRODUCT(Delay_emissions_table[Consumption of Petrol (kg) - Tertiary Scenario],IF(Delay_emissions_table[Form of Maintenance - Tertiary Scenario]="Replacement",1,0))*INDEX(Indicators,MATCH('Additional Impact Indicators'!$A24,Materials!$D:$D,0),MATCH("petrol combustion",Materials!$1:$1,0))+IFERROR(SUMPRODUCT(TRANSPOSE(INDEX(elec_project_emissions,MATCH(Elec_scenario&amp;'Additional Impact Indicators'!$B24,INDEX(Electricity_projection,0,3),0)-1,0)),Delay_emissions_table[Consumption of electricity (MJ) - Tertiary Scenario],IF(Delay_emissions_table[Form of Maintenance - Tertiary Scenario]="Replacement",1,0)),0))*Area_trans*Time_adj_Tert</f>
        <v>0</v>
      </c>
      <c r="EH24" s="248" t="e" cm="1">
        <f t="array" ref="EH2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4" s="248" t="e" cm="1">
        <f t="array" ref="EI2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4" s="249" t="e" cm="1">
        <f t="array" ref="EJ2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4" s="249" t="e" cm="1">
        <f t="array" ref="EK2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4" t="e">
        <f ca="1">SUMIF(Table611[[#This Row],[Raw-Materials]:[Transport to recycling facility]],"&lt;&gt;#N/A")</f>
        <v>#DIV/0!</v>
      </c>
    </row>
    <row r="25" spans="1:142" x14ac:dyDescent="0.35">
      <c r="A25" s="155" t="s">
        <v>511</v>
      </c>
      <c r="B25" s="155" t="s">
        <v>512</v>
      </c>
      <c r="C25" s="155" t="str">
        <f t="shared" si="1"/>
        <v>A1</v>
      </c>
      <c r="D25" s="155" t="s">
        <v>485</v>
      </c>
      <c r="E25" s="155"/>
      <c r="F25">
        <f>MATCH(Impacts_Additional[[#This Row],[Indicator]],Material_Impacts[Look up],0)</f>
        <v>69</v>
      </c>
      <c r="G25" s="246" cm="1">
        <f t="array" aca="1" ref="G2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5" s="165" cm="1">
        <f t="array" ref="H2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5" s="165" t="e">
        <f>Diesel_RawM_Prim*INDEX(Indicators,MATCH(Impacts_Additional[[#This Row],[Indicator]],Materials!$D:$D,0),MATCH("Diesel Combustion",Materials!$1:$1,0))*Diesel_density*Project_Area*Prim_Lays*Area_trans</f>
        <v>#DIV/0!</v>
      </c>
      <c r="J25" s="250" t="e" cm="1">
        <f t="array" aca="1" ref="J2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5" s="250" t="e" cm="1">
        <f t="array" aca="1" ref="K2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5" s="250" t="e" cm="1">
        <f t="array" aca="1" ref="L2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5" s="250" t="e" cm="1">
        <f t="array" aca="1" ref="M2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5" s="250" t="e" cm="1">
        <f t="array" aca="1" ref="N2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5" s="250" t="e" cm="1">
        <f t="array" aca="1" ref="O2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5" s="250" t="e" cm="1">
        <f t="array" aca="1" ref="P2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5" s="250" t="e" cm="1">
        <f t="array" aca="1" ref="Q2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5" s="250" t="e" cm="1">
        <f t="array" aca="1" ref="R2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5" s="250" t="e" cm="1">
        <f t="array" aca="1" ref="S2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5" s="250" t="e" cm="1">
        <f t="array" aca="1" ref="T2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5" s="250" t="e" cm="1">
        <f t="array" aca="1" ref="U2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5" s="250" t="e" cm="1">
        <f t="array" aca="1" ref="V2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5" s="250" t="e" cm="1">
        <f t="array" aca="1" ref="W2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5" s="250" t="e" cm="1">
        <f t="array" aca="1" ref="X2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5" s="250" t="e" cm="1">
        <f t="array" aca="1" ref="Y2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5" s="250" t="e" cm="1">
        <f t="array" aca="1" ref="Z2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5" s="250" t="e" cm="1">
        <f t="array" aca="1" ref="AA2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5" s="250" t="e" cm="1">
        <f t="array" aca="1" ref="AB2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5" s="250" t="e" cm="1">
        <f t="array" aca="1" ref="AC2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5" s="250" t="e" cm="1">
        <f t="array" aca="1" ref="AD2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5" s="250" t="e" cm="1">
        <f t="array" aca="1" ref="AE2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5" s="250" t="e" cm="1">
        <f t="array" aca="1" ref="AF2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5" s="250" t="e" cm="1">
        <f t="array" aca="1" ref="AG2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5" s="250" t="e" cm="1">
        <f t="array" aca="1" ref="AH2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5" s="250" t="e" cm="1">
        <f t="array" aca="1" ref="AI2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5" s="250" t="e" cm="1">
        <f t="array" aca="1" ref="AJ2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5" s="165" cm="1">
        <f t="array" aca="1" ref="AK25" ca="1">((E_modulus_Prim/40114)^-0.25)*((Subgrade_stiffness_Prim/35)^-0.25)*((Surface_thickness_Prim/0.22)^-0.75)*Area_trans*delflec_switch*SUM((INDEX(PVI_vehicle_EFC,1,1)/INDEX(PVI_fuel_energy_density,1,1))*(INDEX(Indicators,MATCH('Additional Impact Indicators'!$A25,Materials!$D:$D,0),MATCH("diesel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Indicators'!$A25,Materials!$D:$D,0),MATCH("bio-diesel combustion",Materials!$1:$1,0))*((1-enviro_disc)^Handle_years)*Handle_electricity_emissions:OFFSET(Handle_electricity_emissions,0,Results_timespan-1)^0)*OFFSET(Handle_traffic_fleet,6,0):OFFSET(Handle_traffic_fleet,6,Results_timespan-1))</f>
        <v>0</v>
      </c>
      <c r="AL25" s="165" cm="1">
        <f t="array" aca="1" ref="AL2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5" s="251" cm="1">
        <f t="array" aca="1" ref="AM25" ca="1">(SUMPRODUCT(Delay_emissions_table[Consumption of Diesel (kg) - Primary Scenario],IF(Delay_emissions_table[Form of Maintenance - Primary Scenario]="Life Extension",1,0))*INDEX(Indicators,MATCH('Additional Impact Indicators'!$A25,Materials!$D:$D,0),MATCH("diesel combustion",Materials!$1:$1,0))+SUMPRODUCT(Delay_emissions_table[Consumption of Petrol (kg) - Primary Scenario],IF(Delay_emissions_table[Form of Maintenance - Primary Scenario]="Life Extension",1,0))*INDEX(Indicators,MATCH('Additional Impact Indicators'!$A25,Materials!$D:$D,0),MATCH("petrol combustion",Materials!$1:$1,0))+IFERROR(SUMPRODUCT(TRANSPOSE(INDEX(elec_project_emissions,MATCH(Elec_scenario&amp;'Additional Impact Indicators'!$B25,INDEX(Electricity_projection,0,3),0)-1,0)),Delay_emissions_table[Consumption of electricity (MJ) - Primary Scenario],IF(Delay_emissions_table[Form of Maintenance - Primary Scenario]="Life Extension",1,0)),0))*Area_trans*Time_adj_Prim</f>
        <v>0</v>
      </c>
      <c r="AN25" s="251" cm="1">
        <f t="array" aca="1" ref="AN25" ca="1">(SUMPRODUCT(Delay_emissions_table[Consumption of Diesel (kg) - Primary Scenario],IF(Delay_emissions_table[Form of Maintenance - Primary Scenario]="Replacement",1,0))*INDEX(Indicators,MATCH('Additional Impact Indicators'!$A25,Materials!$D:$D,0),MATCH("diesel combustion",Materials!$1:$1,0))+SUMPRODUCT(Delay_emissions_table[Consumption of Petrol (kg) - Primary Scenario],IF(Delay_emissions_table[Form of Maintenance - Primary Scenario]="Replacement",1,0))*INDEX(Indicators,MATCH('Additional Impact Indicators'!$A25,Materials!$D:$D,0),MATCH("petrol combustion",Materials!$1:$1,0))+IFERROR(SUMPRODUCT(TRANSPOSE(INDEX(elec_project_emissions,MATCH(Elec_scenario&amp;'Additional Impact Indicators'!$B25,INDEX(Electricity_projection,0,3),0)-1,0)),Delay_emissions_table[Consumption of electricity (MJ) - Primary Scenario],IF(Delay_emissions_table[Form of Maintenance - Primary Scenario]="Replacement",1,0)),0))*Area_trans*Time_adj_Prim</f>
        <v>0</v>
      </c>
      <c r="AO25" s="252" t="e" cm="1">
        <f t="array" ref="AO2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5" s="252" t="e" cm="1">
        <f t="array" ref="AP2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5" s="253" t="e" cm="1">
        <f t="array" ref="AQ2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5" s="385" t="e" cm="1">
        <f t="array" ref="AR2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5" t="e">
        <f ca="1">SUMIF('Additional Impact Indicators'!$G25:$AQ25,"&lt;&gt;#N/A")</f>
        <v>#DIV/0!</v>
      </c>
      <c r="AW25" s="155" t="s">
        <v>511</v>
      </c>
      <c r="AX25" s="155" t="s">
        <v>512</v>
      </c>
      <c r="AY25" s="155" t="str">
        <f t="shared" si="2"/>
        <v>A1</v>
      </c>
      <c r="AZ25" s="155" t="s">
        <v>485</v>
      </c>
      <c r="BA25" s="155"/>
      <c r="BB25" s="155">
        <f>MATCH(Table3[[#This Row],[Indicator]],Material_Impacts[Look up],0)</f>
        <v>69</v>
      </c>
      <c r="BC25" s="246" cm="1">
        <f t="array" aca="1" ref="BC2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5" s="165" cm="1">
        <f t="array" ref="BD2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5" s="165" t="e">
        <f>Diesel_RawM_Sec*INDEX(Indicators,MATCH(Impacts_Additional[[#This Row],[Indicator]],Materials!$D:$D,0),MATCH("Diesel Combustion",Materials!$1:$1,0))*Diesel_density*Project_Area*Sec_Lays*Area_trans</f>
        <v>#DIV/0!</v>
      </c>
      <c r="BF25" s="35" t="e" cm="1">
        <f t="array" aca="1" ref="BF2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5" s="35" t="e" cm="1">
        <f t="array" aca="1" ref="BG2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5" t="e" cm="1">
        <f t="array" aca="1" ref="BH2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5" s="35" t="e" cm="1">
        <f t="array" aca="1" ref="BI2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5" s="35" t="e" cm="1">
        <f t="array" aca="1" ref="BJ2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5" t="e" cm="1">
        <f t="array" aca="1" ref="BK2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5" s="35" t="e" cm="1">
        <f t="array" aca="1" ref="BL2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5" s="35" t="e" cm="1">
        <f t="array" aca="1" ref="BM2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5" t="e" cm="1">
        <f t="array" aca="1" ref="BN2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5" s="35" t="e" cm="1">
        <f t="array" aca="1" ref="BO2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5" s="35" t="e" cm="1">
        <f t="array" aca="1" ref="BP2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5" t="e" cm="1">
        <f t="array" aca="1" ref="BQ2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5" s="35" t="e" cm="1">
        <f t="array" aca="1" ref="BR2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5" s="35" t="e" cm="1">
        <f t="array" aca="1" ref="BS2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5" t="e" cm="1">
        <f t="array" aca="1" ref="BT2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5" s="35" t="e" cm="1">
        <f t="array" aca="1" ref="BU2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5" s="35" t="e" cm="1">
        <f t="array" aca="1" ref="BV2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5" t="e" cm="1">
        <f t="array" aca="1" ref="BW2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5" s="35" t="e" cm="1">
        <f t="array" aca="1" ref="BX2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5" s="35" t="e" cm="1">
        <f t="array" aca="1" ref="BY2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5" t="e" cm="1">
        <f t="array" aca="1" ref="BZ2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5" s="35" t="e" cm="1">
        <f t="array" aca="1" ref="CA2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5" s="35" t="e" cm="1">
        <f t="array" aca="1" ref="CB2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5" t="e" cm="1">
        <f t="array" aca="1" ref="CC2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5" s="35" t="e" cm="1">
        <f t="array" aca="1" ref="CD2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5" s="35" t="e" cm="1">
        <f t="array" aca="1" ref="CE2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5" t="e" cm="1">
        <f t="array" aca="1" ref="CF2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5" s="165" cm="1">
        <f t="array" aca="1" ref="CG25" ca="1">((E_modulus_Sec/40114)^-0.25)*((Subgrade_stiffness_Sec/35)^-0.25)*((Surface_thickness_Sec/0.22)^-0.75)*Area_trans*delflec_switch*SUM((INDEX(PVI_vehicle_EFC,1,1)/INDEX(PVI_fuel_energy_density,1,1))*(INDEX(Indicators,MATCH('Additional Impact Indicators'!$A25,Materials!$D:$D,0),MATCH("diesel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Indicators'!$A25,Materials!$D:$D,0),MATCH("bio-diesel combustion",Materials!$1:$1,0))*((1-enviro_disc)^Handle_years)*Handle_electricity_emissions:OFFSET(Handle_electricity_emissions,0,Results_timespan-1)^0)*OFFSET(Handle_traffic_fleet,6,0):OFFSET(Handle_traffic_fleet,6,Results_timespan-1))</f>
        <v>0</v>
      </c>
      <c r="CH25" s="375" cm="1">
        <f t="array" aca="1" ref="CH2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5" s="251" cm="1">
        <f t="array" aca="1" ref="CI25" ca="1">(SUMPRODUCT(Delay_emissions_table[Consumption of Diesel (kg) - Secondary Scenario],IF(Delay_emissions_table[Form of Maintenance - Secondary Scenario]="Life Extension",1,0))*INDEX(Indicators,MATCH('Additional Impact Indicators'!$A25,Materials!$D:$D,0),MATCH("diesel combustion",Materials!$1:$1,0))+SUMPRODUCT(Delay_emissions_table[Consumption of Petrol (kg) - Secondary Scenario],IF(Delay_emissions_table[Form of Maintenance - Secondary Scenario]="Life Extension",1,0))*INDEX(Indicators,MATCH('Additional Impact Indicators'!$A25,Materials!$D:$D,0),MATCH("petrol combustion",Materials!$1:$1,0))+IFERROR(SUMPRODUCT(TRANSPOSE(INDEX(elec_project_emissions,MATCH(Elec_scenario&amp;'Additional Impact Indicators'!$B25,INDEX(Electricity_projection,0,3),0)-1,0)),Delay_emissions_table[Consumption of electricity (MJ) - Secondary Scenario],IF(Delay_emissions_table[Form of Maintenance - Secondary Scenario]="Life Extension",1,0)),0))*Area_trans*time_adj_Sec</f>
        <v>0</v>
      </c>
      <c r="CJ25" s="251" cm="1">
        <f t="array" aca="1" ref="CJ25" ca="1">(SUMPRODUCT(Delay_emissions_table[Consumption of Diesel (kg) - Secondary Scenario],IF(Delay_emissions_table[Form of Maintenance - Secondary Scenario]="Replacement",1,0))*INDEX(Indicators,MATCH('Additional Impact Indicators'!$A25,Materials!$D:$D,0),MATCH("diesel combustion",Materials!$1:$1,0))+SUMPRODUCT(Delay_emissions_table[Consumption of Petrol (kg) - Secondary Scenario],IF(Delay_emissions_table[Form of Maintenance - Secondary Scenario]="Replacement",1,0))*INDEX(Indicators,MATCH('Additional Impact Indicators'!$A25,Materials!$D:$D,0),MATCH("petrol combustion",Materials!$1:$1,0))+IFERROR(SUMPRODUCT(TRANSPOSE(INDEX(elec_project_emissions,MATCH(Elec_scenario&amp;'Additional Impact Indicators'!$B25,INDEX(Electricity_projection,0,3),0)-1,0)),Delay_emissions_table[Consumption of electricity (MJ) - Secondary Scenario],IF(Delay_emissions_table[Form of Maintenance - Secondary Scenario]="Replacement",1,0)),0))*Area_trans*time_adj_Sec</f>
        <v>0</v>
      </c>
      <c r="CK25" s="252" t="e" cm="1">
        <f t="array" ref="CK2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5" s="252" t="e" cm="1">
        <f t="array" ref="CL2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5" s="253" t="e" cm="1">
        <f t="array" ref="CM2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5" s="387" t="e" cm="1">
        <f t="array" ref="CN2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5" s="51" t="e">
        <f ca="1">SUMIF(Table3[[#This Row],[Raw-Materials]:[Transport to recycling facility]],"&lt;&gt;#N/A")</f>
        <v>#DIV/0!</v>
      </c>
      <c r="CT25" t="s">
        <v>511</v>
      </c>
      <c r="CU25" t="s">
        <v>512</v>
      </c>
      <c r="CV25" t="str">
        <f t="shared" si="3"/>
        <v>A1</v>
      </c>
      <c r="CW25" t="s">
        <v>485</v>
      </c>
      <c r="CY25">
        <f>MATCH(Table611[[#This Row],[Indicator]],Material_Impacts[Look up],0)</f>
        <v>69</v>
      </c>
      <c r="CZ25" s="246" cm="1">
        <f t="array" aca="1" ref="CZ2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5" s="165" cm="1">
        <f t="array" ref="DA2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5" s="165" t="e">
        <f>Diesel_RawM_Tert*INDEX(Indicators,MATCH(Impacts_Additional[[#This Row],[Indicator]],Materials!$D:$D,0),MATCH("Diesel Combustion",Materials!$1:$1,0))*Diesel_density*Project_Area*Tert_Lays*Area_trans</f>
        <v>#DIV/0!</v>
      </c>
      <c r="DC25" s="35" t="e" cm="1">
        <f t="array" aca="1" ref="DC2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5" s="35" t="e" cm="1">
        <f t="array" aca="1" ref="DD2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5" t="e" cm="1">
        <f t="array" aca="1" ref="DE2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5" s="35" t="e" cm="1">
        <f t="array" aca="1" ref="DF2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5" s="35" t="e" cm="1">
        <f t="array" aca="1" ref="DG2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5" t="e" cm="1">
        <f t="array" aca="1" ref="DH2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5" s="35" t="e" cm="1">
        <f t="array" aca="1" ref="DI2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5" s="35" t="e" cm="1">
        <f t="array" aca="1" ref="DJ2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5" t="e" cm="1">
        <f t="array" aca="1" ref="DK2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5" s="35" t="e" cm="1">
        <f t="array" aca="1" ref="DL2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5" s="35" t="e" cm="1">
        <f t="array" aca="1" ref="DM2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5" t="e" cm="1">
        <f t="array" aca="1" ref="DN2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5" s="35" t="e" cm="1">
        <f t="array" aca="1" ref="DO2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5" s="35" t="e" cm="1">
        <f t="array" aca="1" ref="DP2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5" t="e" cm="1">
        <f t="array" aca="1" ref="DQ2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5" s="35" t="e" cm="1">
        <f t="array" aca="1" ref="DR2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5" s="35" t="e" cm="1">
        <f t="array" aca="1" ref="DS2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5" t="e" cm="1">
        <f t="array" aca="1" ref="DT2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5" s="35" t="e" cm="1">
        <f t="array" aca="1" ref="DU2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5" s="35" t="e" cm="1">
        <f t="array" aca="1" ref="DV2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5" t="e" cm="1">
        <f t="array" aca="1" ref="DW2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5" s="35" t="e" cm="1">
        <f t="array" aca="1" ref="DX2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5" s="35" t="e" cm="1">
        <f t="array" aca="1" ref="DY2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5" t="e" cm="1">
        <f t="array" aca="1" ref="DZ2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5" s="35" t="e" cm="1">
        <f t="array" aca="1" ref="EA2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5" s="35" t="e" cm="1">
        <f t="array" aca="1" ref="EB2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5" t="e" cm="1">
        <f t="array" aca="1" ref="EC2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5" s="165" cm="1">
        <f t="array" aca="1" ref="ED25" ca="1">((E_modulus_Tert/40114)^-0.25)*((Subgrade_stiffness_Tert/35)^-0.25)*((Surface_thickness_Tert/0.22)^-0.75)*Area_trans*delflec_switch*SUM((INDEX(PVI_vehicle_EFC,1,1)/INDEX(PVI_fuel_energy_density,1,1))*(INDEX(Indicators,MATCH('Additional Impact Indicators'!$A25,Materials!$D:$D,0),MATCH("diesel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Indicators'!$A25,Materials!$D:$D,0),MATCH("bio-diesel combustion",Materials!$1:$1,0))*((1-enviro_disc)^Handle_years)*Handle_electricity_emissions:OFFSET(Handle_electricity_emissions,0,Results_timespan-1)^0)*OFFSET(Handle_traffic_fleet,6,0):OFFSET(Handle_traffic_fleet,6,Results_timespan-1))</f>
        <v>0</v>
      </c>
      <c r="EE25" s="375" cm="1">
        <f t="array" aca="1" ref="EE2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5" s="251" cm="1">
        <f t="array" aca="1" ref="EF25" ca="1">(SUMPRODUCT(Delay_emissions_table[Consumption of Diesel (kg) - Tertiary Scenario],IF(Delay_emissions_table[Form of Maintenance - Tertiary Scenario]="Life Extension",1,0))*INDEX(Indicators,MATCH('Additional Impact Indicators'!$A25,Materials!$D:$D,0),MATCH("diesel combustion",Materials!$1:$1,0))+SUMPRODUCT(Delay_emissions_table[Consumption of Petrol (kg) - Tertiary Scenario],IF(Delay_emissions_table[Form of Maintenance - Tertiary Scenario]="Life Extension",1,0))*INDEX(Indicators,MATCH('Additional Impact Indicators'!$A25,Materials!$D:$D,0),MATCH("petrol combustion",Materials!$1:$1,0))+IFERROR(SUMPRODUCT(TRANSPOSE(INDEX(elec_project_emissions,MATCH(Elec_scenario&amp;'Additional Impact Indicators'!$B25,INDEX(Electricity_projection,0,3),0)-1,0)),Delay_emissions_table[Consumption of electricity (MJ) - Tertiary Scenario],IF(Delay_emissions_table[Form of Maintenance - Tertiary Scenario]="Life Extension",1,0)),0))*Area_trans*Time_adj_Tert</f>
        <v>0</v>
      </c>
      <c r="EG25" s="251" cm="1">
        <f t="array" aca="1" ref="EG25" ca="1">(SUMPRODUCT(Delay_emissions_table[Consumption of Diesel (kg) - Tertiary Scenario],IF(Delay_emissions_table[Form of Maintenance - Tertiary Scenario]="Replacement",1,0))*INDEX(Indicators,MATCH('Additional Impact Indicators'!$A25,Materials!$D:$D,0),MATCH("diesel combustion",Materials!$1:$1,0))+SUMPRODUCT(Delay_emissions_table[Consumption of Petrol (kg) - Tertiary Scenario],IF(Delay_emissions_table[Form of Maintenance - Tertiary Scenario]="Replacement",1,0))*INDEX(Indicators,MATCH('Additional Impact Indicators'!$A25,Materials!$D:$D,0),MATCH("petrol combustion",Materials!$1:$1,0))+IFERROR(SUMPRODUCT(TRANSPOSE(INDEX(elec_project_emissions,MATCH(Elec_scenario&amp;'Additional Impact Indicators'!$B25,INDEX(Electricity_projection,0,3),0)-1,0)),Delay_emissions_table[Consumption of electricity (MJ) - Tertiary Scenario],IF(Delay_emissions_table[Form of Maintenance - Tertiary Scenario]="Replacement",1,0)),0))*Area_trans*Time_adj_Tert</f>
        <v>0</v>
      </c>
      <c r="EH25" s="252" t="e" cm="1">
        <f t="array" ref="EH2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5" s="252" t="e" cm="1">
        <f t="array" ref="EI2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5" s="253" t="e" cm="1">
        <f t="array" ref="EJ2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5" s="253" t="e" cm="1">
        <f t="array" ref="EK2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5" t="e">
        <f ca="1">SUMIF(Table611[[#This Row],[Raw-Materials]:[Transport to recycling facility]],"&lt;&gt;#N/A")</f>
        <v>#DIV/0!</v>
      </c>
    </row>
    <row r="26" spans="1:142" x14ac:dyDescent="0.35">
      <c r="A26" t="s">
        <v>513</v>
      </c>
      <c r="B26" t="s">
        <v>514</v>
      </c>
      <c r="C26" t="str">
        <f t="shared" si="1"/>
        <v>A1</v>
      </c>
      <c r="D26" t="s">
        <v>485</v>
      </c>
      <c r="F26">
        <f>MATCH(Impacts_Additional[[#This Row],[Indicator]],Material_Impacts[Look up],0)</f>
        <v>70</v>
      </c>
      <c r="G26" s="246" cm="1">
        <f t="array" aca="1" ref="G2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6" s="166" cm="1">
        <f t="array" ref="H2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6" s="166" t="e">
        <f>Diesel_RawM_Prim*INDEX(Indicators,MATCH(Impacts_Additional[[#This Row],[Indicator]],Materials!$D:$D,0),MATCH("Diesel Combustion",Materials!$1:$1,0))*Diesel_density*Project_Area*Prim_Lays*Area_trans</f>
        <v>#DIV/0!</v>
      </c>
      <c r="J26" s="20" t="e" cm="1">
        <f t="array" aca="1" ref="J2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6" s="20" t="e" cm="1">
        <f t="array" aca="1" ref="K2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6" s="20" t="e" cm="1">
        <f t="array" aca="1" ref="L2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6" s="20" t="e" cm="1">
        <f t="array" aca="1" ref="M2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6" s="20" t="e" cm="1">
        <f t="array" aca="1" ref="N2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6" s="20" t="e" cm="1">
        <f t="array" aca="1" ref="O2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6" s="20" t="e" cm="1">
        <f t="array" aca="1" ref="P2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6" s="20" t="e" cm="1">
        <f t="array" aca="1" ref="Q2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6" s="20" t="e" cm="1">
        <f t="array" aca="1" ref="R2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6" s="20" t="e" cm="1">
        <f t="array" aca="1" ref="S2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6" s="20" t="e" cm="1">
        <f t="array" aca="1" ref="T2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6" s="20" t="e" cm="1">
        <f t="array" aca="1" ref="U2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6" s="20" t="e" cm="1">
        <f t="array" aca="1" ref="V2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6" s="20" t="e" cm="1">
        <f t="array" aca="1" ref="W2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6" s="20" t="e" cm="1">
        <f t="array" aca="1" ref="X2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6" s="20" t="e" cm="1">
        <f t="array" aca="1" ref="Y2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6" s="20" t="e" cm="1">
        <f t="array" aca="1" ref="Z2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6" s="20" t="e" cm="1">
        <f t="array" aca="1" ref="AA2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6" s="20" t="e" cm="1">
        <f t="array" aca="1" ref="AB2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6" s="20" t="e" cm="1">
        <f t="array" aca="1" ref="AC2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6" s="20" t="e" cm="1">
        <f t="array" aca="1" ref="AD2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6" s="20" t="e" cm="1">
        <f t="array" aca="1" ref="AE2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6" s="20" t="e" cm="1">
        <f t="array" aca="1" ref="AF2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6" s="20" t="e" cm="1">
        <f t="array" aca="1" ref="AG2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6" s="20" t="e" cm="1">
        <f t="array" aca="1" ref="AH2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6" s="20" t="e" cm="1">
        <f t="array" aca="1" ref="AI2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6" s="20" t="e" cm="1">
        <f t="array" aca="1" ref="AJ2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6" s="166" cm="1">
        <f t="array" aca="1" ref="AK26" ca="1">((E_modulus_Prim/40114)^-0.25)*((Subgrade_stiffness_Prim/35)^-0.25)*((Surface_thickness_Prim/0.22)^-0.75)*Area_trans*delflec_switch*SUM((INDEX(PVI_vehicle_EFC,1,1)/INDEX(PVI_fuel_energy_density,1,1))*(INDEX(Indicators,MATCH('Additional Impact Indicators'!$A26,Materials!$D:$D,0),MATCH("diesel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Indicators'!$A26,Materials!$D:$D,0),MATCH("petrol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Indicators'!$A26,Materials!$D:$D,0),MATCH("diesel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Indicators'!$A26,Materials!$D:$D,0),MATCH("petrol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Indicators'!$A26,Materials!$D:$D,0),MATCH("bio-diesel combustion",Materials!$1:$1,0))*((1-enviro_disc)^Handle_years)*Handle_electricity_emissions:OFFSET(Handle_electricity_emissions,0,Results_timespan-1)^0)*OFFSET(Handle_traffic_fleet,6,0):OFFSET(Handle_traffic_fleet,6,Results_timespan-1))</f>
        <v>0</v>
      </c>
      <c r="AL26" s="166" cm="1">
        <f t="array" aca="1" ref="AL2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6" s="247" cm="1">
        <f t="array" aca="1" ref="AM26" ca="1">(SUMPRODUCT(Delay_emissions_table[Consumption of Diesel (kg) - Primary Scenario],IF(Delay_emissions_table[Form of Maintenance - Primary Scenario]="Life Extension",1,0))*INDEX(Indicators,MATCH('Additional Impact Indicators'!$A26,Materials!$D:$D,0),MATCH("diesel combustion",Materials!$1:$1,0))+SUMPRODUCT(Delay_emissions_table[Consumption of Petrol (kg) - Primary Scenario],IF(Delay_emissions_table[Form of Maintenance - Primary Scenario]="Life Extension",1,0))*INDEX(Indicators,MATCH('Additional Impact Indicators'!$A26,Materials!$D:$D,0),MATCH("petrol combustion",Materials!$1:$1,0))+IFERROR(SUMPRODUCT(TRANSPOSE(INDEX(elec_project_emissions,MATCH(Elec_scenario&amp;'Additional Impact Indicators'!$B26,INDEX(Electricity_projection,0,3),0)-1,0)),Delay_emissions_table[Consumption of electricity (MJ) - Primary Scenario],IF(Delay_emissions_table[Form of Maintenance - Primary Scenario]="Life Extension",1,0)),0))*Area_trans*Time_adj_Prim</f>
        <v>0</v>
      </c>
      <c r="AN26" s="247" cm="1">
        <f t="array" aca="1" ref="AN26" ca="1">(SUMPRODUCT(Delay_emissions_table[Consumption of Diesel (kg) - Primary Scenario],IF(Delay_emissions_table[Form of Maintenance - Primary Scenario]="Replacement",1,0))*INDEX(Indicators,MATCH('Additional Impact Indicators'!$A26,Materials!$D:$D,0),MATCH("diesel combustion",Materials!$1:$1,0))+SUMPRODUCT(Delay_emissions_table[Consumption of Petrol (kg) - Primary Scenario],IF(Delay_emissions_table[Form of Maintenance - Primary Scenario]="Replacement",1,0))*INDEX(Indicators,MATCH('Additional Impact Indicators'!$A26,Materials!$D:$D,0),MATCH("petrol combustion",Materials!$1:$1,0))+IFERROR(SUMPRODUCT(TRANSPOSE(INDEX(elec_project_emissions,MATCH(Elec_scenario&amp;'Additional Impact Indicators'!$B26,INDEX(Electricity_projection,0,3),0)-1,0)),Delay_emissions_table[Consumption of electricity (MJ) - Primary Scenario],IF(Delay_emissions_table[Form of Maintenance - Primary Scenario]="Replacement",1,0)),0))*Area_trans*Time_adj_Prim</f>
        <v>0</v>
      </c>
      <c r="AO26" s="248" t="e" cm="1">
        <f t="array" ref="AO2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6" s="248" t="e" cm="1">
        <f t="array" ref="AP2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6" s="249" t="e" cm="1">
        <f t="array" ref="AQ2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6" s="386" t="e" cm="1">
        <f t="array" ref="AR2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6" t="e">
        <f ca="1">SUMIF('Additional Impact Indicators'!$G26:$AQ26,"&lt;&gt;#N/A")</f>
        <v>#DIV/0!</v>
      </c>
      <c r="AW26" t="s">
        <v>513</v>
      </c>
      <c r="AX26" t="s">
        <v>514</v>
      </c>
      <c r="AY26" t="str">
        <f t="shared" si="2"/>
        <v>A1</v>
      </c>
      <c r="AZ26" t="s">
        <v>485</v>
      </c>
      <c r="BB26">
        <f>MATCH(Table3[[#This Row],[Indicator]],Material_Impacts[Look up],0)</f>
        <v>70</v>
      </c>
      <c r="BC26" s="246" cm="1">
        <f t="array" aca="1" ref="BC2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6" s="166" cm="1">
        <f t="array" ref="BD2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6" s="166" t="e">
        <f>Diesel_RawM_Sec*INDEX(Indicators,MATCH(Impacts_Additional[[#This Row],[Indicator]],Materials!$D:$D,0),MATCH("Diesel Combustion",Materials!$1:$1,0))*Diesel_density*Project_Area*Sec_Lays*Area_trans</f>
        <v>#DIV/0!</v>
      </c>
      <c r="BF26" s="35" t="e" cm="1">
        <f t="array" aca="1" ref="BF2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6" s="35" t="e" cm="1">
        <f t="array" aca="1" ref="BG2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6" t="e" cm="1">
        <f t="array" aca="1" ref="BH2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6" s="35" t="e" cm="1">
        <f t="array" aca="1" ref="BI2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6" s="35" t="e" cm="1">
        <f t="array" aca="1" ref="BJ2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6" t="e" cm="1">
        <f t="array" aca="1" ref="BK2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6" s="35" t="e" cm="1">
        <f t="array" aca="1" ref="BL2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6" s="35" t="e" cm="1">
        <f t="array" aca="1" ref="BM2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6" t="e" cm="1">
        <f t="array" aca="1" ref="BN2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6" s="35" t="e" cm="1">
        <f t="array" aca="1" ref="BO2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6" s="35" t="e" cm="1">
        <f t="array" aca="1" ref="BP2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6" t="e" cm="1">
        <f t="array" aca="1" ref="BQ2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6" s="35" t="e" cm="1">
        <f t="array" aca="1" ref="BR2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6" s="35" t="e" cm="1">
        <f t="array" aca="1" ref="BS2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6" t="e" cm="1">
        <f t="array" aca="1" ref="BT2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6" s="35" t="e" cm="1">
        <f t="array" aca="1" ref="BU2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6" s="35" t="e" cm="1">
        <f t="array" aca="1" ref="BV2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6" t="e" cm="1">
        <f t="array" aca="1" ref="BW2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6" s="35" t="e" cm="1">
        <f t="array" aca="1" ref="BX2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6" s="35" t="e" cm="1">
        <f t="array" aca="1" ref="BY2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6" t="e" cm="1">
        <f t="array" aca="1" ref="BZ2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6" s="35" t="e" cm="1">
        <f t="array" aca="1" ref="CA2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6" s="35" t="e" cm="1">
        <f t="array" aca="1" ref="CB2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6" t="e" cm="1">
        <f t="array" aca="1" ref="CC2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6" s="35" t="e" cm="1">
        <f t="array" aca="1" ref="CD2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6" s="35" t="e" cm="1">
        <f t="array" aca="1" ref="CE2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6" t="e" cm="1">
        <f t="array" aca="1" ref="CF2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6" s="166" cm="1">
        <f t="array" aca="1" ref="CG26" ca="1">((E_modulus_Sec/40114)^-0.25)*((Subgrade_stiffness_Sec/35)^-0.25)*((Surface_thickness_Sec/0.22)^-0.75)*Area_trans*delflec_switch*SUM((INDEX(PVI_vehicle_EFC,1,1)/INDEX(PVI_fuel_energy_density,1,1))*(INDEX(Indicators,MATCH('Additional Impact Indicators'!$A26,Materials!$D:$D,0),MATCH("diesel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Indicators'!$A26,Materials!$D:$D,0),MATCH("petrol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Indicators'!$A26,Materials!$D:$D,0),MATCH("diesel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Indicators'!$A26,Materials!$D:$D,0),MATCH("petrol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Indicators'!$A26,Materials!$D:$D,0),MATCH("bio-diesel combustion",Materials!$1:$1,0))*((1-enviro_disc)^Handle_years)*Handle_electricity_emissions:OFFSET(Handle_electricity_emissions,0,Results_timespan-1)^0)*OFFSET(Handle_traffic_fleet,6,0):OFFSET(Handle_traffic_fleet,6,Results_timespan-1))</f>
        <v>0</v>
      </c>
      <c r="CH26" s="375" cm="1">
        <f t="array" aca="1" ref="CH2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6" s="247" cm="1">
        <f t="array" aca="1" ref="CI26" ca="1">(SUMPRODUCT(Delay_emissions_table[Consumption of Diesel (kg) - Secondary Scenario],IF(Delay_emissions_table[Form of Maintenance - Secondary Scenario]="Life Extension",1,0))*INDEX(Indicators,MATCH('Additional Impact Indicators'!$A26,Materials!$D:$D,0),MATCH("diesel combustion",Materials!$1:$1,0))+SUMPRODUCT(Delay_emissions_table[Consumption of Petrol (kg) - Secondary Scenario],IF(Delay_emissions_table[Form of Maintenance - Secondary Scenario]="Life Extension",1,0))*INDEX(Indicators,MATCH('Additional Impact Indicators'!$A26,Materials!$D:$D,0),MATCH("petrol combustion",Materials!$1:$1,0))+IFERROR(SUMPRODUCT(TRANSPOSE(INDEX(elec_project_emissions,MATCH(Elec_scenario&amp;'Additional Impact Indicators'!$B26,INDEX(Electricity_projection,0,3),0)-1,0)),Delay_emissions_table[Consumption of electricity (MJ) - Secondary Scenario],IF(Delay_emissions_table[Form of Maintenance - Secondary Scenario]="Life Extension",1,0)),0))*Area_trans*time_adj_Sec</f>
        <v>0</v>
      </c>
      <c r="CJ26" s="247" cm="1">
        <f t="array" aca="1" ref="CJ26" ca="1">(SUMPRODUCT(Delay_emissions_table[Consumption of Diesel (kg) - Secondary Scenario],IF(Delay_emissions_table[Form of Maintenance - Secondary Scenario]="Replacement",1,0))*INDEX(Indicators,MATCH('Additional Impact Indicators'!$A26,Materials!$D:$D,0),MATCH("diesel combustion",Materials!$1:$1,0))+SUMPRODUCT(Delay_emissions_table[Consumption of Petrol (kg) - Secondary Scenario],IF(Delay_emissions_table[Form of Maintenance - Secondary Scenario]="Replacement",1,0))*INDEX(Indicators,MATCH('Additional Impact Indicators'!$A26,Materials!$D:$D,0),MATCH("petrol combustion",Materials!$1:$1,0))+IFERROR(SUMPRODUCT(TRANSPOSE(INDEX(elec_project_emissions,MATCH(Elec_scenario&amp;'Additional Impact Indicators'!$B26,INDEX(Electricity_projection,0,3),0)-1,0)),Delay_emissions_table[Consumption of electricity (MJ) - Secondary Scenario],IF(Delay_emissions_table[Form of Maintenance - Secondary Scenario]="Replacement",1,0)),0))*Area_trans*time_adj_Sec</f>
        <v>0</v>
      </c>
      <c r="CK26" s="248" t="e" cm="1">
        <f t="array" ref="CK2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6" s="248" t="e" cm="1">
        <f t="array" ref="CL2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6" s="249" t="e" cm="1">
        <f t="array" ref="CM2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6" s="387" t="e" cm="1">
        <f t="array" ref="CN2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6" s="51" t="e">
        <f ca="1">SUMIF(Table3[[#This Row],[Raw-Materials]:[Transport to recycling facility]],"&lt;&gt;#N/A")</f>
        <v>#DIV/0!</v>
      </c>
      <c r="CT26" t="s">
        <v>513</v>
      </c>
      <c r="CU26" t="s">
        <v>514</v>
      </c>
      <c r="CV26" t="str">
        <f t="shared" si="3"/>
        <v>A1</v>
      </c>
      <c r="CW26" t="s">
        <v>485</v>
      </c>
      <c r="CY26">
        <f>MATCH(Table611[[#This Row],[Indicator]],Material_Impacts[Look up],0)</f>
        <v>70</v>
      </c>
      <c r="CZ26" s="246" cm="1">
        <f t="array" aca="1" ref="CZ2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6" s="166" cm="1">
        <f t="array" ref="DA2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6" s="166" t="e">
        <f>Diesel_RawM_Tert*INDEX(Indicators,MATCH(Impacts_Additional[[#This Row],[Indicator]],Materials!$D:$D,0),MATCH("Diesel Combustion",Materials!$1:$1,0))*Diesel_density*Project_Area*Tert_Lays*Area_trans</f>
        <v>#DIV/0!</v>
      </c>
      <c r="DC26" s="35" t="e" cm="1">
        <f t="array" aca="1" ref="DC2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6" s="35" t="e" cm="1">
        <f t="array" aca="1" ref="DD2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6" t="e" cm="1">
        <f t="array" aca="1" ref="DE2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6" s="35" t="e" cm="1">
        <f t="array" aca="1" ref="DF2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6" s="35" t="e" cm="1">
        <f t="array" aca="1" ref="DG2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6" t="e" cm="1">
        <f t="array" aca="1" ref="DH2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6" s="35" t="e" cm="1">
        <f t="array" aca="1" ref="DI2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6" s="35" t="e" cm="1">
        <f t="array" aca="1" ref="DJ2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6" t="e" cm="1">
        <f t="array" aca="1" ref="DK2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6" s="35" t="e" cm="1">
        <f t="array" aca="1" ref="DL2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6" s="35" t="e" cm="1">
        <f t="array" aca="1" ref="DM2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6" t="e" cm="1">
        <f t="array" aca="1" ref="DN2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6" s="35" t="e" cm="1">
        <f t="array" aca="1" ref="DO2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6" s="35" t="e" cm="1">
        <f t="array" aca="1" ref="DP2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6" t="e" cm="1">
        <f t="array" aca="1" ref="DQ2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6" s="35" t="e" cm="1">
        <f t="array" aca="1" ref="DR2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6" s="35" t="e" cm="1">
        <f t="array" aca="1" ref="DS2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6" t="e" cm="1">
        <f t="array" aca="1" ref="DT2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6" s="35" t="e" cm="1">
        <f t="array" aca="1" ref="DU2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6" s="35" t="e" cm="1">
        <f t="array" aca="1" ref="DV2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6" t="e" cm="1">
        <f t="array" aca="1" ref="DW2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6" s="35" t="e" cm="1">
        <f t="array" aca="1" ref="DX2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6" s="35" t="e" cm="1">
        <f t="array" aca="1" ref="DY2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6" t="e" cm="1">
        <f t="array" aca="1" ref="DZ2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6" s="35" t="e" cm="1">
        <f t="array" aca="1" ref="EA2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6" s="35" t="e" cm="1">
        <f t="array" aca="1" ref="EB2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6" t="e" cm="1">
        <f t="array" aca="1" ref="EC2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6" s="166" cm="1">
        <f t="array" aca="1" ref="ED26" ca="1">((E_modulus_Tert/40114)^-0.25)*((Subgrade_stiffness_Tert/35)^-0.25)*((Surface_thickness_Tert/0.22)^-0.75)*Area_trans*delflec_switch*SUM((INDEX(PVI_vehicle_EFC,1,1)/INDEX(PVI_fuel_energy_density,1,1))*(INDEX(Indicators,MATCH('Additional Impact Indicators'!$A26,Materials!$D:$D,0),MATCH("diesel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Indicators'!$A26,Materials!$D:$D,0),MATCH("petrol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Indicators'!$A26,Materials!$D:$D,0),MATCH("diesel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Indicators'!$A26,Materials!$D:$D,0),MATCH("petrol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Indicators'!$A26,Materials!$D:$D,0),MATCH("bio-diesel combustion",Materials!$1:$1,0))*((1-enviro_disc)^Handle_years)*Handle_electricity_emissions:OFFSET(Handle_electricity_emissions,0,Results_timespan-1)^0)*OFFSET(Handle_traffic_fleet,6,0):OFFSET(Handle_traffic_fleet,6,Results_timespan-1))</f>
        <v>0</v>
      </c>
      <c r="EE26" s="375" cm="1">
        <f t="array" aca="1" ref="EE2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6" s="247" cm="1">
        <f t="array" aca="1" ref="EF26" ca="1">(SUMPRODUCT(Delay_emissions_table[Consumption of Diesel (kg) - Tertiary Scenario],IF(Delay_emissions_table[Form of Maintenance - Tertiary Scenario]="Life Extension",1,0))*INDEX(Indicators,MATCH('Additional Impact Indicators'!$A26,Materials!$D:$D,0),MATCH("diesel combustion",Materials!$1:$1,0))+SUMPRODUCT(Delay_emissions_table[Consumption of Petrol (kg) - Tertiary Scenario],IF(Delay_emissions_table[Form of Maintenance - Tertiary Scenario]="Life Extension",1,0))*INDEX(Indicators,MATCH('Additional Impact Indicators'!$A26,Materials!$D:$D,0),MATCH("petrol combustion",Materials!$1:$1,0))+IFERROR(SUMPRODUCT(TRANSPOSE(INDEX(elec_project_emissions,MATCH(Elec_scenario&amp;'Additional Impact Indicators'!$B26,INDEX(Electricity_projection,0,3),0)-1,0)),Delay_emissions_table[Consumption of electricity (MJ) - Tertiary Scenario],IF(Delay_emissions_table[Form of Maintenance - Tertiary Scenario]="Life Extension",1,0)),0))*Area_trans*Time_adj_Tert</f>
        <v>0</v>
      </c>
      <c r="EG26" s="247" cm="1">
        <f t="array" aca="1" ref="EG26" ca="1">(SUMPRODUCT(Delay_emissions_table[Consumption of Diesel (kg) - Tertiary Scenario],IF(Delay_emissions_table[Form of Maintenance - Tertiary Scenario]="Replacement",1,0))*INDEX(Indicators,MATCH('Additional Impact Indicators'!$A26,Materials!$D:$D,0),MATCH("diesel combustion",Materials!$1:$1,0))+SUMPRODUCT(Delay_emissions_table[Consumption of Petrol (kg) - Tertiary Scenario],IF(Delay_emissions_table[Form of Maintenance - Tertiary Scenario]="Replacement",1,0))*INDEX(Indicators,MATCH('Additional Impact Indicators'!$A26,Materials!$D:$D,0),MATCH("petrol combustion",Materials!$1:$1,0))+IFERROR(SUMPRODUCT(TRANSPOSE(INDEX(elec_project_emissions,MATCH(Elec_scenario&amp;'Additional Impact Indicators'!$B26,INDEX(Electricity_projection,0,3),0)-1,0)),Delay_emissions_table[Consumption of electricity (MJ) - Tertiary Scenario],IF(Delay_emissions_table[Form of Maintenance - Tertiary Scenario]="Replacement",1,0)),0))*Area_trans*Time_adj_Tert</f>
        <v>0</v>
      </c>
      <c r="EH26" s="248" t="e" cm="1">
        <f t="array" ref="EH2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6" s="248" t="e" cm="1">
        <f t="array" ref="EI2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6" s="249" t="e" cm="1">
        <f t="array" ref="EJ2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6" s="249" t="e" cm="1">
        <f t="array" ref="EK2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6" t="e">
        <f ca="1">SUMIF(Table611[[#This Row],[Raw-Materials]:[Transport to recycling facility]],"&lt;&gt;#N/A")</f>
        <v>#DIV/0!</v>
      </c>
    </row>
    <row r="27" spans="1:142" x14ac:dyDescent="0.35">
      <c r="A27" s="155" t="s">
        <v>515</v>
      </c>
      <c r="B27" s="155" t="s">
        <v>516</v>
      </c>
      <c r="C27" s="155" t="str">
        <f t="shared" si="1"/>
        <v>A1</v>
      </c>
      <c r="D27" s="155" t="s">
        <v>485</v>
      </c>
      <c r="E27" s="155"/>
      <c r="F27">
        <f>MATCH(Impacts_Additional[[#This Row],[Indicator]],Material_Impacts[Look up],0)</f>
        <v>71</v>
      </c>
      <c r="G27" s="246" cm="1">
        <f t="array" aca="1" ref="G2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7" s="165" cm="1">
        <f t="array" ref="H2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7" s="165" t="e">
        <f>Diesel_RawM_Prim*INDEX(Indicators,MATCH(Impacts_Additional[[#This Row],[Indicator]],Materials!$D:$D,0),MATCH("Diesel Combustion",Materials!$1:$1,0))*Diesel_density*Project_Area*Prim_Lays*Area_trans</f>
        <v>#DIV/0!</v>
      </c>
      <c r="J27" s="250" t="e" cm="1">
        <f t="array" aca="1" ref="J2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7" s="250" t="e" cm="1">
        <f t="array" aca="1" ref="K2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7" s="250" t="e" cm="1">
        <f t="array" aca="1" ref="L2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7" s="250" t="e" cm="1">
        <f t="array" aca="1" ref="M2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7" s="250" t="e" cm="1">
        <f t="array" aca="1" ref="N2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7" s="250" t="e" cm="1">
        <f t="array" aca="1" ref="O2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7" s="250" t="e" cm="1">
        <f t="array" aca="1" ref="P2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7" s="250" t="e" cm="1">
        <f t="array" aca="1" ref="Q2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7" s="250" t="e" cm="1">
        <f t="array" aca="1" ref="R2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7" s="250" t="e" cm="1">
        <f t="array" aca="1" ref="S2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7" s="250" t="e" cm="1">
        <f t="array" aca="1" ref="T2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7" s="250" t="e" cm="1">
        <f t="array" aca="1" ref="U2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7" s="250" t="e" cm="1">
        <f t="array" aca="1" ref="V2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7" s="250" t="e" cm="1">
        <f t="array" aca="1" ref="W2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7" s="250" t="e" cm="1">
        <f t="array" aca="1" ref="X2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7" s="250" t="e" cm="1">
        <f t="array" aca="1" ref="Y2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7" s="250" t="e" cm="1">
        <f t="array" aca="1" ref="Z2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7" s="250" t="e" cm="1">
        <f t="array" aca="1" ref="AA2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7" s="250" t="e" cm="1">
        <f t="array" aca="1" ref="AB2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7" s="250" t="e" cm="1">
        <f t="array" aca="1" ref="AC2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7" s="250" t="e" cm="1">
        <f t="array" aca="1" ref="AD2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7" s="250" t="e" cm="1">
        <f t="array" aca="1" ref="AE2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7" s="250" t="e" cm="1">
        <f t="array" aca="1" ref="AF2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7" s="250" t="e" cm="1">
        <f t="array" aca="1" ref="AG2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7" s="250" t="e" cm="1">
        <f t="array" aca="1" ref="AH2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7" s="250" t="e" cm="1">
        <f t="array" aca="1" ref="AI2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7" s="250" t="e" cm="1">
        <f t="array" aca="1" ref="AJ2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7" s="165" cm="1">
        <f t="array" aca="1" ref="AK27" ca="1">((E_modulus_Prim/40114)^-0.25)*((Subgrade_stiffness_Prim/35)^-0.25)*((Surface_thickness_Prim/0.22)^-0.75)*Area_trans*delflec_switch*SUM((INDEX(PVI_vehicle_EFC,1,1)/INDEX(PVI_fuel_energy_density,1,1))*(INDEX(Indicators,MATCH('Additional Impact Indicators'!$A27,Materials!$D:$D,0),MATCH("diesel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Indicators'!$A27,Materials!$D:$D,0),MATCH("bio-diesel combustion",Materials!$1:$1,0))*((1-enviro_disc)^Handle_years)*Handle_electricity_emissions:OFFSET(Handle_electricity_emissions,0,Results_timespan-1)^0)*OFFSET(Handle_traffic_fleet,6,0):OFFSET(Handle_traffic_fleet,6,Results_timespan-1))</f>
        <v>0</v>
      </c>
      <c r="AL27" s="165" cm="1">
        <f t="array" aca="1" ref="AL2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7" s="251" cm="1">
        <f t="array" aca="1" ref="AM27" ca="1">(SUMPRODUCT(Delay_emissions_table[Consumption of Diesel (kg) - Primary Scenario],IF(Delay_emissions_table[Form of Maintenance - Primary Scenario]="Life Extension",1,0))*INDEX(Indicators,MATCH('Additional Impact Indicators'!$A27,Materials!$D:$D,0),MATCH("diesel combustion",Materials!$1:$1,0))+SUMPRODUCT(Delay_emissions_table[Consumption of Petrol (kg) - Primary Scenario],IF(Delay_emissions_table[Form of Maintenance - Primary Scenario]="Life Extension",1,0))*INDEX(Indicators,MATCH('Additional Impact Indicators'!$A27,Materials!$D:$D,0),MATCH("petrol combustion",Materials!$1:$1,0))+IFERROR(SUMPRODUCT(TRANSPOSE(INDEX(elec_project_emissions,MATCH(Elec_scenario&amp;'Additional Impact Indicators'!$B27,INDEX(Electricity_projection,0,3),0)-1,0)),Delay_emissions_table[Consumption of electricity (MJ) - Primary Scenario],IF(Delay_emissions_table[Form of Maintenance - Primary Scenario]="Life Extension",1,0)),0))*Area_trans*Time_adj_Prim</f>
        <v>0</v>
      </c>
      <c r="AN27" s="251" cm="1">
        <f t="array" aca="1" ref="AN27" ca="1">(SUMPRODUCT(Delay_emissions_table[Consumption of Diesel (kg) - Primary Scenario],IF(Delay_emissions_table[Form of Maintenance - Primary Scenario]="Replacement",1,0))*INDEX(Indicators,MATCH('Additional Impact Indicators'!$A27,Materials!$D:$D,0),MATCH("diesel combustion",Materials!$1:$1,0))+SUMPRODUCT(Delay_emissions_table[Consumption of Petrol (kg) - Primary Scenario],IF(Delay_emissions_table[Form of Maintenance - Primary Scenario]="Replacement",1,0))*INDEX(Indicators,MATCH('Additional Impact Indicators'!$A27,Materials!$D:$D,0),MATCH("petrol combustion",Materials!$1:$1,0))+IFERROR(SUMPRODUCT(TRANSPOSE(INDEX(elec_project_emissions,MATCH(Elec_scenario&amp;'Additional Impact Indicators'!$B27,INDEX(Electricity_projection,0,3),0)-1,0)),Delay_emissions_table[Consumption of electricity (MJ) - Primary Scenario],IF(Delay_emissions_table[Form of Maintenance - Primary Scenario]="Replacement",1,0)),0))*Area_trans*Time_adj_Prim</f>
        <v>0</v>
      </c>
      <c r="AO27" s="252" t="e" cm="1">
        <f t="array" ref="AO2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7" s="252" t="e" cm="1">
        <f t="array" ref="AP2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7" s="253" t="e" cm="1">
        <f t="array" ref="AQ2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7" s="385" t="e" cm="1">
        <f t="array" ref="AR2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7" t="e">
        <f ca="1">SUMIF('Additional Impact Indicators'!$G27:$AQ27,"&lt;&gt;#N/A")</f>
        <v>#DIV/0!</v>
      </c>
      <c r="AW27" s="155" t="s">
        <v>515</v>
      </c>
      <c r="AX27" s="155" t="s">
        <v>516</v>
      </c>
      <c r="AY27" s="155" t="str">
        <f t="shared" si="2"/>
        <v>A1</v>
      </c>
      <c r="AZ27" s="155" t="s">
        <v>485</v>
      </c>
      <c r="BA27" s="155"/>
      <c r="BB27" s="155">
        <f>MATCH(Table3[[#This Row],[Indicator]],Material_Impacts[Look up],0)</f>
        <v>71</v>
      </c>
      <c r="BC27" s="246" cm="1">
        <f t="array" aca="1" ref="BC2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7" s="165" cm="1">
        <f t="array" ref="BD2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7" s="165" t="e">
        <f>Diesel_RawM_Sec*INDEX(Indicators,MATCH(Impacts_Additional[[#This Row],[Indicator]],Materials!$D:$D,0),MATCH("Diesel Combustion",Materials!$1:$1,0))*Diesel_density*Project_Area*Sec_Lays*Area_trans</f>
        <v>#DIV/0!</v>
      </c>
      <c r="BF27" s="35" t="e" cm="1">
        <f t="array" aca="1" ref="BF2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7" s="35" t="e" cm="1">
        <f t="array" aca="1" ref="BG2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7" t="e" cm="1">
        <f t="array" aca="1" ref="BH2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7" s="35" t="e" cm="1">
        <f t="array" aca="1" ref="BI2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7" s="35" t="e" cm="1">
        <f t="array" aca="1" ref="BJ2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7" t="e" cm="1">
        <f t="array" aca="1" ref="BK2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7" s="35" t="e" cm="1">
        <f t="array" aca="1" ref="BL2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7" s="35" t="e" cm="1">
        <f t="array" aca="1" ref="BM2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7" t="e" cm="1">
        <f t="array" aca="1" ref="BN2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7" s="35" t="e" cm="1">
        <f t="array" aca="1" ref="BO2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7" s="35" t="e" cm="1">
        <f t="array" aca="1" ref="BP2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7" t="e" cm="1">
        <f t="array" aca="1" ref="BQ2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7" s="35" t="e" cm="1">
        <f t="array" aca="1" ref="BR2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7" s="35" t="e" cm="1">
        <f t="array" aca="1" ref="BS2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7" t="e" cm="1">
        <f t="array" aca="1" ref="BT2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7" s="35" t="e" cm="1">
        <f t="array" aca="1" ref="BU2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7" s="35" t="e" cm="1">
        <f t="array" aca="1" ref="BV2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7" t="e" cm="1">
        <f t="array" aca="1" ref="BW2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7" s="35" t="e" cm="1">
        <f t="array" aca="1" ref="BX2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7" s="35" t="e" cm="1">
        <f t="array" aca="1" ref="BY2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7" t="e" cm="1">
        <f t="array" aca="1" ref="BZ2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7" s="35" t="e" cm="1">
        <f t="array" aca="1" ref="CA2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7" s="35" t="e" cm="1">
        <f t="array" aca="1" ref="CB2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7" t="e" cm="1">
        <f t="array" aca="1" ref="CC2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7" s="35" t="e" cm="1">
        <f t="array" aca="1" ref="CD2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7" s="35" t="e" cm="1">
        <f t="array" aca="1" ref="CE2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7" t="e" cm="1">
        <f t="array" aca="1" ref="CF2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7" s="165" cm="1">
        <f t="array" aca="1" ref="CG27" ca="1">((E_modulus_Sec/40114)^-0.25)*((Subgrade_stiffness_Sec/35)^-0.25)*((Surface_thickness_Sec/0.22)^-0.75)*Area_trans*delflec_switch*SUM((INDEX(PVI_vehicle_EFC,1,1)/INDEX(PVI_fuel_energy_density,1,1))*(INDEX(Indicators,MATCH('Additional Impact Indicators'!$A27,Materials!$D:$D,0),MATCH("diesel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Indicators'!$A27,Materials!$D:$D,0),MATCH("bio-diesel combustion",Materials!$1:$1,0))*((1-enviro_disc)^Handle_years)*Handle_electricity_emissions:OFFSET(Handle_electricity_emissions,0,Results_timespan-1)^0)*OFFSET(Handle_traffic_fleet,6,0):OFFSET(Handle_traffic_fleet,6,Results_timespan-1))</f>
        <v>0</v>
      </c>
      <c r="CH27" s="375" cm="1">
        <f t="array" aca="1" ref="CH2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7" s="251" cm="1">
        <f t="array" aca="1" ref="CI27" ca="1">(SUMPRODUCT(Delay_emissions_table[Consumption of Diesel (kg) - Secondary Scenario],IF(Delay_emissions_table[Form of Maintenance - Secondary Scenario]="Life Extension",1,0))*INDEX(Indicators,MATCH('Additional Impact Indicators'!$A27,Materials!$D:$D,0),MATCH("diesel combustion",Materials!$1:$1,0))+SUMPRODUCT(Delay_emissions_table[Consumption of Petrol (kg) - Secondary Scenario],IF(Delay_emissions_table[Form of Maintenance - Secondary Scenario]="Life Extension",1,0))*INDEX(Indicators,MATCH('Additional Impact Indicators'!$A27,Materials!$D:$D,0),MATCH("petrol combustion",Materials!$1:$1,0))+IFERROR(SUMPRODUCT(TRANSPOSE(INDEX(elec_project_emissions,MATCH(Elec_scenario&amp;'Additional Impact Indicators'!$B27,INDEX(Electricity_projection,0,3),0)-1,0)),Delay_emissions_table[Consumption of electricity (MJ) - Secondary Scenario],IF(Delay_emissions_table[Form of Maintenance - Secondary Scenario]="Life Extension",1,0)),0))*Area_trans*time_adj_Sec</f>
        <v>0</v>
      </c>
      <c r="CJ27" s="251" cm="1">
        <f t="array" aca="1" ref="CJ27" ca="1">(SUMPRODUCT(Delay_emissions_table[Consumption of Diesel (kg) - Secondary Scenario],IF(Delay_emissions_table[Form of Maintenance - Secondary Scenario]="Replacement",1,0))*INDEX(Indicators,MATCH('Additional Impact Indicators'!$A27,Materials!$D:$D,0),MATCH("diesel combustion",Materials!$1:$1,0))+SUMPRODUCT(Delay_emissions_table[Consumption of Petrol (kg) - Secondary Scenario],IF(Delay_emissions_table[Form of Maintenance - Secondary Scenario]="Replacement",1,0))*INDEX(Indicators,MATCH('Additional Impact Indicators'!$A27,Materials!$D:$D,0),MATCH("petrol combustion",Materials!$1:$1,0))+IFERROR(SUMPRODUCT(TRANSPOSE(INDEX(elec_project_emissions,MATCH(Elec_scenario&amp;'Additional Impact Indicators'!$B27,INDEX(Electricity_projection,0,3),0)-1,0)),Delay_emissions_table[Consumption of electricity (MJ) - Secondary Scenario],IF(Delay_emissions_table[Form of Maintenance - Secondary Scenario]="Replacement",1,0)),0))*Area_trans*time_adj_Sec</f>
        <v>0</v>
      </c>
      <c r="CK27" s="252" t="e" cm="1">
        <f t="array" ref="CK2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7" s="252" t="e" cm="1">
        <f t="array" ref="CL2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7" s="253" t="e" cm="1">
        <f t="array" ref="CM2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7" s="387" t="e" cm="1">
        <f t="array" ref="CN2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7" s="51" t="e">
        <f ca="1">SUMIF(Table3[[#This Row],[Raw-Materials]:[Transport to recycling facility]],"&lt;&gt;#N/A")</f>
        <v>#DIV/0!</v>
      </c>
      <c r="CT27" t="s">
        <v>515</v>
      </c>
      <c r="CU27" t="s">
        <v>516</v>
      </c>
      <c r="CV27" t="str">
        <f t="shared" si="3"/>
        <v>A1</v>
      </c>
      <c r="CW27" t="s">
        <v>485</v>
      </c>
      <c r="CY27">
        <f>MATCH(Table611[[#This Row],[Indicator]],Material_Impacts[Look up],0)</f>
        <v>71</v>
      </c>
      <c r="CZ27" s="246" cm="1">
        <f t="array" aca="1" ref="CZ2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7" s="165" cm="1">
        <f t="array" ref="DA2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7" s="165" t="e">
        <f>Diesel_RawM_Tert*INDEX(Indicators,MATCH(Impacts_Additional[[#This Row],[Indicator]],Materials!$D:$D,0),MATCH("Diesel Combustion",Materials!$1:$1,0))*Diesel_density*Project_Area*Tert_Lays*Area_trans</f>
        <v>#DIV/0!</v>
      </c>
      <c r="DC27" s="35" t="e" cm="1">
        <f t="array" aca="1" ref="DC2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7" s="35" t="e" cm="1">
        <f t="array" aca="1" ref="DD2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7" t="e" cm="1">
        <f t="array" aca="1" ref="DE2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7" s="35" t="e" cm="1">
        <f t="array" aca="1" ref="DF2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7" s="35" t="e" cm="1">
        <f t="array" aca="1" ref="DG2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7" t="e" cm="1">
        <f t="array" aca="1" ref="DH2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7" s="35" t="e" cm="1">
        <f t="array" aca="1" ref="DI2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7" s="35" t="e" cm="1">
        <f t="array" aca="1" ref="DJ2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7" t="e" cm="1">
        <f t="array" aca="1" ref="DK2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7" s="35" t="e" cm="1">
        <f t="array" aca="1" ref="DL2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7" s="35" t="e" cm="1">
        <f t="array" aca="1" ref="DM2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7" t="e" cm="1">
        <f t="array" aca="1" ref="DN2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7" s="35" t="e" cm="1">
        <f t="array" aca="1" ref="DO2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7" s="35" t="e" cm="1">
        <f t="array" aca="1" ref="DP2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7" t="e" cm="1">
        <f t="array" aca="1" ref="DQ2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7" s="35" t="e" cm="1">
        <f t="array" aca="1" ref="DR2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7" s="35" t="e" cm="1">
        <f t="array" aca="1" ref="DS2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7" t="e" cm="1">
        <f t="array" aca="1" ref="DT2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7" s="35" t="e" cm="1">
        <f t="array" aca="1" ref="DU2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7" s="35" t="e" cm="1">
        <f t="array" aca="1" ref="DV2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7" t="e" cm="1">
        <f t="array" aca="1" ref="DW2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7" s="35" t="e" cm="1">
        <f t="array" aca="1" ref="DX2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7" s="35" t="e" cm="1">
        <f t="array" aca="1" ref="DY2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7" t="e" cm="1">
        <f t="array" aca="1" ref="DZ2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7" s="35" t="e" cm="1">
        <f t="array" aca="1" ref="EA2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7" s="35" t="e" cm="1">
        <f t="array" aca="1" ref="EB2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7" t="e" cm="1">
        <f t="array" aca="1" ref="EC2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7" s="165" cm="1">
        <f t="array" aca="1" ref="ED27" ca="1">((E_modulus_Tert/40114)^-0.25)*((Subgrade_stiffness_Tert/35)^-0.25)*((Surface_thickness_Tert/0.22)^-0.75)*Area_trans*delflec_switch*SUM((INDEX(PVI_vehicle_EFC,1,1)/INDEX(PVI_fuel_energy_density,1,1))*(INDEX(Indicators,MATCH('Additional Impact Indicators'!$A27,Materials!$D:$D,0),MATCH("diesel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Indicators'!$A27,Materials!$D:$D,0),MATCH("bio-diesel combustion",Materials!$1:$1,0))*((1-enviro_disc)^Handle_years)*Handle_electricity_emissions:OFFSET(Handle_electricity_emissions,0,Results_timespan-1)^0)*OFFSET(Handle_traffic_fleet,6,0):OFFSET(Handle_traffic_fleet,6,Results_timespan-1))</f>
        <v>0</v>
      </c>
      <c r="EE27" s="375" cm="1">
        <f t="array" aca="1" ref="EE2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7" s="251" cm="1">
        <f t="array" aca="1" ref="EF27" ca="1">(SUMPRODUCT(Delay_emissions_table[Consumption of Diesel (kg) - Tertiary Scenario],IF(Delay_emissions_table[Form of Maintenance - Tertiary Scenario]="Life Extension",1,0))*INDEX(Indicators,MATCH('Additional Impact Indicators'!$A27,Materials!$D:$D,0),MATCH("diesel combustion",Materials!$1:$1,0))+SUMPRODUCT(Delay_emissions_table[Consumption of Petrol (kg) - Tertiary Scenario],IF(Delay_emissions_table[Form of Maintenance - Tertiary Scenario]="Life Extension",1,0))*INDEX(Indicators,MATCH('Additional Impact Indicators'!$A27,Materials!$D:$D,0),MATCH("petrol combustion",Materials!$1:$1,0))+IFERROR(SUMPRODUCT(TRANSPOSE(INDEX(elec_project_emissions,MATCH(Elec_scenario&amp;'Additional Impact Indicators'!$B27,INDEX(Electricity_projection,0,3),0)-1,0)),Delay_emissions_table[Consumption of electricity (MJ) - Tertiary Scenario],IF(Delay_emissions_table[Form of Maintenance - Tertiary Scenario]="Life Extension",1,0)),0))*Area_trans*Time_adj_Tert</f>
        <v>0</v>
      </c>
      <c r="EG27" s="251" cm="1">
        <f t="array" aca="1" ref="EG27" ca="1">(SUMPRODUCT(Delay_emissions_table[Consumption of Diesel (kg) - Tertiary Scenario],IF(Delay_emissions_table[Form of Maintenance - Tertiary Scenario]="Replacement",1,0))*INDEX(Indicators,MATCH('Additional Impact Indicators'!$A27,Materials!$D:$D,0),MATCH("diesel combustion",Materials!$1:$1,0))+SUMPRODUCT(Delay_emissions_table[Consumption of Petrol (kg) - Tertiary Scenario],IF(Delay_emissions_table[Form of Maintenance - Tertiary Scenario]="Replacement",1,0))*INDEX(Indicators,MATCH('Additional Impact Indicators'!$A27,Materials!$D:$D,0),MATCH("petrol combustion",Materials!$1:$1,0))+IFERROR(SUMPRODUCT(TRANSPOSE(INDEX(elec_project_emissions,MATCH(Elec_scenario&amp;'Additional Impact Indicators'!$B27,INDEX(Electricity_projection,0,3),0)-1,0)),Delay_emissions_table[Consumption of electricity (MJ) - Tertiary Scenario],IF(Delay_emissions_table[Form of Maintenance - Tertiary Scenario]="Replacement",1,0)),0))*Area_trans*Time_adj_Tert</f>
        <v>0</v>
      </c>
      <c r="EH27" s="252" t="e" cm="1">
        <f t="array" ref="EH2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7" s="252" t="e" cm="1">
        <f t="array" ref="EI2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7" s="253" t="e" cm="1">
        <f t="array" ref="EJ2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7" s="253" t="e" cm="1">
        <f t="array" ref="EK2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7" t="e">
        <f ca="1">SUMIF(Table611[[#This Row],[Raw-Materials]:[Transport to recycling facility]],"&lt;&gt;#N/A")</f>
        <v>#DIV/0!</v>
      </c>
    </row>
    <row r="28" spans="1:142" x14ac:dyDescent="0.35">
      <c r="A28" t="s">
        <v>517</v>
      </c>
      <c r="B28" t="s">
        <v>518</v>
      </c>
      <c r="C28" t="str">
        <f t="shared" si="1"/>
        <v>A1</v>
      </c>
      <c r="D28" t="s">
        <v>485</v>
      </c>
      <c r="F28">
        <f>MATCH(Impacts_Additional[[#This Row],[Indicator]],Material_Impacts[Look up],0)</f>
        <v>72</v>
      </c>
      <c r="G28" s="246" cm="1">
        <f t="array" aca="1" ref="G2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8" s="166" cm="1">
        <f t="array" ref="H2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8" s="166" t="e">
        <f>Diesel_RawM_Prim*INDEX(Indicators,MATCH(Impacts_Additional[[#This Row],[Indicator]],Materials!$D:$D,0),MATCH("Diesel Combustion",Materials!$1:$1,0))*Diesel_density*Project_Area*Prim_Lays*Area_trans</f>
        <v>#DIV/0!</v>
      </c>
      <c r="J28" s="20" t="e" cm="1">
        <f t="array" aca="1" ref="J2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8" s="20" t="e" cm="1">
        <f t="array" aca="1" ref="K2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8" s="20" t="e" cm="1">
        <f t="array" aca="1" ref="L2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8" s="20" t="e" cm="1">
        <f t="array" aca="1" ref="M2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8" s="20" t="e" cm="1">
        <f t="array" aca="1" ref="N2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8" s="20" t="e" cm="1">
        <f t="array" aca="1" ref="O2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8" s="20" t="e" cm="1">
        <f t="array" aca="1" ref="P2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8" s="20" t="e" cm="1">
        <f t="array" aca="1" ref="Q2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8" s="20" t="e" cm="1">
        <f t="array" aca="1" ref="R2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8" s="20" t="e" cm="1">
        <f t="array" aca="1" ref="S2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8" s="20" t="e" cm="1">
        <f t="array" aca="1" ref="T2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8" s="20" t="e" cm="1">
        <f t="array" aca="1" ref="U2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8" s="20" t="e" cm="1">
        <f t="array" aca="1" ref="V2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8" s="20" t="e" cm="1">
        <f t="array" aca="1" ref="W2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8" s="20" t="e" cm="1">
        <f t="array" aca="1" ref="X2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8" s="20" t="e" cm="1">
        <f t="array" aca="1" ref="Y2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8" s="20" t="e" cm="1">
        <f t="array" aca="1" ref="Z2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8" s="20" t="e" cm="1">
        <f t="array" aca="1" ref="AA2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8" s="20" t="e" cm="1">
        <f t="array" aca="1" ref="AB2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8" s="20" t="e" cm="1">
        <f t="array" aca="1" ref="AC2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8" s="20" t="e" cm="1">
        <f t="array" aca="1" ref="AD2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8" s="20" t="e" cm="1">
        <f t="array" aca="1" ref="AE2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8" s="20" t="e" cm="1">
        <f t="array" aca="1" ref="AF2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8" s="20" t="e" cm="1">
        <f t="array" aca="1" ref="AG2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8" s="20" t="e" cm="1">
        <f t="array" aca="1" ref="AH2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8" s="20" t="e" cm="1">
        <f t="array" aca="1" ref="AI2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8" s="20" t="e" cm="1">
        <f t="array" aca="1" ref="AJ2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8" s="166" cm="1">
        <f t="array" aca="1" ref="AK28" ca="1">((E_modulus_Prim/40114)^-0.25)*((Subgrade_stiffness_Prim/35)^-0.25)*((Surface_thickness_Prim/0.22)^-0.75)*Area_trans*delflec_switch*SUM((INDEX(PVI_vehicle_EFC,1,1)/INDEX(PVI_fuel_energy_density,1,1))*(INDEX(Indicators,MATCH('Additional Impact Indicators'!$A28,Materials!$D:$D,0),MATCH("diesel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Indicators'!$A28,Materials!$D:$D,0),MATCH("bio-diesel combustion",Materials!$1:$1,0))*((1-enviro_disc)^Handle_years)*Handle_electricity_emissions:OFFSET(Handle_electricity_emissions,0,Results_timespan-1)^0)*OFFSET(Handle_traffic_fleet,6,0):OFFSET(Handle_traffic_fleet,6,Results_timespan-1))</f>
        <v>0</v>
      </c>
      <c r="AL28" s="166" cm="1">
        <f t="array" aca="1" ref="AL2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8" s="247" cm="1">
        <f t="array" aca="1" ref="AM28" ca="1">(SUMPRODUCT(Delay_emissions_table[Consumption of Diesel (kg) - Primary Scenario],IF(Delay_emissions_table[Form of Maintenance - Primary Scenario]="Life Extension",1,0))*INDEX(Indicators,MATCH('Additional Impact Indicators'!$A28,Materials!$D:$D,0),MATCH("diesel combustion",Materials!$1:$1,0))+SUMPRODUCT(Delay_emissions_table[Consumption of Petrol (kg) - Primary Scenario],IF(Delay_emissions_table[Form of Maintenance - Primary Scenario]="Life Extension",1,0))*INDEX(Indicators,MATCH('Additional Impact Indicators'!$A28,Materials!$D:$D,0),MATCH("petrol combustion",Materials!$1:$1,0))+IFERROR(SUMPRODUCT(TRANSPOSE(INDEX(elec_project_emissions,MATCH(Elec_scenario&amp;'Additional Impact Indicators'!$B28,INDEX(Electricity_projection,0,3),0)-1,0)),Delay_emissions_table[Consumption of electricity (MJ) - Primary Scenario],IF(Delay_emissions_table[Form of Maintenance - Primary Scenario]="Life Extension",1,0)),0))*Area_trans*Time_adj_Prim</f>
        <v>0</v>
      </c>
      <c r="AN28" s="247" cm="1">
        <f t="array" aca="1" ref="AN28" ca="1">(SUMPRODUCT(Delay_emissions_table[Consumption of Diesel (kg) - Primary Scenario],IF(Delay_emissions_table[Form of Maintenance - Primary Scenario]="Replacement",1,0))*INDEX(Indicators,MATCH('Additional Impact Indicators'!$A28,Materials!$D:$D,0),MATCH("diesel combustion",Materials!$1:$1,0))+SUMPRODUCT(Delay_emissions_table[Consumption of Petrol (kg) - Primary Scenario],IF(Delay_emissions_table[Form of Maintenance - Primary Scenario]="Replacement",1,0))*INDEX(Indicators,MATCH('Additional Impact Indicators'!$A28,Materials!$D:$D,0),MATCH("petrol combustion",Materials!$1:$1,0))+IFERROR(SUMPRODUCT(TRANSPOSE(INDEX(elec_project_emissions,MATCH(Elec_scenario&amp;'Additional Impact Indicators'!$B28,INDEX(Electricity_projection,0,3),0)-1,0)),Delay_emissions_table[Consumption of electricity (MJ) - Primary Scenario],IF(Delay_emissions_table[Form of Maintenance - Primary Scenario]="Replacement",1,0)),0))*Area_trans*Time_adj_Prim</f>
        <v>0</v>
      </c>
      <c r="AO28" s="248" t="e" cm="1">
        <f t="array" ref="AO2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8" s="248" t="e" cm="1">
        <f t="array" ref="AP2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8" s="249" t="e" cm="1">
        <f t="array" ref="AQ2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8" s="386" t="e" cm="1">
        <f t="array" ref="AR2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8" t="e">
        <f ca="1">SUMIF('Additional Impact Indicators'!$G28:$AQ28,"&lt;&gt;#N/A")</f>
        <v>#DIV/0!</v>
      </c>
      <c r="AW28" t="s">
        <v>517</v>
      </c>
      <c r="AX28" t="s">
        <v>518</v>
      </c>
      <c r="AY28" t="str">
        <f t="shared" si="2"/>
        <v>A1</v>
      </c>
      <c r="AZ28" t="s">
        <v>485</v>
      </c>
      <c r="BB28">
        <f>MATCH(Table3[[#This Row],[Indicator]],Material_Impacts[Look up],0)</f>
        <v>72</v>
      </c>
      <c r="BC28" s="246" cm="1">
        <f t="array" aca="1" ref="BC2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8" s="166" cm="1">
        <f t="array" ref="BD2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8" s="166" t="e">
        <f>Diesel_RawM_Sec*INDEX(Indicators,MATCH(Impacts_Additional[[#This Row],[Indicator]],Materials!$D:$D,0),MATCH("Diesel Combustion",Materials!$1:$1,0))*Diesel_density*Project_Area*Sec_Lays*Area_trans</f>
        <v>#DIV/0!</v>
      </c>
      <c r="BF28" s="35" t="e" cm="1">
        <f t="array" aca="1" ref="BF2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8" s="35" t="e" cm="1">
        <f t="array" aca="1" ref="BG2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8" t="e" cm="1">
        <f t="array" aca="1" ref="BH2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8" s="35" t="e" cm="1">
        <f t="array" aca="1" ref="BI2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8" s="35" t="e" cm="1">
        <f t="array" aca="1" ref="BJ2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8" t="e" cm="1">
        <f t="array" aca="1" ref="BK2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8" s="35" t="e" cm="1">
        <f t="array" aca="1" ref="BL2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8" s="35" t="e" cm="1">
        <f t="array" aca="1" ref="BM2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8" t="e" cm="1">
        <f t="array" aca="1" ref="BN2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8" s="35" t="e" cm="1">
        <f t="array" aca="1" ref="BO2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8" s="35" t="e" cm="1">
        <f t="array" aca="1" ref="BP2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8" t="e" cm="1">
        <f t="array" aca="1" ref="BQ2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8" s="35" t="e" cm="1">
        <f t="array" aca="1" ref="BR2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8" s="35" t="e" cm="1">
        <f t="array" aca="1" ref="BS2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8" t="e" cm="1">
        <f t="array" aca="1" ref="BT2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8" s="35" t="e" cm="1">
        <f t="array" aca="1" ref="BU2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8" s="35" t="e" cm="1">
        <f t="array" aca="1" ref="BV2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8" t="e" cm="1">
        <f t="array" aca="1" ref="BW2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8" s="35" t="e" cm="1">
        <f t="array" aca="1" ref="BX2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8" s="35" t="e" cm="1">
        <f t="array" aca="1" ref="BY2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8" t="e" cm="1">
        <f t="array" aca="1" ref="BZ2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8" s="35" t="e" cm="1">
        <f t="array" aca="1" ref="CA2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8" s="35" t="e" cm="1">
        <f t="array" aca="1" ref="CB2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8" t="e" cm="1">
        <f t="array" aca="1" ref="CC2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8" s="35" t="e" cm="1">
        <f t="array" aca="1" ref="CD2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8" s="35" t="e" cm="1">
        <f t="array" aca="1" ref="CE2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8" t="e" cm="1">
        <f t="array" aca="1" ref="CF2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8" s="166" cm="1">
        <f t="array" aca="1" ref="CG28" ca="1">((E_modulus_Sec/40114)^-0.25)*((Subgrade_stiffness_Sec/35)^-0.25)*((Surface_thickness_Sec/0.22)^-0.75)*Area_trans*delflec_switch*SUM((INDEX(PVI_vehicle_EFC,1,1)/INDEX(PVI_fuel_energy_density,1,1))*(INDEX(Indicators,MATCH('Additional Impact Indicators'!$A28,Materials!$D:$D,0),MATCH("diesel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Indicators'!$A28,Materials!$D:$D,0),MATCH("bio-diesel combustion",Materials!$1:$1,0))*((1-enviro_disc)^Handle_years)*Handle_electricity_emissions:OFFSET(Handle_electricity_emissions,0,Results_timespan-1)^0)*OFFSET(Handle_traffic_fleet,6,0):OFFSET(Handle_traffic_fleet,6,Results_timespan-1))</f>
        <v>0</v>
      </c>
      <c r="CH28" s="375" cm="1">
        <f t="array" aca="1" ref="CH2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8" s="247" cm="1">
        <f t="array" aca="1" ref="CI28" ca="1">(SUMPRODUCT(Delay_emissions_table[Consumption of Diesel (kg) - Secondary Scenario],IF(Delay_emissions_table[Form of Maintenance - Secondary Scenario]="Life Extension",1,0))*INDEX(Indicators,MATCH('Additional Impact Indicators'!$A28,Materials!$D:$D,0),MATCH("diesel combustion",Materials!$1:$1,0))+SUMPRODUCT(Delay_emissions_table[Consumption of Petrol (kg) - Secondary Scenario],IF(Delay_emissions_table[Form of Maintenance - Secondary Scenario]="Life Extension",1,0))*INDEX(Indicators,MATCH('Additional Impact Indicators'!$A28,Materials!$D:$D,0),MATCH("petrol combustion",Materials!$1:$1,0))+IFERROR(SUMPRODUCT(TRANSPOSE(INDEX(elec_project_emissions,MATCH(Elec_scenario&amp;'Additional Impact Indicators'!$B28,INDEX(Electricity_projection,0,3),0)-1,0)),Delay_emissions_table[Consumption of electricity (MJ) - Secondary Scenario],IF(Delay_emissions_table[Form of Maintenance - Secondary Scenario]="Life Extension",1,0)),0))*Area_trans*time_adj_Sec</f>
        <v>0</v>
      </c>
      <c r="CJ28" s="247" cm="1">
        <f t="array" aca="1" ref="CJ28" ca="1">(SUMPRODUCT(Delay_emissions_table[Consumption of Diesel (kg) - Secondary Scenario],IF(Delay_emissions_table[Form of Maintenance - Secondary Scenario]="Replacement",1,0))*INDEX(Indicators,MATCH('Additional Impact Indicators'!$A28,Materials!$D:$D,0),MATCH("diesel combustion",Materials!$1:$1,0))+SUMPRODUCT(Delay_emissions_table[Consumption of Petrol (kg) - Secondary Scenario],IF(Delay_emissions_table[Form of Maintenance - Secondary Scenario]="Replacement",1,0))*INDEX(Indicators,MATCH('Additional Impact Indicators'!$A28,Materials!$D:$D,0),MATCH("petrol combustion",Materials!$1:$1,0))+IFERROR(SUMPRODUCT(TRANSPOSE(INDEX(elec_project_emissions,MATCH(Elec_scenario&amp;'Additional Impact Indicators'!$B28,INDEX(Electricity_projection,0,3),0)-1,0)),Delay_emissions_table[Consumption of electricity (MJ) - Secondary Scenario],IF(Delay_emissions_table[Form of Maintenance - Secondary Scenario]="Replacement",1,0)),0))*Area_trans*time_adj_Sec</f>
        <v>0</v>
      </c>
      <c r="CK28" s="248" t="e" cm="1">
        <f t="array" ref="CK2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8" s="248" t="e" cm="1">
        <f t="array" ref="CL2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8" s="249" t="e" cm="1">
        <f t="array" ref="CM2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8" s="387" t="e" cm="1">
        <f t="array" ref="CN2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8" s="51" t="e">
        <f ca="1">SUMIF(Table3[[#This Row],[Raw-Materials]:[Transport to recycling facility]],"&lt;&gt;#N/A")</f>
        <v>#DIV/0!</v>
      </c>
      <c r="CT28" t="s">
        <v>517</v>
      </c>
      <c r="CU28" t="s">
        <v>518</v>
      </c>
      <c r="CV28" t="str">
        <f t="shared" si="3"/>
        <v>A1</v>
      </c>
      <c r="CW28" t="s">
        <v>485</v>
      </c>
      <c r="CY28">
        <f>MATCH(Table611[[#This Row],[Indicator]],Material_Impacts[Look up],0)</f>
        <v>72</v>
      </c>
      <c r="CZ28" s="246" cm="1">
        <f t="array" aca="1" ref="CZ2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8" s="166" cm="1">
        <f t="array" ref="DA2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8" s="166" t="e">
        <f>Diesel_RawM_Tert*INDEX(Indicators,MATCH(Impacts_Additional[[#This Row],[Indicator]],Materials!$D:$D,0),MATCH("Diesel Combustion",Materials!$1:$1,0))*Diesel_density*Project_Area*Tert_Lays*Area_trans</f>
        <v>#DIV/0!</v>
      </c>
      <c r="DC28" s="35" t="e" cm="1">
        <f t="array" aca="1" ref="DC2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8" s="35" t="e" cm="1">
        <f t="array" aca="1" ref="DD2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8" t="e" cm="1">
        <f t="array" aca="1" ref="DE2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8" s="35" t="e" cm="1">
        <f t="array" aca="1" ref="DF2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8" s="35" t="e" cm="1">
        <f t="array" aca="1" ref="DG2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8" t="e" cm="1">
        <f t="array" aca="1" ref="DH2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8" s="35" t="e" cm="1">
        <f t="array" aca="1" ref="DI2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8" s="35" t="e" cm="1">
        <f t="array" aca="1" ref="DJ2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8" t="e" cm="1">
        <f t="array" aca="1" ref="DK2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8" s="35" t="e" cm="1">
        <f t="array" aca="1" ref="DL2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8" s="35" t="e" cm="1">
        <f t="array" aca="1" ref="DM2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8" t="e" cm="1">
        <f t="array" aca="1" ref="DN2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8" s="35" t="e" cm="1">
        <f t="array" aca="1" ref="DO2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8" s="35" t="e" cm="1">
        <f t="array" aca="1" ref="DP2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8" t="e" cm="1">
        <f t="array" aca="1" ref="DQ2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8" s="35" t="e" cm="1">
        <f t="array" aca="1" ref="DR2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8" s="35" t="e" cm="1">
        <f t="array" aca="1" ref="DS2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8" t="e" cm="1">
        <f t="array" aca="1" ref="DT2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8" s="35" t="e" cm="1">
        <f t="array" aca="1" ref="DU2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8" s="35" t="e" cm="1">
        <f t="array" aca="1" ref="DV2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8" t="e" cm="1">
        <f t="array" aca="1" ref="DW2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8" s="35" t="e" cm="1">
        <f t="array" aca="1" ref="DX2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8" s="35" t="e" cm="1">
        <f t="array" aca="1" ref="DY2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8" t="e" cm="1">
        <f t="array" aca="1" ref="DZ2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8" s="35" t="e" cm="1">
        <f t="array" aca="1" ref="EA2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8" s="35" t="e" cm="1">
        <f t="array" aca="1" ref="EB2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8" t="e" cm="1">
        <f t="array" aca="1" ref="EC2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8" s="166" cm="1">
        <f t="array" aca="1" ref="ED28" ca="1">((E_modulus_Tert/40114)^-0.25)*((Subgrade_stiffness_Tert/35)^-0.25)*((Surface_thickness_Tert/0.22)^-0.75)*Area_trans*delflec_switch*SUM((INDEX(PVI_vehicle_EFC,1,1)/INDEX(PVI_fuel_energy_density,1,1))*(INDEX(Indicators,MATCH('Additional Impact Indicators'!$A28,Materials!$D:$D,0),MATCH("diesel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Indicators'!$A28,Materials!$D:$D,0),MATCH("bio-diesel combustion",Materials!$1:$1,0))*((1-enviro_disc)^Handle_years)*Handle_electricity_emissions:OFFSET(Handle_electricity_emissions,0,Results_timespan-1)^0)*OFFSET(Handle_traffic_fleet,6,0):OFFSET(Handle_traffic_fleet,6,Results_timespan-1))</f>
        <v>0</v>
      </c>
      <c r="EE28" s="375" cm="1">
        <f t="array" aca="1" ref="EE2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8" s="247" cm="1">
        <f t="array" aca="1" ref="EF28" ca="1">(SUMPRODUCT(Delay_emissions_table[Consumption of Diesel (kg) - Tertiary Scenario],IF(Delay_emissions_table[Form of Maintenance - Tertiary Scenario]="Life Extension",1,0))*INDEX(Indicators,MATCH('Additional Impact Indicators'!$A28,Materials!$D:$D,0),MATCH("diesel combustion",Materials!$1:$1,0))+SUMPRODUCT(Delay_emissions_table[Consumption of Petrol (kg) - Tertiary Scenario],IF(Delay_emissions_table[Form of Maintenance - Tertiary Scenario]="Life Extension",1,0))*INDEX(Indicators,MATCH('Additional Impact Indicators'!$A28,Materials!$D:$D,0),MATCH("petrol combustion",Materials!$1:$1,0))+IFERROR(SUMPRODUCT(TRANSPOSE(INDEX(elec_project_emissions,MATCH(Elec_scenario&amp;'Additional Impact Indicators'!$B28,INDEX(Electricity_projection,0,3),0)-1,0)),Delay_emissions_table[Consumption of electricity (MJ) - Tertiary Scenario],IF(Delay_emissions_table[Form of Maintenance - Tertiary Scenario]="Life Extension",1,0)),0))*Area_trans*Time_adj_Tert</f>
        <v>0</v>
      </c>
      <c r="EG28" s="247" cm="1">
        <f t="array" aca="1" ref="EG28" ca="1">(SUMPRODUCT(Delay_emissions_table[Consumption of Diesel (kg) - Tertiary Scenario],IF(Delay_emissions_table[Form of Maintenance - Tertiary Scenario]="Replacement",1,0))*INDEX(Indicators,MATCH('Additional Impact Indicators'!$A28,Materials!$D:$D,0),MATCH("diesel combustion",Materials!$1:$1,0))+SUMPRODUCT(Delay_emissions_table[Consumption of Petrol (kg) - Tertiary Scenario],IF(Delay_emissions_table[Form of Maintenance - Tertiary Scenario]="Replacement",1,0))*INDEX(Indicators,MATCH('Additional Impact Indicators'!$A28,Materials!$D:$D,0),MATCH("petrol combustion",Materials!$1:$1,0))+IFERROR(SUMPRODUCT(TRANSPOSE(INDEX(elec_project_emissions,MATCH(Elec_scenario&amp;'Additional Impact Indicators'!$B28,INDEX(Electricity_projection,0,3),0)-1,0)),Delay_emissions_table[Consumption of electricity (MJ) - Tertiary Scenario],IF(Delay_emissions_table[Form of Maintenance - Tertiary Scenario]="Replacement",1,0)),0))*Area_trans*Time_adj_Tert</f>
        <v>0</v>
      </c>
      <c r="EH28" s="248" t="e" cm="1">
        <f t="array" ref="EH2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8" s="248" t="e" cm="1">
        <f t="array" ref="EI2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8" s="249" t="e" cm="1">
        <f t="array" ref="EJ2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8" s="249" t="e" cm="1">
        <f t="array" ref="EK2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8" t="e">
        <f ca="1">SUMIF(Table611[[#This Row],[Raw-Materials]:[Transport to recycling facility]],"&lt;&gt;#N/A")</f>
        <v>#DIV/0!</v>
      </c>
    </row>
    <row r="29" spans="1:142" x14ac:dyDescent="0.35">
      <c r="A29" s="155" t="s">
        <v>519</v>
      </c>
      <c r="B29" s="155" t="s">
        <v>379</v>
      </c>
      <c r="C29" s="155" t="str">
        <f t="shared" si="1"/>
        <v>A2</v>
      </c>
      <c r="D29" s="155" t="s">
        <v>485</v>
      </c>
      <c r="E29" s="155"/>
      <c r="F29">
        <f>MATCH(Impacts_Additional[[#This Row],[Indicator]],Material_Impacts[Look up],0)</f>
        <v>73</v>
      </c>
      <c r="G29" s="246" cm="1">
        <f t="array" aca="1" ref="G2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29" s="165" cm="1">
        <f t="array" ref="H2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29" s="165" t="e">
        <f>Diesel_RawM_Prim*INDEX(Indicators,MATCH(Impacts_Additional[[#This Row],[Indicator]],Materials!$D:$D,0),MATCH("Diesel Combustion",Materials!$1:$1,0))*Diesel_density*Project_Area*Prim_Lays*Area_trans</f>
        <v>#DIV/0!</v>
      </c>
      <c r="J29" s="250" t="e" cm="1">
        <f t="array" aca="1" ref="J2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29" s="250" t="e" cm="1">
        <f t="array" aca="1" ref="K2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29" s="250" t="e" cm="1">
        <f t="array" aca="1" ref="L2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29" s="250" t="e" cm="1">
        <f t="array" aca="1" ref="M2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29" s="250" t="e" cm="1">
        <f t="array" aca="1" ref="N2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29" s="250" t="e" cm="1">
        <f t="array" aca="1" ref="O2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29" s="250" t="e" cm="1">
        <f t="array" aca="1" ref="P2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29" s="250" t="e" cm="1">
        <f t="array" aca="1" ref="Q2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29" s="250" t="e" cm="1">
        <f t="array" aca="1" ref="R2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29" s="250" t="e" cm="1">
        <f t="array" aca="1" ref="S2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29" s="250" t="e" cm="1">
        <f t="array" aca="1" ref="T2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29" s="250" t="e" cm="1">
        <f t="array" aca="1" ref="U2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29" s="250" t="e" cm="1">
        <f t="array" aca="1" ref="V2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29" s="250" t="e" cm="1">
        <f t="array" aca="1" ref="W2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29" s="250" t="e" cm="1">
        <f t="array" aca="1" ref="X2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29" s="250" t="e" cm="1">
        <f t="array" aca="1" ref="Y2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29" s="250" t="e" cm="1">
        <f t="array" aca="1" ref="Z2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29" s="250" t="e" cm="1">
        <f t="array" aca="1" ref="AA2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29" s="250" t="e" cm="1">
        <f t="array" aca="1" ref="AB2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29" s="250" t="e" cm="1">
        <f t="array" aca="1" ref="AC2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29" s="250" t="e" cm="1">
        <f t="array" aca="1" ref="AD2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29" s="250" t="e" cm="1">
        <f t="array" aca="1" ref="AE2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29" s="250" t="e" cm="1">
        <f t="array" aca="1" ref="AF2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29" s="250" t="e" cm="1">
        <f t="array" aca="1" ref="AG2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29" s="250" t="e" cm="1">
        <f t="array" aca="1" ref="AH2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29" s="250" t="e" cm="1">
        <f t="array" aca="1" ref="AI2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29" s="250" t="e" cm="1">
        <f t="array" aca="1" ref="AJ2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29" s="165" cm="1">
        <f t="array" aca="1" ref="AK29" ca="1">((E_modulus_Prim/40114)^-0.25)*((Subgrade_stiffness_Prim/35)^-0.25)*((Surface_thickness_Prim/0.22)^-0.75)*Area_trans*delflec_switch*SUM((INDEX(PVI_vehicle_EFC,1,1)/INDEX(PVI_fuel_energy_density,1,1))*(INDEX(Indicators,MATCH('Additional Impact Indicators'!$A29,Materials!$D:$D,0),MATCH("diesel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Indicators'!$A29,Materials!$D:$D,0),MATCH("bio-diesel combustion",Materials!$1:$1,0))*((1-enviro_disc)^Handle_years)*Handle_electricity_emissions:OFFSET(Handle_electricity_emissions,0,Results_timespan-1)^0)*OFFSET(Handle_traffic_fleet,6,0):OFFSET(Handle_traffic_fleet,6,Results_timespan-1))</f>
        <v>0</v>
      </c>
      <c r="AL29" s="165" cm="1">
        <f t="array" aca="1" ref="AL2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29" s="251" cm="1">
        <f t="array" aca="1" ref="AM29" ca="1">(SUMPRODUCT(Delay_emissions_table[Consumption of Diesel (kg) - Primary Scenario],IF(Delay_emissions_table[Form of Maintenance - Primary Scenario]="Life Extension",1,0))*INDEX(Indicators,MATCH('Additional Impact Indicators'!$A29,Materials!$D:$D,0),MATCH("diesel combustion",Materials!$1:$1,0))+SUMPRODUCT(Delay_emissions_table[Consumption of Petrol (kg) - Primary Scenario],IF(Delay_emissions_table[Form of Maintenance - Primary Scenario]="Life Extension",1,0))*INDEX(Indicators,MATCH('Additional Impact Indicators'!$A29,Materials!$D:$D,0),MATCH("petrol combustion",Materials!$1:$1,0))+IFERROR(SUMPRODUCT(TRANSPOSE(INDEX(elec_project_emissions,MATCH(Elec_scenario&amp;'Additional Impact Indicators'!$B29,INDEX(Electricity_projection,0,3),0)-1,0)),Delay_emissions_table[Consumption of electricity (MJ) - Primary Scenario],IF(Delay_emissions_table[Form of Maintenance - Primary Scenario]="Life Extension",1,0)),0))*Area_trans*Time_adj_Prim</f>
        <v>0</v>
      </c>
      <c r="AN29" s="251" cm="1">
        <f t="array" aca="1" ref="AN29" ca="1">(SUMPRODUCT(Delay_emissions_table[Consumption of Diesel (kg) - Primary Scenario],IF(Delay_emissions_table[Form of Maintenance - Primary Scenario]="Replacement",1,0))*INDEX(Indicators,MATCH('Additional Impact Indicators'!$A29,Materials!$D:$D,0),MATCH("diesel combustion",Materials!$1:$1,0))+SUMPRODUCT(Delay_emissions_table[Consumption of Petrol (kg) - Primary Scenario],IF(Delay_emissions_table[Form of Maintenance - Primary Scenario]="Replacement",1,0))*INDEX(Indicators,MATCH('Additional Impact Indicators'!$A29,Materials!$D:$D,0),MATCH("petrol combustion",Materials!$1:$1,0))+IFERROR(SUMPRODUCT(TRANSPOSE(INDEX(elec_project_emissions,MATCH(Elec_scenario&amp;'Additional Impact Indicators'!$B29,INDEX(Electricity_projection,0,3),0)-1,0)),Delay_emissions_table[Consumption of electricity (MJ) - Primary Scenario],IF(Delay_emissions_table[Form of Maintenance - Primary Scenario]="Replacement",1,0)),0))*Area_trans*Time_adj_Prim</f>
        <v>0</v>
      </c>
      <c r="AO29" s="252" t="e" cm="1">
        <f t="array" ref="AO2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29" s="252" t="e" cm="1">
        <f t="array" ref="AP2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29" s="253" t="e" cm="1">
        <f t="array" ref="AQ2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29" s="385" t="e" cm="1">
        <f t="array" ref="AR2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29" t="e">
        <f ca="1">SUMIF('Additional Impact Indicators'!$G29:$AQ29,"&lt;&gt;#N/A")</f>
        <v>#DIV/0!</v>
      </c>
      <c r="AW29" s="155" t="s">
        <v>519</v>
      </c>
      <c r="AX29" s="155" t="s">
        <v>379</v>
      </c>
      <c r="AY29" s="155" t="str">
        <f t="shared" si="2"/>
        <v>A2</v>
      </c>
      <c r="AZ29" s="155" t="s">
        <v>485</v>
      </c>
      <c r="BA29" s="155"/>
      <c r="BB29" s="155">
        <f>MATCH(Table3[[#This Row],[Indicator]],Material_Impacts[Look up],0)</f>
        <v>73</v>
      </c>
      <c r="BC29" s="246" cm="1">
        <f t="array" aca="1" ref="BC2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29" s="165" cm="1">
        <f t="array" ref="BD2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29" s="165" t="e">
        <f>Diesel_RawM_Sec*INDEX(Indicators,MATCH(Impacts_Additional[[#This Row],[Indicator]],Materials!$D:$D,0),MATCH("Diesel Combustion",Materials!$1:$1,0))*Diesel_density*Project_Area*Sec_Lays*Area_trans</f>
        <v>#DIV/0!</v>
      </c>
      <c r="BF29" s="35" t="e" cm="1">
        <f t="array" aca="1" ref="BF2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29" s="35" t="e" cm="1">
        <f t="array" aca="1" ref="BG2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29" t="e" cm="1">
        <f t="array" aca="1" ref="BH2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29" s="35" t="e" cm="1">
        <f t="array" aca="1" ref="BI2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29" s="35" t="e" cm="1">
        <f t="array" aca="1" ref="BJ2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29" t="e" cm="1">
        <f t="array" aca="1" ref="BK2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29" s="35" t="e" cm="1">
        <f t="array" aca="1" ref="BL2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29" s="35" t="e" cm="1">
        <f t="array" aca="1" ref="BM2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29" t="e" cm="1">
        <f t="array" aca="1" ref="BN2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29" s="35" t="e" cm="1">
        <f t="array" aca="1" ref="BO2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29" s="35" t="e" cm="1">
        <f t="array" aca="1" ref="BP2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29" t="e" cm="1">
        <f t="array" aca="1" ref="BQ2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29" s="35" t="e" cm="1">
        <f t="array" aca="1" ref="BR2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29" s="35" t="e" cm="1">
        <f t="array" aca="1" ref="BS2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29" t="e" cm="1">
        <f t="array" aca="1" ref="BT2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29" s="35" t="e" cm="1">
        <f t="array" aca="1" ref="BU2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29" s="35" t="e" cm="1">
        <f t="array" aca="1" ref="BV2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29" t="e" cm="1">
        <f t="array" aca="1" ref="BW2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29" s="35" t="e" cm="1">
        <f t="array" aca="1" ref="BX2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29" s="35" t="e" cm="1">
        <f t="array" aca="1" ref="BY2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29" t="e" cm="1">
        <f t="array" aca="1" ref="BZ2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29" s="35" t="e" cm="1">
        <f t="array" aca="1" ref="CA2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29" s="35" t="e" cm="1">
        <f t="array" aca="1" ref="CB2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29" t="e" cm="1">
        <f t="array" aca="1" ref="CC2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29" s="35" t="e" cm="1">
        <f t="array" aca="1" ref="CD2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29" s="35" t="e" cm="1">
        <f t="array" aca="1" ref="CE2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29" t="e" cm="1">
        <f t="array" aca="1" ref="CF2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29" s="165" cm="1">
        <f t="array" aca="1" ref="CG29" ca="1">((E_modulus_Sec/40114)^-0.25)*((Subgrade_stiffness_Sec/35)^-0.25)*((Surface_thickness_Sec/0.22)^-0.75)*Area_trans*delflec_switch*SUM((INDEX(PVI_vehicle_EFC,1,1)/INDEX(PVI_fuel_energy_density,1,1))*(INDEX(Indicators,MATCH('Additional Impact Indicators'!$A29,Materials!$D:$D,0),MATCH("diesel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Indicators'!$A29,Materials!$D:$D,0),MATCH("bio-diesel combustion",Materials!$1:$1,0))*((1-enviro_disc)^Handle_years)*Handle_electricity_emissions:OFFSET(Handle_electricity_emissions,0,Results_timespan-1)^0)*OFFSET(Handle_traffic_fleet,6,0):OFFSET(Handle_traffic_fleet,6,Results_timespan-1))</f>
        <v>0</v>
      </c>
      <c r="CH29" s="375" cm="1">
        <f t="array" aca="1" ref="CH2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29" s="251" cm="1">
        <f t="array" aca="1" ref="CI29" ca="1">(SUMPRODUCT(Delay_emissions_table[Consumption of Diesel (kg) - Secondary Scenario],IF(Delay_emissions_table[Form of Maintenance - Secondary Scenario]="Life Extension",1,0))*INDEX(Indicators,MATCH('Additional Impact Indicators'!$A29,Materials!$D:$D,0),MATCH("diesel combustion",Materials!$1:$1,0))+SUMPRODUCT(Delay_emissions_table[Consumption of Petrol (kg) - Secondary Scenario],IF(Delay_emissions_table[Form of Maintenance - Secondary Scenario]="Life Extension",1,0))*INDEX(Indicators,MATCH('Additional Impact Indicators'!$A29,Materials!$D:$D,0),MATCH("petrol combustion",Materials!$1:$1,0))+IFERROR(SUMPRODUCT(TRANSPOSE(INDEX(elec_project_emissions,MATCH(Elec_scenario&amp;'Additional Impact Indicators'!$B29,INDEX(Electricity_projection,0,3),0)-1,0)),Delay_emissions_table[Consumption of electricity (MJ) - Secondary Scenario],IF(Delay_emissions_table[Form of Maintenance - Secondary Scenario]="Life Extension",1,0)),0))*Area_trans*time_adj_Sec</f>
        <v>0</v>
      </c>
      <c r="CJ29" s="251" cm="1">
        <f t="array" aca="1" ref="CJ29" ca="1">(SUMPRODUCT(Delay_emissions_table[Consumption of Diesel (kg) - Secondary Scenario],IF(Delay_emissions_table[Form of Maintenance - Secondary Scenario]="Replacement",1,0))*INDEX(Indicators,MATCH('Additional Impact Indicators'!$A29,Materials!$D:$D,0),MATCH("diesel combustion",Materials!$1:$1,0))+SUMPRODUCT(Delay_emissions_table[Consumption of Petrol (kg) - Secondary Scenario],IF(Delay_emissions_table[Form of Maintenance - Secondary Scenario]="Replacement",1,0))*INDEX(Indicators,MATCH('Additional Impact Indicators'!$A29,Materials!$D:$D,0),MATCH("petrol combustion",Materials!$1:$1,0))+IFERROR(SUMPRODUCT(TRANSPOSE(INDEX(elec_project_emissions,MATCH(Elec_scenario&amp;'Additional Impact Indicators'!$B29,INDEX(Electricity_projection,0,3),0)-1,0)),Delay_emissions_table[Consumption of electricity (MJ) - Secondary Scenario],IF(Delay_emissions_table[Form of Maintenance - Secondary Scenario]="Replacement",1,0)),0))*Area_trans*time_adj_Sec</f>
        <v>0</v>
      </c>
      <c r="CK29" s="252" t="e" cm="1">
        <f t="array" ref="CK2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29" s="252" t="e" cm="1">
        <f t="array" ref="CL2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29" s="253" t="e" cm="1">
        <f t="array" ref="CM2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29" s="387" t="e" cm="1">
        <f t="array" ref="CN2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29" s="51" t="e">
        <f ca="1">SUMIF(Table3[[#This Row],[Raw-Materials]:[Transport to recycling facility]],"&lt;&gt;#N/A")</f>
        <v>#DIV/0!</v>
      </c>
      <c r="CT29" t="s">
        <v>519</v>
      </c>
      <c r="CU29" t="s">
        <v>379</v>
      </c>
      <c r="CV29" t="str">
        <f t="shared" si="3"/>
        <v>A2</v>
      </c>
      <c r="CW29" t="s">
        <v>485</v>
      </c>
      <c r="CY29">
        <f>MATCH(Table611[[#This Row],[Indicator]],Material_Impacts[Look up],0)</f>
        <v>73</v>
      </c>
      <c r="CZ29" s="246" cm="1">
        <f t="array" aca="1" ref="CZ2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29" s="165" cm="1">
        <f t="array" ref="DA2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29" s="165" t="e">
        <f>Diesel_RawM_Tert*INDEX(Indicators,MATCH(Impacts_Additional[[#This Row],[Indicator]],Materials!$D:$D,0),MATCH("Diesel Combustion",Materials!$1:$1,0))*Diesel_density*Project_Area*Tert_Lays*Area_trans</f>
        <v>#DIV/0!</v>
      </c>
      <c r="DC29" s="35" t="e" cm="1">
        <f t="array" aca="1" ref="DC2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29" s="35" t="e" cm="1">
        <f t="array" aca="1" ref="DD2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29" t="e" cm="1">
        <f t="array" aca="1" ref="DE2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29" s="35" t="e" cm="1">
        <f t="array" aca="1" ref="DF2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29" s="35" t="e" cm="1">
        <f t="array" aca="1" ref="DG2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29" t="e" cm="1">
        <f t="array" aca="1" ref="DH2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29" s="35" t="e" cm="1">
        <f t="array" aca="1" ref="DI2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29" s="35" t="e" cm="1">
        <f t="array" aca="1" ref="DJ2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29" t="e" cm="1">
        <f t="array" aca="1" ref="DK2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29" s="35" t="e" cm="1">
        <f t="array" aca="1" ref="DL2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29" s="35" t="e" cm="1">
        <f t="array" aca="1" ref="DM2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29" t="e" cm="1">
        <f t="array" aca="1" ref="DN2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29" s="35" t="e" cm="1">
        <f t="array" aca="1" ref="DO2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29" s="35" t="e" cm="1">
        <f t="array" aca="1" ref="DP2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29" t="e" cm="1">
        <f t="array" aca="1" ref="DQ2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29" s="35" t="e" cm="1">
        <f t="array" aca="1" ref="DR2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29" s="35" t="e" cm="1">
        <f t="array" aca="1" ref="DS2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29" t="e" cm="1">
        <f t="array" aca="1" ref="DT2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29" s="35" t="e" cm="1">
        <f t="array" aca="1" ref="DU2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29" s="35" t="e" cm="1">
        <f t="array" aca="1" ref="DV2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29" t="e" cm="1">
        <f t="array" aca="1" ref="DW2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29" s="35" t="e" cm="1">
        <f t="array" aca="1" ref="DX2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29" s="35" t="e" cm="1">
        <f t="array" aca="1" ref="DY2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29" t="e" cm="1">
        <f t="array" aca="1" ref="DZ2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29" s="35" t="e" cm="1">
        <f t="array" aca="1" ref="EA2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29" s="35" t="e" cm="1">
        <f t="array" aca="1" ref="EB2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29" t="e" cm="1">
        <f t="array" aca="1" ref="EC2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29" s="165" cm="1">
        <f t="array" aca="1" ref="ED29" ca="1">((E_modulus_Tert/40114)^-0.25)*((Subgrade_stiffness_Tert/35)^-0.25)*((Surface_thickness_Tert/0.22)^-0.75)*Area_trans*delflec_switch*SUM((INDEX(PVI_vehicle_EFC,1,1)/INDEX(PVI_fuel_energy_density,1,1))*(INDEX(Indicators,MATCH('Additional Impact Indicators'!$A29,Materials!$D:$D,0),MATCH("diesel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Indicators'!$A29,Materials!$D:$D,0),MATCH("petrol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Indicators'!$A29,Materials!$D:$D,0),MATCH("diesel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Indicators'!$A29,Materials!$D:$D,0),MATCH("petrol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Indicators'!$A29,Materials!$D:$D,0),MATCH("bio-diesel combustion",Materials!$1:$1,0))*((1-enviro_disc)^Handle_years)*Handle_electricity_emissions:OFFSET(Handle_electricity_emissions,0,Results_timespan-1)^0)*OFFSET(Handle_traffic_fleet,6,0):OFFSET(Handle_traffic_fleet,6,Results_timespan-1))</f>
        <v>0</v>
      </c>
      <c r="EE29" s="375" cm="1">
        <f t="array" aca="1" ref="EE2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29" s="251" cm="1">
        <f t="array" aca="1" ref="EF29" ca="1">(SUMPRODUCT(Delay_emissions_table[Consumption of Diesel (kg) - Tertiary Scenario],IF(Delay_emissions_table[Form of Maintenance - Tertiary Scenario]="Life Extension",1,0))*INDEX(Indicators,MATCH('Additional Impact Indicators'!$A29,Materials!$D:$D,0),MATCH("diesel combustion",Materials!$1:$1,0))+SUMPRODUCT(Delay_emissions_table[Consumption of Petrol (kg) - Tertiary Scenario],IF(Delay_emissions_table[Form of Maintenance - Tertiary Scenario]="Life Extension",1,0))*INDEX(Indicators,MATCH('Additional Impact Indicators'!$A29,Materials!$D:$D,0),MATCH("petrol combustion",Materials!$1:$1,0))+IFERROR(SUMPRODUCT(TRANSPOSE(INDEX(elec_project_emissions,MATCH(Elec_scenario&amp;'Additional Impact Indicators'!$B29,INDEX(Electricity_projection,0,3),0)-1,0)),Delay_emissions_table[Consumption of electricity (MJ) - Tertiary Scenario],IF(Delay_emissions_table[Form of Maintenance - Tertiary Scenario]="Life Extension",1,0)),0))*Area_trans*Time_adj_Tert</f>
        <v>0</v>
      </c>
      <c r="EG29" s="251" cm="1">
        <f t="array" aca="1" ref="EG29" ca="1">(SUMPRODUCT(Delay_emissions_table[Consumption of Diesel (kg) - Tertiary Scenario],IF(Delay_emissions_table[Form of Maintenance - Tertiary Scenario]="Replacement",1,0))*INDEX(Indicators,MATCH('Additional Impact Indicators'!$A29,Materials!$D:$D,0),MATCH("diesel combustion",Materials!$1:$1,0))+SUMPRODUCT(Delay_emissions_table[Consumption of Petrol (kg) - Tertiary Scenario],IF(Delay_emissions_table[Form of Maintenance - Tertiary Scenario]="Replacement",1,0))*INDEX(Indicators,MATCH('Additional Impact Indicators'!$A29,Materials!$D:$D,0),MATCH("petrol combustion",Materials!$1:$1,0))+IFERROR(SUMPRODUCT(TRANSPOSE(INDEX(elec_project_emissions,MATCH(Elec_scenario&amp;'Additional Impact Indicators'!$B29,INDEX(Electricity_projection,0,3),0)-1,0)),Delay_emissions_table[Consumption of electricity (MJ) - Tertiary Scenario],IF(Delay_emissions_table[Form of Maintenance - Tertiary Scenario]="Replacement",1,0)),0))*Area_trans*Time_adj_Tert</f>
        <v>0</v>
      </c>
      <c r="EH29" s="252" t="e" cm="1">
        <f t="array" ref="EH2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29" s="252" t="e" cm="1">
        <f t="array" ref="EI2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29" s="253" t="e" cm="1">
        <f t="array" ref="EJ2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29" s="253" t="e" cm="1">
        <f t="array" ref="EK2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29" t="e">
        <f ca="1">SUMIF(Table611[[#This Row],[Raw-Materials]:[Transport to recycling facility]],"&lt;&gt;#N/A")</f>
        <v>#DIV/0!</v>
      </c>
    </row>
    <row r="30" spans="1:142" x14ac:dyDescent="0.35">
      <c r="A30" t="s">
        <v>520</v>
      </c>
      <c r="B30" t="s">
        <v>384</v>
      </c>
      <c r="C30" t="str">
        <f t="shared" si="1"/>
        <v>A2</v>
      </c>
      <c r="D30" t="s">
        <v>485</v>
      </c>
      <c r="F30">
        <f>MATCH(Impacts_Additional[[#This Row],[Indicator]],Material_Impacts[Look up],0)</f>
        <v>74</v>
      </c>
      <c r="G30" s="246" cm="1">
        <f t="array" aca="1" ref="G3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0" s="166" cm="1">
        <f t="array" ref="H3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0" s="166" t="e">
        <f>Diesel_RawM_Prim*INDEX(Indicators,MATCH(Impacts_Additional[[#This Row],[Indicator]],Materials!$D:$D,0),MATCH("Diesel Combustion",Materials!$1:$1,0))*Diesel_density*Project_Area*Prim_Lays*Area_trans</f>
        <v>#DIV/0!</v>
      </c>
      <c r="J30" s="20" t="e" cm="1">
        <f t="array" aca="1" ref="J3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0" s="20" t="e" cm="1">
        <f t="array" aca="1" ref="K3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0" s="20" t="e" cm="1">
        <f t="array" aca="1" ref="L3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0" s="20" t="e" cm="1">
        <f t="array" aca="1" ref="M3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0" s="20" t="e" cm="1">
        <f t="array" aca="1" ref="N3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0" s="20" t="e" cm="1">
        <f t="array" aca="1" ref="O3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0" s="20" t="e" cm="1">
        <f t="array" aca="1" ref="P3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0" s="20" t="e" cm="1">
        <f t="array" aca="1" ref="Q3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0" s="20" t="e" cm="1">
        <f t="array" aca="1" ref="R3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0" s="20" t="e" cm="1">
        <f t="array" aca="1" ref="S3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0" s="20" t="e" cm="1">
        <f t="array" aca="1" ref="T3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0" s="20" t="e" cm="1">
        <f t="array" aca="1" ref="U3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0" s="20" t="e" cm="1">
        <f t="array" aca="1" ref="V3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0" s="20" t="e" cm="1">
        <f t="array" aca="1" ref="W3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0" s="20" t="e" cm="1">
        <f t="array" aca="1" ref="X3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0" s="20" t="e" cm="1">
        <f t="array" aca="1" ref="Y3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0" s="20" t="e" cm="1">
        <f t="array" aca="1" ref="Z3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0" s="20" t="e" cm="1">
        <f t="array" aca="1" ref="AA3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0" s="20" t="e" cm="1">
        <f t="array" aca="1" ref="AB3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0" s="20" t="e" cm="1">
        <f t="array" aca="1" ref="AC3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0" s="20" t="e" cm="1">
        <f t="array" aca="1" ref="AD3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0" s="20" t="e" cm="1">
        <f t="array" aca="1" ref="AE3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0" s="20" t="e" cm="1">
        <f t="array" aca="1" ref="AF3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0" s="20" t="e" cm="1">
        <f t="array" aca="1" ref="AG3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0" s="20" t="e" cm="1">
        <f t="array" aca="1" ref="AH3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0" s="20" t="e" cm="1">
        <f t="array" aca="1" ref="AI3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0" s="20" t="e" cm="1">
        <f t="array" aca="1" ref="AJ3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0" s="166" cm="1">
        <f t="array" aca="1" ref="AK30" ca="1">((E_modulus_Prim/40114)^-0.25)*((Subgrade_stiffness_Prim/35)^-0.25)*((Surface_thickness_Prim/0.22)^-0.75)*Area_trans*delflec_switch*SUM((INDEX(PVI_vehicle_EFC,1,1)/INDEX(PVI_fuel_energy_density,1,1))*(INDEX(Indicators,MATCH('Additional Impact Indicators'!$A30,Materials!$D:$D,0),MATCH("diesel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Indicators'!$A30,Materials!$D:$D,0),MATCH("bio-diesel combustion",Materials!$1:$1,0))*((1-enviro_disc)^Handle_years)*Handle_electricity_emissions:OFFSET(Handle_electricity_emissions,0,Results_timespan-1)^0)*OFFSET(Handle_traffic_fleet,6,0):OFFSET(Handle_traffic_fleet,6,Results_timespan-1))</f>
        <v>0</v>
      </c>
      <c r="AL30" s="166" cm="1">
        <f t="array" aca="1" ref="AL3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0" s="247" cm="1">
        <f t="array" aca="1" ref="AM30" ca="1">(SUMPRODUCT(Delay_emissions_table[Consumption of Diesel (kg) - Primary Scenario],IF(Delay_emissions_table[Form of Maintenance - Primary Scenario]="Life Extension",1,0))*INDEX(Indicators,MATCH('Additional Impact Indicators'!$A30,Materials!$D:$D,0),MATCH("diesel combustion",Materials!$1:$1,0))+SUMPRODUCT(Delay_emissions_table[Consumption of Petrol (kg) - Primary Scenario],IF(Delay_emissions_table[Form of Maintenance - Primary Scenario]="Life Extension",1,0))*INDEX(Indicators,MATCH('Additional Impact Indicators'!$A30,Materials!$D:$D,0),MATCH("petrol combustion",Materials!$1:$1,0))+IFERROR(SUMPRODUCT(TRANSPOSE(INDEX(elec_project_emissions,MATCH(Elec_scenario&amp;'Additional Impact Indicators'!$B30,INDEX(Electricity_projection,0,3),0)-1,0)),Delay_emissions_table[Consumption of electricity (MJ) - Primary Scenario],IF(Delay_emissions_table[Form of Maintenance - Primary Scenario]="Life Extension",1,0)),0))*Area_trans*Time_adj_Prim</f>
        <v>0</v>
      </c>
      <c r="AN30" s="247" cm="1">
        <f t="array" aca="1" ref="AN30" ca="1">(SUMPRODUCT(Delay_emissions_table[Consumption of Diesel (kg) - Primary Scenario],IF(Delay_emissions_table[Form of Maintenance - Primary Scenario]="Replacement",1,0))*INDEX(Indicators,MATCH('Additional Impact Indicators'!$A30,Materials!$D:$D,0),MATCH("diesel combustion",Materials!$1:$1,0))+SUMPRODUCT(Delay_emissions_table[Consumption of Petrol (kg) - Primary Scenario],IF(Delay_emissions_table[Form of Maintenance - Primary Scenario]="Replacement",1,0))*INDEX(Indicators,MATCH('Additional Impact Indicators'!$A30,Materials!$D:$D,0),MATCH("petrol combustion",Materials!$1:$1,0))+IFERROR(SUMPRODUCT(TRANSPOSE(INDEX(elec_project_emissions,MATCH(Elec_scenario&amp;'Additional Impact Indicators'!$B30,INDEX(Electricity_projection,0,3),0)-1,0)),Delay_emissions_table[Consumption of electricity (MJ) - Primary Scenario],IF(Delay_emissions_table[Form of Maintenance - Primary Scenario]="Replacement",1,0)),0))*Area_trans*Time_adj_Prim</f>
        <v>0</v>
      </c>
      <c r="AO30" s="248" t="e" cm="1">
        <f t="array" ref="AO3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0" s="248" t="e" cm="1">
        <f t="array" ref="AP3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0" s="249" t="e" cm="1">
        <f t="array" ref="AQ3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0" s="386" t="e" cm="1">
        <f t="array" ref="AR3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0" t="e">
        <f ca="1">SUMIF('Additional Impact Indicators'!$G30:$AQ30,"&lt;&gt;#N/A")</f>
        <v>#DIV/0!</v>
      </c>
      <c r="AW30" t="s">
        <v>520</v>
      </c>
      <c r="AX30" t="s">
        <v>384</v>
      </c>
      <c r="AY30" t="str">
        <f t="shared" si="2"/>
        <v>A2</v>
      </c>
      <c r="AZ30" t="s">
        <v>485</v>
      </c>
      <c r="BB30">
        <f>MATCH(Table3[[#This Row],[Indicator]],Material_Impacts[Look up],0)</f>
        <v>74</v>
      </c>
      <c r="BC30" s="246" cm="1">
        <f t="array" aca="1" ref="BC3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0" s="166" cm="1">
        <f t="array" ref="BD3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0" s="166" t="e">
        <f>Diesel_RawM_Sec*INDEX(Indicators,MATCH(Impacts_Additional[[#This Row],[Indicator]],Materials!$D:$D,0),MATCH("Diesel Combustion",Materials!$1:$1,0))*Diesel_density*Project_Area*Sec_Lays*Area_trans</f>
        <v>#DIV/0!</v>
      </c>
      <c r="BF30" s="35" t="e" cm="1">
        <f t="array" aca="1" ref="BF3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0" s="35" t="e" cm="1">
        <f t="array" aca="1" ref="BG3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0" t="e" cm="1">
        <f t="array" aca="1" ref="BH3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0" s="35" t="e" cm="1">
        <f t="array" aca="1" ref="BI3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0" s="35" t="e" cm="1">
        <f t="array" aca="1" ref="BJ3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0" t="e" cm="1">
        <f t="array" aca="1" ref="BK3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0" s="35" t="e" cm="1">
        <f t="array" aca="1" ref="BL3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0" s="35" t="e" cm="1">
        <f t="array" aca="1" ref="BM3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0" t="e" cm="1">
        <f t="array" aca="1" ref="BN3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0" s="35" t="e" cm="1">
        <f t="array" aca="1" ref="BO3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0" s="35" t="e" cm="1">
        <f t="array" aca="1" ref="BP3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0" t="e" cm="1">
        <f t="array" aca="1" ref="BQ3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0" s="35" t="e" cm="1">
        <f t="array" aca="1" ref="BR3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0" s="35" t="e" cm="1">
        <f t="array" aca="1" ref="BS3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0" t="e" cm="1">
        <f t="array" aca="1" ref="BT3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0" s="35" t="e" cm="1">
        <f t="array" aca="1" ref="BU3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0" s="35" t="e" cm="1">
        <f t="array" aca="1" ref="BV3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0" t="e" cm="1">
        <f t="array" aca="1" ref="BW3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0" s="35" t="e" cm="1">
        <f t="array" aca="1" ref="BX3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0" s="35" t="e" cm="1">
        <f t="array" aca="1" ref="BY3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0" t="e" cm="1">
        <f t="array" aca="1" ref="BZ3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0" s="35" t="e" cm="1">
        <f t="array" aca="1" ref="CA3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0" s="35" t="e" cm="1">
        <f t="array" aca="1" ref="CB3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0" t="e" cm="1">
        <f t="array" aca="1" ref="CC3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0" s="35" t="e" cm="1">
        <f t="array" aca="1" ref="CD3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0" s="35" t="e" cm="1">
        <f t="array" aca="1" ref="CE3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0" t="e" cm="1">
        <f t="array" aca="1" ref="CF3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0" s="166" cm="1">
        <f t="array" aca="1" ref="CG30" ca="1">((E_modulus_Sec/40114)^-0.25)*((Subgrade_stiffness_Sec/35)^-0.25)*((Surface_thickness_Sec/0.22)^-0.75)*Area_trans*delflec_switch*SUM((INDEX(PVI_vehicle_EFC,1,1)/INDEX(PVI_fuel_energy_density,1,1))*(INDEX(Indicators,MATCH('Additional Impact Indicators'!$A30,Materials!$D:$D,0),MATCH("diesel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Indicators'!$A30,Materials!$D:$D,0),MATCH("bio-diesel combustion",Materials!$1:$1,0))*((1-enviro_disc)^Handle_years)*Handle_electricity_emissions:OFFSET(Handle_electricity_emissions,0,Results_timespan-1)^0)*OFFSET(Handle_traffic_fleet,6,0):OFFSET(Handle_traffic_fleet,6,Results_timespan-1))</f>
        <v>0</v>
      </c>
      <c r="CH30" s="375" cm="1">
        <f t="array" aca="1" ref="CH3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0" s="247" cm="1">
        <f t="array" aca="1" ref="CI30" ca="1">(SUMPRODUCT(Delay_emissions_table[Consumption of Diesel (kg) - Secondary Scenario],IF(Delay_emissions_table[Form of Maintenance - Secondary Scenario]="Life Extension",1,0))*INDEX(Indicators,MATCH('Additional Impact Indicators'!$A30,Materials!$D:$D,0),MATCH("diesel combustion",Materials!$1:$1,0))+SUMPRODUCT(Delay_emissions_table[Consumption of Petrol (kg) - Secondary Scenario],IF(Delay_emissions_table[Form of Maintenance - Secondary Scenario]="Life Extension",1,0))*INDEX(Indicators,MATCH('Additional Impact Indicators'!$A30,Materials!$D:$D,0),MATCH("petrol combustion",Materials!$1:$1,0))+IFERROR(SUMPRODUCT(TRANSPOSE(INDEX(elec_project_emissions,MATCH(Elec_scenario&amp;'Additional Impact Indicators'!$B30,INDEX(Electricity_projection,0,3),0)-1,0)),Delay_emissions_table[Consumption of electricity (MJ) - Secondary Scenario],IF(Delay_emissions_table[Form of Maintenance - Secondary Scenario]="Life Extension",1,0)),0))*Area_trans*time_adj_Sec</f>
        <v>0</v>
      </c>
      <c r="CJ30" s="247" cm="1">
        <f t="array" aca="1" ref="CJ30" ca="1">(SUMPRODUCT(Delay_emissions_table[Consumption of Diesel (kg) - Secondary Scenario],IF(Delay_emissions_table[Form of Maintenance - Secondary Scenario]="Replacement",1,0))*INDEX(Indicators,MATCH('Additional Impact Indicators'!$A30,Materials!$D:$D,0),MATCH("diesel combustion",Materials!$1:$1,0))+SUMPRODUCT(Delay_emissions_table[Consumption of Petrol (kg) - Secondary Scenario],IF(Delay_emissions_table[Form of Maintenance - Secondary Scenario]="Replacement",1,0))*INDEX(Indicators,MATCH('Additional Impact Indicators'!$A30,Materials!$D:$D,0),MATCH("petrol combustion",Materials!$1:$1,0))+IFERROR(SUMPRODUCT(TRANSPOSE(INDEX(elec_project_emissions,MATCH(Elec_scenario&amp;'Additional Impact Indicators'!$B30,INDEX(Electricity_projection,0,3),0)-1,0)),Delay_emissions_table[Consumption of electricity (MJ) - Secondary Scenario],IF(Delay_emissions_table[Form of Maintenance - Secondary Scenario]="Replacement",1,0)),0))*Area_trans*time_adj_Sec</f>
        <v>0</v>
      </c>
      <c r="CK30" s="248" t="e" cm="1">
        <f t="array" ref="CK3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0" s="248" t="e" cm="1">
        <f t="array" ref="CL3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0" s="249" t="e" cm="1">
        <f t="array" ref="CM3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0" s="387" t="e" cm="1">
        <f t="array" ref="CN3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0" s="51" t="e">
        <f ca="1">SUMIF(Table3[[#This Row],[Raw-Materials]:[Transport to recycling facility]],"&lt;&gt;#N/A")</f>
        <v>#DIV/0!</v>
      </c>
      <c r="CT30" t="s">
        <v>520</v>
      </c>
      <c r="CU30" t="s">
        <v>384</v>
      </c>
      <c r="CV30" t="str">
        <f t="shared" si="3"/>
        <v>A2</v>
      </c>
      <c r="CW30" t="s">
        <v>485</v>
      </c>
      <c r="CY30">
        <f>MATCH(Table611[[#This Row],[Indicator]],Material_Impacts[Look up],0)</f>
        <v>74</v>
      </c>
      <c r="CZ30" s="246" cm="1">
        <f t="array" aca="1" ref="CZ3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0" s="166" cm="1">
        <f t="array" ref="DA3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0" s="166" t="e">
        <f>Diesel_RawM_Tert*INDEX(Indicators,MATCH(Impacts_Additional[[#This Row],[Indicator]],Materials!$D:$D,0),MATCH("Diesel Combustion",Materials!$1:$1,0))*Diesel_density*Project_Area*Tert_Lays*Area_trans</f>
        <v>#DIV/0!</v>
      </c>
      <c r="DC30" s="35" t="e" cm="1">
        <f t="array" aca="1" ref="DC3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0" s="35" t="e" cm="1">
        <f t="array" aca="1" ref="DD3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0" t="e" cm="1">
        <f t="array" aca="1" ref="DE3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0" s="35" t="e" cm="1">
        <f t="array" aca="1" ref="DF3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0" s="35" t="e" cm="1">
        <f t="array" aca="1" ref="DG3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0" t="e" cm="1">
        <f t="array" aca="1" ref="DH3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0" s="35" t="e" cm="1">
        <f t="array" aca="1" ref="DI3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0" s="35" t="e" cm="1">
        <f t="array" aca="1" ref="DJ3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0" t="e" cm="1">
        <f t="array" aca="1" ref="DK3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0" s="35" t="e" cm="1">
        <f t="array" aca="1" ref="DL3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0" s="35" t="e" cm="1">
        <f t="array" aca="1" ref="DM3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0" t="e" cm="1">
        <f t="array" aca="1" ref="DN3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0" s="35" t="e" cm="1">
        <f t="array" aca="1" ref="DO3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0" s="35" t="e" cm="1">
        <f t="array" aca="1" ref="DP3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0" t="e" cm="1">
        <f t="array" aca="1" ref="DQ3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0" s="35" t="e" cm="1">
        <f t="array" aca="1" ref="DR3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0" s="35" t="e" cm="1">
        <f t="array" aca="1" ref="DS3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0" t="e" cm="1">
        <f t="array" aca="1" ref="DT3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0" s="35" t="e" cm="1">
        <f t="array" aca="1" ref="DU3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0" s="35" t="e" cm="1">
        <f t="array" aca="1" ref="DV3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0" t="e" cm="1">
        <f t="array" aca="1" ref="DW3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0" s="35" t="e" cm="1">
        <f t="array" aca="1" ref="DX3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0" s="35" t="e" cm="1">
        <f t="array" aca="1" ref="DY3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0" t="e" cm="1">
        <f t="array" aca="1" ref="DZ3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0" s="35" t="e" cm="1">
        <f t="array" aca="1" ref="EA3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0" s="35" t="e" cm="1">
        <f t="array" aca="1" ref="EB3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0" t="e" cm="1">
        <f t="array" aca="1" ref="EC3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0" s="166" cm="1">
        <f t="array" aca="1" ref="ED30" ca="1">((E_modulus_Tert/40114)^-0.25)*((Subgrade_stiffness_Tert/35)^-0.25)*((Surface_thickness_Tert/0.22)^-0.75)*Area_trans*delflec_switch*SUM((INDEX(PVI_vehicle_EFC,1,1)/INDEX(PVI_fuel_energy_density,1,1))*(INDEX(Indicators,MATCH('Additional Impact Indicators'!$A30,Materials!$D:$D,0),MATCH("diesel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Indicators'!$A30,Materials!$D:$D,0),MATCH("bio-diesel combustion",Materials!$1:$1,0))*((1-enviro_disc)^Handle_years)*Handle_electricity_emissions:OFFSET(Handle_electricity_emissions,0,Results_timespan-1)^0)*OFFSET(Handle_traffic_fleet,6,0):OFFSET(Handle_traffic_fleet,6,Results_timespan-1))</f>
        <v>0</v>
      </c>
      <c r="EE30" s="375" cm="1">
        <f t="array" aca="1" ref="EE3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0" s="247" cm="1">
        <f t="array" aca="1" ref="EF30" ca="1">(SUMPRODUCT(Delay_emissions_table[Consumption of Diesel (kg) - Tertiary Scenario],IF(Delay_emissions_table[Form of Maintenance - Tertiary Scenario]="Life Extension",1,0))*INDEX(Indicators,MATCH('Additional Impact Indicators'!$A30,Materials!$D:$D,0),MATCH("diesel combustion",Materials!$1:$1,0))+SUMPRODUCT(Delay_emissions_table[Consumption of Petrol (kg) - Tertiary Scenario],IF(Delay_emissions_table[Form of Maintenance - Tertiary Scenario]="Life Extension",1,0))*INDEX(Indicators,MATCH('Additional Impact Indicators'!$A30,Materials!$D:$D,0),MATCH("petrol combustion",Materials!$1:$1,0))+IFERROR(SUMPRODUCT(TRANSPOSE(INDEX(elec_project_emissions,MATCH(Elec_scenario&amp;'Additional Impact Indicators'!$B30,INDEX(Electricity_projection,0,3),0)-1,0)),Delay_emissions_table[Consumption of electricity (MJ) - Tertiary Scenario],IF(Delay_emissions_table[Form of Maintenance - Tertiary Scenario]="Life Extension",1,0)),0))*Area_trans*Time_adj_Tert</f>
        <v>0</v>
      </c>
      <c r="EG30" s="247" cm="1">
        <f t="array" aca="1" ref="EG30" ca="1">(SUMPRODUCT(Delay_emissions_table[Consumption of Diesel (kg) - Tertiary Scenario],IF(Delay_emissions_table[Form of Maintenance - Tertiary Scenario]="Replacement",1,0))*INDEX(Indicators,MATCH('Additional Impact Indicators'!$A30,Materials!$D:$D,0),MATCH("diesel combustion",Materials!$1:$1,0))+SUMPRODUCT(Delay_emissions_table[Consumption of Petrol (kg) - Tertiary Scenario],IF(Delay_emissions_table[Form of Maintenance - Tertiary Scenario]="Replacement",1,0))*INDEX(Indicators,MATCH('Additional Impact Indicators'!$A30,Materials!$D:$D,0),MATCH("petrol combustion",Materials!$1:$1,0))+IFERROR(SUMPRODUCT(TRANSPOSE(INDEX(elec_project_emissions,MATCH(Elec_scenario&amp;'Additional Impact Indicators'!$B30,INDEX(Electricity_projection,0,3),0)-1,0)),Delay_emissions_table[Consumption of electricity (MJ) - Tertiary Scenario],IF(Delay_emissions_table[Form of Maintenance - Tertiary Scenario]="Replacement",1,0)),0))*Area_trans*Time_adj_Tert</f>
        <v>0</v>
      </c>
      <c r="EH30" s="248" t="e" cm="1">
        <f t="array" ref="EH3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0" s="248" t="e" cm="1">
        <f t="array" ref="EI3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0" s="249" t="e" cm="1">
        <f t="array" ref="EJ3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0" s="249" t="e" cm="1">
        <f t="array" ref="EK3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0" t="e">
        <f ca="1">SUMIF(Table611[[#This Row],[Raw-Materials]:[Transport to recycling facility]],"&lt;&gt;#N/A")</f>
        <v>#DIV/0!</v>
      </c>
    </row>
    <row r="31" spans="1:142" x14ac:dyDescent="0.35">
      <c r="A31" s="155" t="s">
        <v>521</v>
      </c>
      <c r="B31" s="155" t="s">
        <v>386</v>
      </c>
      <c r="C31" s="155" t="str">
        <f t="shared" si="1"/>
        <v>A2</v>
      </c>
      <c r="D31" s="155" t="s">
        <v>485</v>
      </c>
      <c r="E31" s="155"/>
      <c r="F31">
        <f>MATCH(Impacts_Additional[[#This Row],[Indicator]],Material_Impacts[Look up],0)</f>
        <v>75</v>
      </c>
      <c r="G31" s="246" cm="1">
        <f t="array" aca="1" ref="G3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1" s="165" cm="1">
        <f t="array" ref="H3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1" s="165" t="e">
        <f>Diesel_RawM_Prim*INDEX(Indicators,MATCH(Impacts_Additional[[#This Row],[Indicator]],Materials!$D:$D,0),MATCH("Diesel Combustion",Materials!$1:$1,0))*Diesel_density*Project_Area*Prim_Lays*Area_trans</f>
        <v>#DIV/0!</v>
      </c>
      <c r="J31" s="250" t="e" cm="1">
        <f t="array" aca="1" ref="J3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1" s="250" t="e" cm="1">
        <f t="array" aca="1" ref="K3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1" s="250" t="e" cm="1">
        <f t="array" aca="1" ref="L3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1" s="250" t="e" cm="1">
        <f t="array" aca="1" ref="M3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1" s="250" t="e" cm="1">
        <f t="array" aca="1" ref="N3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1" s="250" t="e" cm="1">
        <f t="array" aca="1" ref="O3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1" s="250" t="e" cm="1">
        <f t="array" aca="1" ref="P3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1" s="250" t="e" cm="1">
        <f t="array" aca="1" ref="Q3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1" s="250" t="e" cm="1">
        <f t="array" aca="1" ref="R3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1" s="250" t="e" cm="1">
        <f t="array" aca="1" ref="S3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1" s="250" t="e" cm="1">
        <f t="array" aca="1" ref="T3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1" s="250" t="e" cm="1">
        <f t="array" aca="1" ref="U3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1" s="250" t="e" cm="1">
        <f t="array" aca="1" ref="V3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1" s="250" t="e" cm="1">
        <f t="array" aca="1" ref="W3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1" s="250" t="e" cm="1">
        <f t="array" aca="1" ref="X3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1" s="250" t="e" cm="1">
        <f t="array" aca="1" ref="Y3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1" s="250" t="e" cm="1">
        <f t="array" aca="1" ref="Z3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1" s="250" t="e" cm="1">
        <f t="array" aca="1" ref="AA3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1" s="250" t="e" cm="1">
        <f t="array" aca="1" ref="AB3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1" s="250" t="e" cm="1">
        <f t="array" aca="1" ref="AC3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1" s="250" t="e" cm="1">
        <f t="array" aca="1" ref="AD3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1" s="250" t="e" cm="1">
        <f t="array" aca="1" ref="AE3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1" s="250" t="e" cm="1">
        <f t="array" aca="1" ref="AF3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1" s="250" t="e" cm="1">
        <f t="array" aca="1" ref="AG3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1" s="250" t="e" cm="1">
        <f t="array" aca="1" ref="AH3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1" s="250" t="e" cm="1">
        <f t="array" aca="1" ref="AI3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1" s="250" t="e" cm="1">
        <f t="array" aca="1" ref="AJ3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1" s="165" cm="1">
        <f t="array" aca="1" ref="AK31" ca="1">((E_modulus_Prim/40114)^-0.25)*((Subgrade_stiffness_Prim/35)^-0.25)*((Surface_thickness_Prim/0.22)^-0.75)*Area_trans*delflec_switch*SUM((INDEX(PVI_vehicle_EFC,1,1)/INDEX(PVI_fuel_energy_density,1,1))*(INDEX(Indicators,MATCH('Additional Impact Indicators'!$A31,Materials!$D:$D,0),MATCH("diesel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Indicators'!$A31,Materials!$D:$D,0),MATCH("bio-diesel combustion",Materials!$1:$1,0))*((1-enviro_disc)^Handle_years)*Handle_electricity_emissions:OFFSET(Handle_electricity_emissions,0,Results_timespan-1)^0)*OFFSET(Handle_traffic_fleet,6,0):OFFSET(Handle_traffic_fleet,6,Results_timespan-1))</f>
        <v>0</v>
      </c>
      <c r="AL31" s="165" cm="1">
        <f t="array" aca="1" ref="AL3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1" s="251" cm="1">
        <f t="array" aca="1" ref="AM31" ca="1">(SUMPRODUCT(Delay_emissions_table[Consumption of Diesel (kg) - Primary Scenario],IF(Delay_emissions_table[Form of Maintenance - Primary Scenario]="Life Extension",1,0))*INDEX(Indicators,MATCH('Additional Impact Indicators'!$A31,Materials!$D:$D,0),MATCH("diesel combustion",Materials!$1:$1,0))+SUMPRODUCT(Delay_emissions_table[Consumption of Petrol (kg) - Primary Scenario],IF(Delay_emissions_table[Form of Maintenance - Primary Scenario]="Life Extension",1,0))*INDEX(Indicators,MATCH('Additional Impact Indicators'!$A31,Materials!$D:$D,0),MATCH("petrol combustion",Materials!$1:$1,0))+IFERROR(SUMPRODUCT(TRANSPOSE(INDEX(elec_project_emissions,MATCH(Elec_scenario&amp;'Additional Impact Indicators'!$B31,INDEX(Electricity_projection,0,3),0)-1,0)),Delay_emissions_table[Consumption of electricity (MJ) - Primary Scenario],IF(Delay_emissions_table[Form of Maintenance - Primary Scenario]="Life Extension",1,0)),0))*Area_trans*Time_adj_Prim</f>
        <v>0</v>
      </c>
      <c r="AN31" s="251" cm="1">
        <f t="array" aca="1" ref="AN31" ca="1">(SUMPRODUCT(Delay_emissions_table[Consumption of Diesel (kg) - Primary Scenario],IF(Delay_emissions_table[Form of Maintenance - Primary Scenario]="Replacement",1,0))*INDEX(Indicators,MATCH('Additional Impact Indicators'!$A31,Materials!$D:$D,0),MATCH("diesel combustion",Materials!$1:$1,0))+SUMPRODUCT(Delay_emissions_table[Consumption of Petrol (kg) - Primary Scenario],IF(Delay_emissions_table[Form of Maintenance - Primary Scenario]="Replacement",1,0))*INDEX(Indicators,MATCH('Additional Impact Indicators'!$A31,Materials!$D:$D,0),MATCH("petrol combustion",Materials!$1:$1,0))+IFERROR(SUMPRODUCT(TRANSPOSE(INDEX(elec_project_emissions,MATCH(Elec_scenario&amp;'Additional Impact Indicators'!$B31,INDEX(Electricity_projection,0,3),0)-1,0)),Delay_emissions_table[Consumption of electricity (MJ) - Primary Scenario],IF(Delay_emissions_table[Form of Maintenance - Primary Scenario]="Replacement",1,0)),0))*Area_trans*Time_adj_Prim</f>
        <v>0</v>
      </c>
      <c r="AO31" s="252" t="e" cm="1">
        <f t="array" ref="AO3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1" s="252" t="e" cm="1">
        <f t="array" ref="AP3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1" s="253" t="e" cm="1">
        <f t="array" ref="AQ3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1" s="385" t="e" cm="1">
        <f t="array" ref="AR3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1" t="e">
        <f ca="1">SUMIF('Additional Impact Indicators'!$G31:$AQ31,"&lt;&gt;#N/A")</f>
        <v>#DIV/0!</v>
      </c>
      <c r="AW31" s="155" t="s">
        <v>521</v>
      </c>
      <c r="AX31" s="155" t="s">
        <v>386</v>
      </c>
      <c r="AY31" s="155" t="str">
        <f t="shared" si="2"/>
        <v>A2</v>
      </c>
      <c r="AZ31" s="155" t="s">
        <v>485</v>
      </c>
      <c r="BA31" s="155"/>
      <c r="BB31" s="155">
        <f>MATCH(Table3[[#This Row],[Indicator]],Material_Impacts[Look up],0)</f>
        <v>75</v>
      </c>
      <c r="BC31" s="246" cm="1">
        <f t="array" aca="1" ref="BC3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1" s="165" cm="1">
        <f t="array" ref="BD3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1" s="165" t="e">
        <f>Diesel_RawM_Sec*INDEX(Indicators,MATCH(Impacts_Additional[[#This Row],[Indicator]],Materials!$D:$D,0),MATCH("Diesel Combustion",Materials!$1:$1,0))*Diesel_density*Project_Area*Sec_Lays*Area_trans</f>
        <v>#DIV/0!</v>
      </c>
      <c r="BF31" s="35" t="e" cm="1">
        <f t="array" aca="1" ref="BF3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1" s="35" t="e" cm="1">
        <f t="array" aca="1" ref="BG3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1" t="e" cm="1">
        <f t="array" aca="1" ref="BH3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1" s="35" t="e" cm="1">
        <f t="array" aca="1" ref="BI3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1" s="35" t="e" cm="1">
        <f t="array" aca="1" ref="BJ3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1" t="e" cm="1">
        <f t="array" aca="1" ref="BK3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1" s="35" t="e" cm="1">
        <f t="array" aca="1" ref="BL3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1" s="35" t="e" cm="1">
        <f t="array" aca="1" ref="BM3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1" t="e" cm="1">
        <f t="array" aca="1" ref="BN3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1" s="35" t="e" cm="1">
        <f t="array" aca="1" ref="BO3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1" s="35" t="e" cm="1">
        <f t="array" aca="1" ref="BP3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1" t="e" cm="1">
        <f t="array" aca="1" ref="BQ3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1" s="35" t="e" cm="1">
        <f t="array" aca="1" ref="BR3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1" s="35" t="e" cm="1">
        <f t="array" aca="1" ref="BS3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1" t="e" cm="1">
        <f t="array" aca="1" ref="BT3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1" s="35" t="e" cm="1">
        <f t="array" aca="1" ref="BU3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1" s="35" t="e" cm="1">
        <f t="array" aca="1" ref="BV3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1" t="e" cm="1">
        <f t="array" aca="1" ref="BW3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1" s="35" t="e" cm="1">
        <f t="array" aca="1" ref="BX3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1" s="35" t="e" cm="1">
        <f t="array" aca="1" ref="BY3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1" t="e" cm="1">
        <f t="array" aca="1" ref="BZ3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1" s="35" t="e" cm="1">
        <f t="array" aca="1" ref="CA3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1" s="35" t="e" cm="1">
        <f t="array" aca="1" ref="CB3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1" t="e" cm="1">
        <f t="array" aca="1" ref="CC3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1" s="35" t="e" cm="1">
        <f t="array" aca="1" ref="CD3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1" s="35" t="e" cm="1">
        <f t="array" aca="1" ref="CE3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1" t="e" cm="1">
        <f t="array" aca="1" ref="CF3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1" s="165" cm="1">
        <f t="array" aca="1" ref="CG31" ca="1">((E_modulus_Sec/40114)^-0.25)*((Subgrade_stiffness_Sec/35)^-0.25)*((Surface_thickness_Sec/0.22)^-0.75)*Area_trans*delflec_switch*SUM((INDEX(PVI_vehicle_EFC,1,1)/INDEX(PVI_fuel_energy_density,1,1))*(INDEX(Indicators,MATCH('Additional Impact Indicators'!$A31,Materials!$D:$D,0),MATCH("diesel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Indicators'!$A31,Materials!$D:$D,0),MATCH("bio-diesel combustion",Materials!$1:$1,0))*((1-enviro_disc)^Handle_years)*Handle_electricity_emissions:OFFSET(Handle_electricity_emissions,0,Results_timespan-1)^0)*OFFSET(Handle_traffic_fleet,6,0):OFFSET(Handle_traffic_fleet,6,Results_timespan-1))</f>
        <v>0</v>
      </c>
      <c r="CH31" s="375" cm="1">
        <f t="array" aca="1" ref="CH3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1" s="251" cm="1">
        <f t="array" aca="1" ref="CI31" ca="1">(SUMPRODUCT(Delay_emissions_table[Consumption of Diesel (kg) - Secondary Scenario],IF(Delay_emissions_table[Form of Maintenance - Secondary Scenario]="Life Extension",1,0))*INDEX(Indicators,MATCH('Additional Impact Indicators'!$A31,Materials!$D:$D,0),MATCH("diesel combustion",Materials!$1:$1,0))+SUMPRODUCT(Delay_emissions_table[Consumption of Petrol (kg) - Secondary Scenario],IF(Delay_emissions_table[Form of Maintenance - Secondary Scenario]="Life Extension",1,0))*INDEX(Indicators,MATCH('Additional Impact Indicators'!$A31,Materials!$D:$D,0),MATCH("petrol combustion",Materials!$1:$1,0))+IFERROR(SUMPRODUCT(TRANSPOSE(INDEX(elec_project_emissions,MATCH(Elec_scenario&amp;'Additional Impact Indicators'!$B31,INDEX(Electricity_projection,0,3),0)-1,0)),Delay_emissions_table[Consumption of electricity (MJ) - Secondary Scenario],IF(Delay_emissions_table[Form of Maintenance - Secondary Scenario]="Life Extension",1,0)),0))*Area_trans*time_adj_Sec</f>
        <v>0</v>
      </c>
      <c r="CJ31" s="251" cm="1">
        <f t="array" aca="1" ref="CJ31" ca="1">(SUMPRODUCT(Delay_emissions_table[Consumption of Diesel (kg) - Secondary Scenario],IF(Delay_emissions_table[Form of Maintenance - Secondary Scenario]="Replacement",1,0))*INDEX(Indicators,MATCH('Additional Impact Indicators'!$A31,Materials!$D:$D,0),MATCH("diesel combustion",Materials!$1:$1,0))+SUMPRODUCT(Delay_emissions_table[Consumption of Petrol (kg) - Secondary Scenario],IF(Delay_emissions_table[Form of Maintenance - Secondary Scenario]="Replacement",1,0))*INDEX(Indicators,MATCH('Additional Impact Indicators'!$A31,Materials!$D:$D,0),MATCH("petrol combustion",Materials!$1:$1,0))+IFERROR(SUMPRODUCT(TRANSPOSE(INDEX(elec_project_emissions,MATCH(Elec_scenario&amp;'Additional Impact Indicators'!$B31,INDEX(Electricity_projection,0,3),0)-1,0)),Delay_emissions_table[Consumption of electricity (MJ) - Secondary Scenario],IF(Delay_emissions_table[Form of Maintenance - Secondary Scenario]="Replacement",1,0)),0))*Area_trans*time_adj_Sec</f>
        <v>0</v>
      </c>
      <c r="CK31" s="252" t="e" cm="1">
        <f t="array" ref="CK3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1" s="252" t="e" cm="1">
        <f t="array" ref="CL3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1" s="253" t="e" cm="1">
        <f t="array" ref="CM3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1" s="387" t="e" cm="1">
        <f t="array" ref="CN3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1" s="51" t="e">
        <f ca="1">SUMIF(Table3[[#This Row],[Raw-Materials]:[Transport to recycling facility]],"&lt;&gt;#N/A")</f>
        <v>#DIV/0!</v>
      </c>
      <c r="CT31" t="s">
        <v>521</v>
      </c>
      <c r="CU31" t="s">
        <v>386</v>
      </c>
      <c r="CV31" t="str">
        <f t="shared" si="3"/>
        <v>A2</v>
      </c>
      <c r="CW31" t="s">
        <v>485</v>
      </c>
      <c r="CY31">
        <f>MATCH(Table611[[#This Row],[Indicator]],Material_Impacts[Look up],0)</f>
        <v>75</v>
      </c>
      <c r="CZ31" s="246" cm="1">
        <f t="array" aca="1" ref="CZ3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1" s="165" cm="1">
        <f t="array" ref="DA3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1" s="165" t="e">
        <f>Diesel_RawM_Tert*INDEX(Indicators,MATCH(Impacts_Additional[[#This Row],[Indicator]],Materials!$D:$D,0),MATCH("Diesel Combustion",Materials!$1:$1,0))*Diesel_density*Project_Area*Tert_Lays*Area_trans</f>
        <v>#DIV/0!</v>
      </c>
      <c r="DC31" s="35" t="e" cm="1">
        <f t="array" aca="1" ref="DC3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1" s="35" t="e" cm="1">
        <f t="array" aca="1" ref="DD3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1" t="e" cm="1">
        <f t="array" aca="1" ref="DE3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1" s="35" t="e" cm="1">
        <f t="array" aca="1" ref="DF3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1" s="35" t="e" cm="1">
        <f t="array" aca="1" ref="DG3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1" t="e" cm="1">
        <f t="array" aca="1" ref="DH3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1" s="35" t="e" cm="1">
        <f t="array" aca="1" ref="DI3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1" s="35" t="e" cm="1">
        <f t="array" aca="1" ref="DJ3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1" t="e" cm="1">
        <f t="array" aca="1" ref="DK3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1" s="35" t="e" cm="1">
        <f t="array" aca="1" ref="DL3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1" s="35" t="e" cm="1">
        <f t="array" aca="1" ref="DM3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1" t="e" cm="1">
        <f t="array" aca="1" ref="DN3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1" s="35" t="e" cm="1">
        <f t="array" aca="1" ref="DO3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1" s="35" t="e" cm="1">
        <f t="array" aca="1" ref="DP3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1" t="e" cm="1">
        <f t="array" aca="1" ref="DQ3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1" s="35" t="e" cm="1">
        <f t="array" aca="1" ref="DR3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1" s="35" t="e" cm="1">
        <f t="array" aca="1" ref="DS3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1" t="e" cm="1">
        <f t="array" aca="1" ref="DT3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1" s="35" t="e" cm="1">
        <f t="array" aca="1" ref="DU3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1" s="35" t="e" cm="1">
        <f t="array" aca="1" ref="DV3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1" t="e" cm="1">
        <f t="array" aca="1" ref="DW3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1" s="35" t="e" cm="1">
        <f t="array" aca="1" ref="DX3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1" s="35" t="e" cm="1">
        <f t="array" aca="1" ref="DY3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1" t="e" cm="1">
        <f t="array" aca="1" ref="DZ3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1" s="35" t="e" cm="1">
        <f t="array" aca="1" ref="EA3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1" s="35" t="e" cm="1">
        <f t="array" aca="1" ref="EB3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1" t="e" cm="1">
        <f t="array" aca="1" ref="EC3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1" s="165" cm="1">
        <f t="array" aca="1" ref="ED31" ca="1">((E_modulus_Tert/40114)^-0.25)*((Subgrade_stiffness_Tert/35)^-0.25)*((Surface_thickness_Tert/0.22)^-0.75)*Area_trans*delflec_switch*SUM((INDEX(PVI_vehicle_EFC,1,1)/INDEX(PVI_fuel_energy_density,1,1))*(INDEX(Indicators,MATCH('Additional Impact Indicators'!$A31,Materials!$D:$D,0),MATCH("diesel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Indicators'!$A31,Materials!$D:$D,0),MATCH("bio-diesel combustion",Materials!$1:$1,0))*((1-enviro_disc)^Handle_years)*Handle_electricity_emissions:OFFSET(Handle_electricity_emissions,0,Results_timespan-1)^0)*OFFSET(Handle_traffic_fleet,6,0):OFFSET(Handle_traffic_fleet,6,Results_timespan-1))</f>
        <v>0</v>
      </c>
      <c r="EE31" s="375" cm="1">
        <f t="array" aca="1" ref="EE3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1" s="251" cm="1">
        <f t="array" aca="1" ref="EF31" ca="1">(SUMPRODUCT(Delay_emissions_table[Consumption of Diesel (kg) - Tertiary Scenario],IF(Delay_emissions_table[Form of Maintenance - Tertiary Scenario]="Life Extension",1,0))*INDEX(Indicators,MATCH('Additional Impact Indicators'!$A31,Materials!$D:$D,0),MATCH("diesel combustion",Materials!$1:$1,0))+SUMPRODUCT(Delay_emissions_table[Consumption of Petrol (kg) - Tertiary Scenario],IF(Delay_emissions_table[Form of Maintenance - Tertiary Scenario]="Life Extension",1,0))*INDEX(Indicators,MATCH('Additional Impact Indicators'!$A31,Materials!$D:$D,0),MATCH("petrol combustion",Materials!$1:$1,0))+IFERROR(SUMPRODUCT(TRANSPOSE(INDEX(elec_project_emissions,MATCH(Elec_scenario&amp;'Additional Impact Indicators'!$B31,INDEX(Electricity_projection,0,3),0)-1,0)),Delay_emissions_table[Consumption of electricity (MJ) - Tertiary Scenario],IF(Delay_emissions_table[Form of Maintenance - Tertiary Scenario]="Life Extension",1,0)),0))*Area_trans*Time_adj_Tert</f>
        <v>0</v>
      </c>
      <c r="EG31" s="251" cm="1">
        <f t="array" aca="1" ref="EG31" ca="1">(SUMPRODUCT(Delay_emissions_table[Consumption of Diesel (kg) - Tertiary Scenario],IF(Delay_emissions_table[Form of Maintenance - Tertiary Scenario]="Replacement",1,0))*INDEX(Indicators,MATCH('Additional Impact Indicators'!$A31,Materials!$D:$D,0),MATCH("diesel combustion",Materials!$1:$1,0))+SUMPRODUCT(Delay_emissions_table[Consumption of Petrol (kg) - Tertiary Scenario],IF(Delay_emissions_table[Form of Maintenance - Tertiary Scenario]="Replacement",1,0))*INDEX(Indicators,MATCH('Additional Impact Indicators'!$A31,Materials!$D:$D,0),MATCH("petrol combustion",Materials!$1:$1,0))+IFERROR(SUMPRODUCT(TRANSPOSE(INDEX(elec_project_emissions,MATCH(Elec_scenario&amp;'Additional Impact Indicators'!$B31,INDEX(Electricity_projection,0,3),0)-1,0)),Delay_emissions_table[Consumption of electricity (MJ) - Tertiary Scenario],IF(Delay_emissions_table[Form of Maintenance - Tertiary Scenario]="Replacement",1,0)),0))*Area_trans*Time_adj_Tert</f>
        <v>0</v>
      </c>
      <c r="EH31" s="252" t="e" cm="1">
        <f t="array" ref="EH3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1" s="252" t="e" cm="1">
        <f t="array" ref="EI3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1" s="253" t="e" cm="1">
        <f t="array" ref="EJ3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1" s="253" t="e" cm="1">
        <f t="array" ref="EK3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1" t="e">
        <f ca="1">SUMIF(Table611[[#This Row],[Raw-Materials]:[Transport to recycling facility]],"&lt;&gt;#N/A")</f>
        <v>#DIV/0!</v>
      </c>
    </row>
    <row r="32" spans="1:142" x14ac:dyDescent="0.35">
      <c r="A32" t="s">
        <v>522</v>
      </c>
      <c r="B32" t="s">
        <v>388</v>
      </c>
      <c r="C32" t="str">
        <f t="shared" si="1"/>
        <v>A2</v>
      </c>
      <c r="D32" t="s">
        <v>485</v>
      </c>
      <c r="F32">
        <f>MATCH(Impacts_Additional[[#This Row],[Indicator]],Material_Impacts[Look up],0)</f>
        <v>76</v>
      </c>
      <c r="G32" s="246" cm="1">
        <f t="array" aca="1" ref="G3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2" s="166" cm="1">
        <f t="array" ref="H3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2" s="166" t="e">
        <f>Diesel_RawM_Prim*INDEX(Indicators,MATCH(Impacts_Additional[[#This Row],[Indicator]],Materials!$D:$D,0),MATCH("Diesel Combustion",Materials!$1:$1,0))*Diesel_density*Project_Area*Prim_Lays*Area_trans</f>
        <v>#DIV/0!</v>
      </c>
      <c r="J32" s="20" t="e" cm="1">
        <f t="array" aca="1" ref="J3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2" s="20" t="e" cm="1">
        <f t="array" aca="1" ref="K3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2" s="20" t="e" cm="1">
        <f t="array" aca="1" ref="L3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2" s="20" t="e" cm="1">
        <f t="array" aca="1" ref="M3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2" s="20" t="e" cm="1">
        <f t="array" aca="1" ref="N3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2" s="20" t="e" cm="1">
        <f t="array" aca="1" ref="O3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2" s="20" t="e" cm="1">
        <f t="array" aca="1" ref="P3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2" s="20" t="e" cm="1">
        <f t="array" aca="1" ref="Q3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2" s="20" t="e" cm="1">
        <f t="array" aca="1" ref="R3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2" s="20" t="e" cm="1">
        <f t="array" aca="1" ref="S3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2" s="20" t="e" cm="1">
        <f t="array" aca="1" ref="T3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2" s="20" t="e" cm="1">
        <f t="array" aca="1" ref="U3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2" s="20" t="e" cm="1">
        <f t="array" aca="1" ref="V3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2" s="20" t="e" cm="1">
        <f t="array" aca="1" ref="W3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2" s="20" t="e" cm="1">
        <f t="array" aca="1" ref="X3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2" s="20" t="e" cm="1">
        <f t="array" aca="1" ref="Y3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2" s="20" t="e" cm="1">
        <f t="array" aca="1" ref="Z3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2" s="20" t="e" cm="1">
        <f t="array" aca="1" ref="AA3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2" s="20" t="e" cm="1">
        <f t="array" aca="1" ref="AB3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2" s="20" t="e" cm="1">
        <f t="array" aca="1" ref="AC3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2" s="20" t="e" cm="1">
        <f t="array" aca="1" ref="AD3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2" s="20" t="e" cm="1">
        <f t="array" aca="1" ref="AE3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2" s="20" t="e" cm="1">
        <f t="array" aca="1" ref="AF3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2" s="20" t="e" cm="1">
        <f t="array" aca="1" ref="AG3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2" s="20" t="e" cm="1">
        <f t="array" aca="1" ref="AH3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2" s="20" t="e" cm="1">
        <f t="array" aca="1" ref="AI3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2" s="20" t="e" cm="1">
        <f t="array" aca="1" ref="AJ3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2" s="166"/>
      <c r="AL32" s="166" cm="1">
        <f t="array" aca="1" ref="AL3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2" s="247" cm="1">
        <f t="array" aca="1" ref="AM32" ca="1">(SUMPRODUCT(Delay_emissions_table[Consumption of Diesel (kg) - Primary Scenario],IF(Delay_emissions_table[Form of Maintenance - Primary Scenario]="Life Extension",1,0))*INDEX(Indicators,MATCH('Additional Impact Indicators'!$A32,Materials!$D:$D,0),MATCH("diesel combustion",Materials!$1:$1,0))+SUMPRODUCT(Delay_emissions_table[Consumption of Petrol (kg) - Primary Scenario],IF(Delay_emissions_table[Form of Maintenance - Primary Scenario]="Life Extension",1,0))*INDEX(Indicators,MATCH('Additional Impact Indicators'!$A32,Materials!$D:$D,0),MATCH("petrol combustion",Materials!$1:$1,0))+IFERROR(SUMPRODUCT(TRANSPOSE(INDEX(elec_project_emissions,MATCH(Elec_scenario&amp;'Additional Impact Indicators'!$B32,INDEX(Electricity_projection,0,3),0)-1,0)),Delay_emissions_table[Consumption of electricity (MJ) - Primary Scenario],IF(Delay_emissions_table[Form of Maintenance - Primary Scenario]="Life Extension",1,0)),0))*Area_trans*Time_adj_Prim</f>
        <v>0</v>
      </c>
      <c r="AN32" s="247" cm="1">
        <f t="array" aca="1" ref="AN32" ca="1">(SUMPRODUCT(Delay_emissions_table[Consumption of Diesel (kg) - Primary Scenario],IF(Delay_emissions_table[Form of Maintenance - Primary Scenario]="Replacement",1,0))*INDEX(Indicators,MATCH('Additional Impact Indicators'!$A32,Materials!$D:$D,0),MATCH("diesel combustion",Materials!$1:$1,0))+SUMPRODUCT(Delay_emissions_table[Consumption of Petrol (kg) - Primary Scenario],IF(Delay_emissions_table[Form of Maintenance - Primary Scenario]="Replacement",1,0))*INDEX(Indicators,MATCH('Additional Impact Indicators'!$A32,Materials!$D:$D,0),MATCH("petrol combustion",Materials!$1:$1,0))+IFERROR(SUMPRODUCT(TRANSPOSE(INDEX(elec_project_emissions,MATCH(Elec_scenario&amp;'Additional Impact Indicators'!$B32,INDEX(Electricity_projection,0,3),0)-1,0)),Delay_emissions_table[Consumption of electricity (MJ) - Primary Scenario],IF(Delay_emissions_table[Form of Maintenance - Primary Scenario]="Replacement",1,0)),0))*Area_trans*Time_adj_Prim</f>
        <v>0</v>
      </c>
      <c r="AO32" s="248" t="e" cm="1">
        <f t="array" ref="AO3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2" s="248" t="e" cm="1">
        <f t="array" ref="AP3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2" s="249" t="e" cm="1">
        <f t="array" ref="AQ3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2" s="386" t="e" cm="1">
        <f t="array" ref="AR3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2" t="e">
        <f ca="1">SUMIF('Additional Impact Indicators'!$G32:$AQ32,"&lt;&gt;#N/A")</f>
        <v>#DIV/0!</v>
      </c>
      <c r="AW32" t="s">
        <v>522</v>
      </c>
      <c r="AX32" t="s">
        <v>388</v>
      </c>
      <c r="AY32" t="str">
        <f t="shared" si="2"/>
        <v>A2</v>
      </c>
      <c r="AZ32" t="s">
        <v>485</v>
      </c>
      <c r="BB32">
        <f>MATCH(Table3[[#This Row],[Indicator]],Material_Impacts[Look up],0)</f>
        <v>76</v>
      </c>
      <c r="BC32" s="246" cm="1">
        <f t="array" aca="1" ref="BC3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2" s="166" cm="1">
        <f t="array" ref="BD3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2" s="166" t="e">
        <f>Diesel_RawM_Sec*INDEX(Indicators,MATCH(Impacts_Additional[[#This Row],[Indicator]],Materials!$D:$D,0),MATCH("Diesel Combustion",Materials!$1:$1,0))*Diesel_density*Project_Area*Sec_Lays*Area_trans</f>
        <v>#DIV/0!</v>
      </c>
      <c r="BF32" s="35" t="e" cm="1">
        <f t="array" aca="1" ref="BF3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2" s="35" t="e" cm="1">
        <f t="array" aca="1" ref="BG3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2" t="e" cm="1">
        <f t="array" aca="1" ref="BH3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2" s="35" t="e" cm="1">
        <f t="array" aca="1" ref="BI3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2" s="35" t="e" cm="1">
        <f t="array" aca="1" ref="BJ3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2" t="e" cm="1">
        <f t="array" aca="1" ref="BK3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2" s="35" t="e" cm="1">
        <f t="array" aca="1" ref="BL3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2" s="35" t="e" cm="1">
        <f t="array" aca="1" ref="BM3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2" t="e" cm="1">
        <f t="array" aca="1" ref="BN3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2" s="35" t="e" cm="1">
        <f t="array" aca="1" ref="BO3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2" s="35" t="e" cm="1">
        <f t="array" aca="1" ref="BP3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2" t="e" cm="1">
        <f t="array" aca="1" ref="BQ3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2" s="35" t="e" cm="1">
        <f t="array" aca="1" ref="BR3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2" s="35" t="e" cm="1">
        <f t="array" aca="1" ref="BS3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2" t="e" cm="1">
        <f t="array" aca="1" ref="BT3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2" s="35" t="e" cm="1">
        <f t="array" aca="1" ref="BU3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2" s="35" t="e" cm="1">
        <f t="array" aca="1" ref="BV3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2" t="e" cm="1">
        <f t="array" aca="1" ref="BW3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2" s="35" t="e" cm="1">
        <f t="array" aca="1" ref="BX3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2" s="35" t="e" cm="1">
        <f t="array" aca="1" ref="BY3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2" t="e" cm="1">
        <f t="array" aca="1" ref="BZ3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2" s="35" t="e" cm="1">
        <f t="array" aca="1" ref="CA3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2" s="35" t="e" cm="1">
        <f t="array" aca="1" ref="CB3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2" t="e" cm="1">
        <f t="array" aca="1" ref="CC3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2" s="35" t="e" cm="1">
        <f t="array" aca="1" ref="CD3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2" s="35" t="e" cm="1">
        <f t="array" aca="1" ref="CE3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2" t="e" cm="1">
        <f t="array" aca="1" ref="CF3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2" s="166"/>
      <c r="CH32" s="375" cm="1">
        <f t="array" aca="1" ref="CH3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2" s="247" cm="1">
        <f t="array" aca="1" ref="CI32" ca="1">(SUMPRODUCT(Delay_emissions_table[Consumption of Diesel (kg) - Secondary Scenario],IF(Delay_emissions_table[Form of Maintenance - Secondary Scenario]="Life Extension",1,0))*INDEX(Indicators,MATCH('Additional Impact Indicators'!$A32,Materials!$D:$D,0),MATCH("diesel combustion",Materials!$1:$1,0))+SUMPRODUCT(Delay_emissions_table[Consumption of Petrol (kg) - Secondary Scenario],IF(Delay_emissions_table[Form of Maintenance - Secondary Scenario]="Life Extension",1,0))*INDEX(Indicators,MATCH('Additional Impact Indicators'!$A32,Materials!$D:$D,0),MATCH("petrol combustion",Materials!$1:$1,0))+IFERROR(SUMPRODUCT(TRANSPOSE(INDEX(elec_project_emissions,MATCH(Elec_scenario&amp;'Additional Impact Indicators'!$B32,INDEX(Electricity_projection,0,3),0)-1,0)),Delay_emissions_table[Consumption of electricity (MJ) - Secondary Scenario],IF(Delay_emissions_table[Form of Maintenance - Secondary Scenario]="Life Extension",1,0)),0))*Area_trans*time_adj_Sec</f>
        <v>0</v>
      </c>
      <c r="CJ32" s="247" cm="1">
        <f t="array" aca="1" ref="CJ32" ca="1">(SUMPRODUCT(Delay_emissions_table[Consumption of Diesel (kg) - Secondary Scenario],IF(Delay_emissions_table[Form of Maintenance - Secondary Scenario]="Replacement",1,0))*INDEX(Indicators,MATCH('Additional Impact Indicators'!$A32,Materials!$D:$D,0),MATCH("diesel combustion",Materials!$1:$1,0))+SUMPRODUCT(Delay_emissions_table[Consumption of Petrol (kg) - Secondary Scenario],IF(Delay_emissions_table[Form of Maintenance - Secondary Scenario]="Replacement",1,0))*INDEX(Indicators,MATCH('Additional Impact Indicators'!$A32,Materials!$D:$D,0),MATCH("petrol combustion",Materials!$1:$1,0))+IFERROR(SUMPRODUCT(TRANSPOSE(INDEX(elec_project_emissions,MATCH(Elec_scenario&amp;'Additional Impact Indicators'!$B32,INDEX(Electricity_projection,0,3),0)-1,0)),Delay_emissions_table[Consumption of electricity (MJ) - Secondary Scenario],IF(Delay_emissions_table[Form of Maintenance - Secondary Scenario]="Replacement",1,0)),0))*Area_trans*time_adj_Sec</f>
        <v>0</v>
      </c>
      <c r="CK32" s="248" t="e" cm="1">
        <f t="array" ref="CK3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2" s="248" t="e" cm="1">
        <f t="array" ref="CL3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2" s="249" t="e" cm="1">
        <f t="array" ref="CM3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2" s="387" t="e" cm="1">
        <f t="array" ref="CN3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2" s="51" t="e">
        <f ca="1">SUMIF(Table3[[#This Row],[Raw-Materials]:[Transport to recycling facility]],"&lt;&gt;#N/A")</f>
        <v>#DIV/0!</v>
      </c>
      <c r="CT32" t="s">
        <v>522</v>
      </c>
      <c r="CU32" t="s">
        <v>388</v>
      </c>
      <c r="CV32" t="str">
        <f t="shared" si="3"/>
        <v>A2</v>
      </c>
      <c r="CW32" t="s">
        <v>485</v>
      </c>
      <c r="CY32">
        <f>MATCH(Table611[[#This Row],[Indicator]],Material_Impacts[Look up],0)</f>
        <v>76</v>
      </c>
      <c r="CZ32" s="246" cm="1">
        <f t="array" aca="1" ref="CZ3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2" s="166" cm="1">
        <f t="array" ref="DA3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2" s="166" t="e">
        <f>Diesel_RawM_Tert*INDEX(Indicators,MATCH(Impacts_Additional[[#This Row],[Indicator]],Materials!$D:$D,0),MATCH("Diesel Combustion",Materials!$1:$1,0))*Diesel_density*Project_Area*Tert_Lays*Area_trans</f>
        <v>#DIV/0!</v>
      </c>
      <c r="DC32" s="35" t="e" cm="1">
        <f t="array" aca="1" ref="DC3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2" s="35" t="e" cm="1">
        <f t="array" aca="1" ref="DD3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2" t="e" cm="1">
        <f t="array" aca="1" ref="DE3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2" s="35" t="e" cm="1">
        <f t="array" aca="1" ref="DF3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2" s="35" t="e" cm="1">
        <f t="array" aca="1" ref="DG3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2" t="e" cm="1">
        <f t="array" aca="1" ref="DH3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2" s="35" t="e" cm="1">
        <f t="array" aca="1" ref="DI3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2" s="35" t="e" cm="1">
        <f t="array" aca="1" ref="DJ3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2" t="e" cm="1">
        <f t="array" aca="1" ref="DK3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2" s="35" t="e" cm="1">
        <f t="array" aca="1" ref="DL3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2" s="35" t="e" cm="1">
        <f t="array" aca="1" ref="DM3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2" t="e" cm="1">
        <f t="array" aca="1" ref="DN3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2" s="35" t="e" cm="1">
        <f t="array" aca="1" ref="DO3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2" s="35" t="e" cm="1">
        <f t="array" aca="1" ref="DP3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2" t="e" cm="1">
        <f t="array" aca="1" ref="DQ3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2" s="35" t="e" cm="1">
        <f t="array" aca="1" ref="DR3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2" s="35" t="e" cm="1">
        <f t="array" aca="1" ref="DS3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2" t="e" cm="1">
        <f t="array" aca="1" ref="DT3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2" s="35" t="e" cm="1">
        <f t="array" aca="1" ref="DU3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2" s="35" t="e" cm="1">
        <f t="array" aca="1" ref="DV3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2" t="e" cm="1">
        <f t="array" aca="1" ref="DW3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2" s="35" t="e" cm="1">
        <f t="array" aca="1" ref="DX3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2" s="35" t="e" cm="1">
        <f t="array" aca="1" ref="DY3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2" t="e" cm="1">
        <f t="array" aca="1" ref="DZ3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2" s="35" t="e" cm="1">
        <f t="array" aca="1" ref="EA3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2" s="35" t="e" cm="1">
        <f t="array" aca="1" ref="EB3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2" t="e" cm="1">
        <f t="array" aca="1" ref="EC3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2" s="166"/>
      <c r="EE32" s="375" cm="1">
        <f t="array" aca="1" ref="EE3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2" s="247" cm="1">
        <f t="array" aca="1" ref="EF32" ca="1">(SUMPRODUCT(Delay_emissions_table[Consumption of Diesel (kg) - Tertiary Scenario],IF(Delay_emissions_table[Form of Maintenance - Tertiary Scenario]="Life Extension",1,0))*INDEX(Indicators,MATCH('Additional Impact Indicators'!$A32,Materials!$D:$D,0),MATCH("diesel combustion",Materials!$1:$1,0))+SUMPRODUCT(Delay_emissions_table[Consumption of Petrol (kg) - Tertiary Scenario],IF(Delay_emissions_table[Form of Maintenance - Tertiary Scenario]="Life Extension",1,0))*INDEX(Indicators,MATCH('Additional Impact Indicators'!$A32,Materials!$D:$D,0),MATCH("petrol combustion",Materials!$1:$1,0))+IFERROR(SUMPRODUCT(TRANSPOSE(INDEX(elec_project_emissions,MATCH(Elec_scenario&amp;'Additional Impact Indicators'!$B32,INDEX(Electricity_projection,0,3),0)-1,0)),Delay_emissions_table[Consumption of electricity (MJ) - Tertiary Scenario],IF(Delay_emissions_table[Form of Maintenance - Tertiary Scenario]="Life Extension",1,0)),0))*Area_trans*Time_adj_Tert</f>
        <v>0</v>
      </c>
      <c r="EG32" s="247" cm="1">
        <f t="array" aca="1" ref="EG32" ca="1">(SUMPRODUCT(Delay_emissions_table[Consumption of Diesel (kg) - Tertiary Scenario],IF(Delay_emissions_table[Form of Maintenance - Tertiary Scenario]="Replacement",1,0))*INDEX(Indicators,MATCH('Additional Impact Indicators'!$A32,Materials!$D:$D,0),MATCH("diesel combustion",Materials!$1:$1,0))+SUMPRODUCT(Delay_emissions_table[Consumption of Petrol (kg) - Tertiary Scenario],IF(Delay_emissions_table[Form of Maintenance - Tertiary Scenario]="Replacement",1,0))*INDEX(Indicators,MATCH('Additional Impact Indicators'!$A32,Materials!$D:$D,0),MATCH("petrol combustion",Materials!$1:$1,0))+IFERROR(SUMPRODUCT(TRANSPOSE(INDEX(elec_project_emissions,MATCH(Elec_scenario&amp;'Additional Impact Indicators'!$B32,INDEX(Electricity_projection,0,3),0)-1,0)),Delay_emissions_table[Consumption of electricity (MJ) - Tertiary Scenario],IF(Delay_emissions_table[Form of Maintenance - Tertiary Scenario]="Replacement",1,0)),0))*Area_trans*Time_adj_Tert</f>
        <v>0</v>
      </c>
      <c r="EH32" s="248" t="e" cm="1">
        <f t="array" ref="EH3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2" s="248" t="e" cm="1">
        <f t="array" ref="EI3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2" s="249" t="e" cm="1">
        <f t="array" ref="EJ3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2" s="249" t="e" cm="1">
        <f t="array" ref="EK3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2" t="e">
        <f ca="1">SUMIF(Table611[[#This Row],[Raw-Materials]:[Transport to recycling facility]],"&lt;&gt;#N/A")</f>
        <v>#DIV/0!</v>
      </c>
    </row>
    <row r="33" spans="1:142" x14ac:dyDescent="0.35">
      <c r="A33" s="155" t="s">
        <v>523</v>
      </c>
      <c r="B33" s="155" t="s">
        <v>382</v>
      </c>
      <c r="C33" s="155" t="str">
        <f t="shared" si="1"/>
        <v>A2</v>
      </c>
      <c r="D33" s="155" t="s">
        <v>485</v>
      </c>
      <c r="E33" s="155"/>
      <c r="F33">
        <f>MATCH(Impacts_Additional[[#This Row],[Indicator]],Material_Impacts[Look up],0)</f>
        <v>77</v>
      </c>
      <c r="G33" s="246" cm="1">
        <f t="array" aca="1" ref="G3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3" s="165" cm="1">
        <f t="array" ref="H3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3" s="165" t="e">
        <f>Diesel_RawM_Prim*INDEX(Indicators,MATCH(Impacts_Additional[[#This Row],[Indicator]],Materials!$D:$D,0),MATCH("Diesel Combustion",Materials!$1:$1,0))*Diesel_density*Project_Area*Prim_Lays*Area_trans</f>
        <v>#DIV/0!</v>
      </c>
      <c r="J33" s="250" t="e" cm="1">
        <f t="array" aca="1" ref="J3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3" s="250" t="e" cm="1">
        <f t="array" aca="1" ref="K3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3" s="250" t="e" cm="1">
        <f t="array" aca="1" ref="L3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3" s="250" t="e" cm="1">
        <f t="array" aca="1" ref="M3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3" s="250" t="e" cm="1">
        <f t="array" aca="1" ref="N3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3" s="250" t="e" cm="1">
        <f t="array" aca="1" ref="O3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3" s="250" t="e" cm="1">
        <f t="array" aca="1" ref="P3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3" s="250" t="e" cm="1">
        <f t="array" aca="1" ref="Q3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3" s="250" t="e" cm="1">
        <f t="array" aca="1" ref="R3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3" s="250" t="e" cm="1">
        <f t="array" aca="1" ref="S3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3" s="250" t="e" cm="1">
        <f t="array" aca="1" ref="T3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3" s="250" t="e" cm="1">
        <f t="array" aca="1" ref="U3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3" s="250" t="e" cm="1">
        <f t="array" aca="1" ref="V3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3" s="250" t="e" cm="1">
        <f t="array" aca="1" ref="W3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3" s="250" t="e" cm="1">
        <f t="array" aca="1" ref="X3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3" s="250" t="e" cm="1">
        <f t="array" aca="1" ref="Y3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3" s="250" t="e" cm="1">
        <f t="array" aca="1" ref="Z3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3" s="250" t="e" cm="1">
        <f t="array" aca="1" ref="AA3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3" s="250" t="e" cm="1">
        <f t="array" aca="1" ref="AB3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3" s="250" t="e" cm="1">
        <f t="array" aca="1" ref="AC3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3" s="250" t="e" cm="1">
        <f t="array" aca="1" ref="AD3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3" s="250" t="e" cm="1">
        <f t="array" aca="1" ref="AE3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3" s="250" t="e" cm="1">
        <f t="array" aca="1" ref="AF3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3" s="250" t="e" cm="1">
        <f t="array" aca="1" ref="AG3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3" s="250" t="e" cm="1">
        <f t="array" aca="1" ref="AH3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3" s="250" t="e" cm="1">
        <f t="array" aca="1" ref="AI3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3" s="250" t="e" cm="1">
        <f t="array" aca="1" ref="AJ3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3" s="165" cm="1">
        <f t="array" aca="1" ref="AK33" ca="1">((E_modulus_Prim/40114)^-0.25)*((Subgrade_stiffness_Prim/35)^-0.25)*((Surface_thickness_Prim/0.22)^-0.75)*Area_trans*delflec_switch*SUM((INDEX(PVI_vehicle_EFC,1,1)/INDEX(PVI_fuel_energy_density,1,1))*(INDEX(Indicators,MATCH('Additional Impact Indicators'!$A33,Materials!$D:$D,0),MATCH("diesel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Indicators'!$A33,Materials!$D:$D,0),MATCH("petrol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Indicators'!$A33,Materials!$D:$D,0),MATCH("diesel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Indicators'!$A33,Materials!$D:$D,0),MATCH("petrol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Indicators'!$A33,Materials!$D:$D,0),MATCH("bio-diesel combustion",Materials!$1:$1,0))*((1-enviro_disc)^Handle_years)*Handle_electricity_emissions:OFFSET(Handle_electricity_emissions,0,Results_timespan-1)^0)*OFFSET(Handle_traffic_fleet,6,0):OFFSET(Handle_traffic_fleet,6,Results_timespan-1))</f>
        <v>0</v>
      </c>
      <c r="AL33" s="165" cm="1">
        <f t="array" aca="1" ref="AL3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3" s="251" cm="1">
        <f t="array" aca="1" ref="AM33" ca="1">(SUMPRODUCT(Delay_emissions_table[Consumption of Diesel (kg) - Primary Scenario],IF(Delay_emissions_table[Form of Maintenance - Primary Scenario]="Life Extension",1,0))*INDEX(Indicators,MATCH('Additional Impact Indicators'!$A33,Materials!$D:$D,0),MATCH("diesel combustion",Materials!$1:$1,0))+SUMPRODUCT(Delay_emissions_table[Consumption of Petrol (kg) - Primary Scenario],IF(Delay_emissions_table[Form of Maintenance - Primary Scenario]="Life Extension",1,0))*INDEX(Indicators,MATCH('Additional Impact Indicators'!$A33,Materials!$D:$D,0),MATCH("petrol combustion",Materials!$1:$1,0))+IFERROR(SUMPRODUCT(TRANSPOSE(INDEX(elec_project_emissions,MATCH(Elec_scenario&amp;'Additional Impact Indicators'!$B33,INDEX(Electricity_projection,0,3),0)-1,0)),Delay_emissions_table[Consumption of electricity (MJ) - Primary Scenario],IF(Delay_emissions_table[Form of Maintenance - Primary Scenario]="Life Extension",1,0)),0))*Area_trans*Time_adj_Prim</f>
        <v>0</v>
      </c>
      <c r="AN33" s="251" cm="1">
        <f t="array" aca="1" ref="AN33" ca="1">(SUMPRODUCT(Delay_emissions_table[Consumption of Diesel (kg) - Primary Scenario],IF(Delay_emissions_table[Form of Maintenance - Primary Scenario]="Replacement",1,0))*INDEX(Indicators,MATCH('Additional Impact Indicators'!$A33,Materials!$D:$D,0),MATCH("diesel combustion",Materials!$1:$1,0))+SUMPRODUCT(Delay_emissions_table[Consumption of Petrol (kg) - Primary Scenario],IF(Delay_emissions_table[Form of Maintenance - Primary Scenario]="Replacement",1,0))*INDEX(Indicators,MATCH('Additional Impact Indicators'!$A33,Materials!$D:$D,0),MATCH("petrol combustion",Materials!$1:$1,0))+IFERROR(SUMPRODUCT(TRANSPOSE(INDEX(elec_project_emissions,MATCH(Elec_scenario&amp;'Additional Impact Indicators'!$B33,INDEX(Electricity_projection,0,3),0)-1,0)),Delay_emissions_table[Consumption of electricity (MJ) - Primary Scenario],IF(Delay_emissions_table[Form of Maintenance - Primary Scenario]="Replacement",1,0)),0))*Area_trans*Time_adj_Prim</f>
        <v>0</v>
      </c>
      <c r="AO33" s="252" t="e" cm="1">
        <f t="array" ref="AO3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3" s="252" t="e" cm="1">
        <f t="array" ref="AP3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3" s="253" t="e" cm="1">
        <f t="array" ref="AQ3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3" s="385" t="e" cm="1">
        <f t="array" ref="AR3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3" t="e">
        <f ca="1">SUMIF('Additional Impact Indicators'!$G33:$AQ33,"&lt;&gt;#N/A")</f>
        <v>#DIV/0!</v>
      </c>
      <c r="AW33" s="155" t="s">
        <v>523</v>
      </c>
      <c r="AX33" s="155" t="s">
        <v>382</v>
      </c>
      <c r="AY33" s="155" t="str">
        <f t="shared" si="2"/>
        <v>A2</v>
      </c>
      <c r="AZ33" s="155" t="s">
        <v>485</v>
      </c>
      <c r="BA33" s="155"/>
      <c r="BB33" s="155">
        <f>MATCH(Table3[[#This Row],[Indicator]],Material_Impacts[Look up],0)</f>
        <v>77</v>
      </c>
      <c r="BC33" s="246" cm="1">
        <f t="array" aca="1" ref="BC3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3" s="165" cm="1">
        <f t="array" ref="BD3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3" s="165" t="e">
        <f>Diesel_RawM_Sec*INDEX(Indicators,MATCH(Impacts_Additional[[#This Row],[Indicator]],Materials!$D:$D,0),MATCH("Diesel Combustion",Materials!$1:$1,0))*Diesel_density*Project_Area*Sec_Lays*Area_trans</f>
        <v>#DIV/0!</v>
      </c>
      <c r="BF33" s="35" t="e" cm="1">
        <f t="array" aca="1" ref="BF3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3" s="35" t="e" cm="1">
        <f t="array" aca="1" ref="BG3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3" t="e" cm="1">
        <f t="array" aca="1" ref="BH3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3" s="35" t="e" cm="1">
        <f t="array" aca="1" ref="BI3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3" s="35" t="e" cm="1">
        <f t="array" aca="1" ref="BJ3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3" t="e" cm="1">
        <f t="array" aca="1" ref="BK3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3" s="35" t="e" cm="1">
        <f t="array" aca="1" ref="BL3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3" s="35" t="e" cm="1">
        <f t="array" aca="1" ref="BM3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3" t="e" cm="1">
        <f t="array" aca="1" ref="BN3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3" s="35" t="e" cm="1">
        <f t="array" aca="1" ref="BO3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3" s="35" t="e" cm="1">
        <f t="array" aca="1" ref="BP3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3" t="e" cm="1">
        <f t="array" aca="1" ref="BQ3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3" s="35" t="e" cm="1">
        <f t="array" aca="1" ref="BR3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3" s="35" t="e" cm="1">
        <f t="array" aca="1" ref="BS3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3" t="e" cm="1">
        <f t="array" aca="1" ref="BT3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3" s="35" t="e" cm="1">
        <f t="array" aca="1" ref="BU3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3" s="35" t="e" cm="1">
        <f t="array" aca="1" ref="BV3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3" t="e" cm="1">
        <f t="array" aca="1" ref="BW3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3" s="35" t="e" cm="1">
        <f t="array" aca="1" ref="BX3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3" s="35" t="e" cm="1">
        <f t="array" aca="1" ref="BY3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3" t="e" cm="1">
        <f t="array" aca="1" ref="BZ3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3" s="35" t="e" cm="1">
        <f t="array" aca="1" ref="CA3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3" s="35" t="e" cm="1">
        <f t="array" aca="1" ref="CB3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3" t="e" cm="1">
        <f t="array" aca="1" ref="CC3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3" s="35" t="e" cm="1">
        <f t="array" aca="1" ref="CD3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3" s="35" t="e" cm="1">
        <f t="array" aca="1" ref="CE3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3" t="e" cm="1">
        <f t="array" aca="1" ref="CF3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3" s="165" cm="1">
        <f t="array" aca="1" ref="CG33" ca="1">((E_modulus_Sec/40114)^-0.25)*((Subgrade_stiffness_Sec/35)^-0.25)*((Surface_thickness_Sec/0.22)^-0.75)*Area_trans*delflec_switch*SUM((INDEX(PVI_vehicle_EFC,1,1)/INDEX(PVI_fuel_energy_density,1,1))*(INDEX(Indicators,MATCH('Additional Impact Indicators'!$A33,Materials!$D:$D,0),MATCH("diesel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Indicators'!$A33,Materials!$D:$D,0),MATCH("petrol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Indicators'!$A33,Materials!$D:$D,0),MATCH("diesel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Indicators'!$A33,Materials!$D:$D,0),MATCH("petrol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Indicators'!$A33,Materials!$D:$D,0),MATCH("bio-diesel combustion",Materials!$1:$1,0))*((1-enviro_disc)^Handle_years)*Handle_electricity_emissions:OFFSET(Handle_electricity_emissions,0,Results_timespan-1)^0)*OFFSET(Handle_traffic_fleet,6,0):OFFSET(Handle_traffic_fleet,6,Results_timespan-1))</f>
        <v>0</v>
      </c>
      <c r="CH33" s="375" cm="1">
        <f t="array" aca="1" ref="CH3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3" s="251" cm="1">
        <f t="array" aca="1" ref="CI33" ca="1">(SUMPRODUCT(Delay_emissions_table[Consumption of Diesel (kg) - Secondary Scenario],IF(Delay_emissions_table[Form of Maintenance - Secondary Scenario]="Life Extension",1,0))*INDEX(Indicators,MATCH('Additional Impact Indicators'!$A33,Materials!$D:$D,0),MATCH("diesel combustion",Materials!$1:$1,0))+SUMPRODUCT(Delay_emissions_table[Consumption of Petrol (kg) - Secondary Scenario],IF(Delay_emissions_table[Form of Maintenance - Secondary Scenario]="Life Extension",1,0))*INDEX(Indicators,MATCH('Additional Impact Indicators'!$A33,Materials!$D:$D,0),MATCH("petrol combustion",Materials!$1:$1,0))+IFERROR(SUMPRODUCT(TRANSPOSE(INDEX(elec_project_emissions,MATCH(Elec_scenario&amp;'Additional Impact Indicators'!$B33,INDEX(Electricity_projection,0,3),0)-1,0)),Delay_emissions_table[Consumption of electricity (MJ) - Secondary Scenario],IF(Delay_emissions_table[Form of Maintenance - Secondary Scenario]="Life Extension",1,0)),0))*Area_trans*time_adj_Sec</f>
        <v>0</v>
      </c>
      <c r="CJ33" s="251" cm="1">
        <f t="array" aca="1" ref="CJ33" ca="1">(SUMPRODUCT(Delay_emissions_table[Consumption of Diesel (kg) - Secondary Scenario],IF(Delay_emissions_table[Form of Maintenance - Secondary Scenario]="Replacement",1,0))*INDEX(Indicators,MATCH('Additional Impact Indicators'!$A33,Materials!$D:$D,0),MATCH("diesel combustion",Materials!$1:$1,0))+SUMPRODUCT(Delay_emissions_table[Consumption of Petrol (kg) - Secondary Scenario],IF(Delay_emissions_table[Form of Maintenance - Secondary Scenario]="Replacement",1,0))*INDEX(Indicators,MATCH('Additional Impact Indicators'!$A33,Materials!$D:$D,0),MATCH("petrol combustion",Materials!$1:$1,0))+IFERROR(SUMPRODUCT(TRANSPOSE(INDEX(elec_project_emissions,MATCH(Elec_scenario&amp;'Additional Impact Indicators'!$B33,INDEX(Electricity_projection,0,3),0)-1,0)),Delay_emissions_table[Consumption of electricity (MJ) - Secondary Scenario],IF(Delay_emissions_table[Form of Maintenance - Secondary Scenario]="Replacement",1,0)),0))*Area_trans*time_adj_Sec</f>
        <v>0</v>
      </c>
      <c r="CK33" s="252" t="e" cm="1">
        <f t="array" ref="CK3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3" s="252" t="e" cm="1">
        <f t="array" ref="CL3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3" s="253" t="e" cm="1">
        <f t="array" ref="CM3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3" s="387" t="e" cm="1">
        <f t="array" ref="CN3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3" s="51" t="e">
        <f ca="1">SUMIF(Table3[[#This Row],[Raw-Materials]:[Transport to recycling facility]],"&lt;&gt;#N/A")</f>
        <v>#DIV/0!</v>
      </c>
      <c r="CT33" t="s">
        <v>523</v>
      </c>
      <c r="CU33" t="s">
        <v>382</v>
      </c>
      <c r="CV33" t="str">
        <f t="shared" si="3"/>
        <v>A2</v>
      </c>
      <c r="CW33" t="s">
        <v>485</v>
      </c>
      <c r="CY33">
        <f>MATCH(Table611[[#This Row],[Indicator]],Material_Impacts[Look up],0)</f>
        <v>77</v>
      </c>
      <c r="CZ33" s="246" cm="1">
        <f t="array" aca="1" ref="CZ3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3" s="165" cm="1">
        <f t="array" ref="DA3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3" s="165" t="e">
        <f>Diesel_RawM_Tert*INDEX(Indicators,MATCH(Impacts_Additional[[#This Row],[Indicator]],Materials!$D:$D,0),MATCH("Diesel Combustion",Materials!$1:$1,0))*Diesel_density*Project_Area*Tert_Lays*Area_trans</f>
        <v>#DIV/0!</v>
      </c>
      <c r="DC33" s="35" t="e" cm="1">
        <f t="array" aca="1" ref="DC3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3" s="35" t="e" cm="1">
        <f t="array" aca="1" ref="DD3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3" t="e" cm="1">
        <f t="array" aca="1" ref="DE3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3" s="35" t="e" cm="1">
        <f t="array" aca="1" ref="DF3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3" s="35" t="e" cm="1">
        <f t="array" aca="1" ref="DG3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3" t="e" cm="1">
        <f t="array" aca="1" ref="DH3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3" s="35" t="e" cm="1">
        <f t="array" aca="1" ref="DI3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3" s="35" t="e" cm="1">
        <f t="array" aca="1" ref="DJ3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3" t="e" cm="1">
        <f t="array" aca="1" ref="DK3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3" s="35" t="e" cm="1">
        <f t="array" aca="1" ref="DL3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3" s="35" t="e" cm="1">
        <f t="array" aca="1" ref="DM3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3" t="e" cm="1">
        <f t="array" aca="1" ref="DN3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3" s="35" t="e" cm="1">
        <f t="array" aca="1" ref="DO3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3" s="35" t="e" cm="1">
        <f t="array" aca="1" ref="DP3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3" t="e" cm="1">
        <f t="array" aca="1" ref="DQ3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3" s="35" t="e" cm="1">
        <f t="array" aca="1" ref="DR3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3" s="35" t="e" cm="1">
        <f t="array" aca="1" ref="DS3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3" t="e" cm="1">
        <f t="array" aca="1" ref="DT3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3" s="35" t="e" cm="1">
        <f t="array" aca="1" ref="DU3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3" s="35" t="e" cm="1">
        <f t="array" aca="1" ref="DV3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3" t="e" cm="1">
        <f t="array" aca="1" ref="DW3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3" s="35" t="e" cm="1">
        <f t="array" aca="1" ref="DX3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3" s="35" t="e" cm="1">
        <f t="array" aca="1" ref="DY3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3" t="e" cm="1">
        <f t="array" aca="1" ref="DZ3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3" s="35" t="e" cm="1">
        <f t="array" aca="1" ref="EA3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3" s="35" t="e" cm="1">
        <f t="array" aca="1" ref="EB3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3" t="e" cm="1">
        <f t="array" aca="1" ref="EC3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3" s="165" cm="1">
        <f t="array" aca="1" ref="ED33" ca="1">((E_modulus_Tert/40114)^-0.25)*((Subgrade_stiffness_Tert/35)^-0.25)*((Surface_thickness_Tert/0.22)^-0.75)*Area_trans*delflec_switch*SUM((INDEX(PVI_vehicle_EFC,1,1)/INDEX(PVI_fuel_energy_density,1,1))*(INDEX(Indicators,MATCH('Additional Impact Indicators'!$A33,Materials!$D:$D,0),MATCH("diesel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Indicators'!$A33,Materials!$D:$D,0),MATCH("petrol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Indicators'!$A33,Materials!$D:$D,0),MATCH("diesel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Indicators'!$A33,Materials!$D:$D,0),MATCH("petrol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Indicators'!$A33,Materials!$D:$D,0),MATCH("bio-diesel combustion",Materials!$1:$1,0))*((1-enviro_disc)^Handle_years)*Handle_electricity_emissions:OFFSET(Handle_electricity_emissions,0,Results_timespan-1)^0)*OFFSET(Handle_traffic_fleet,6,0):OFFSET(Handle_traffic_fleet,6,Results_timespan-1))</f>
        <v>0</v>
      </c>
      <c r="EE33" s="375" cm="1">
        <f t="array" aca="1" ref="EE3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3" s="251" cm="1">
        <f t="array" aca="1" ref="EF33" ca="1">(SUMPRODUCT(Delay_emissions_table[Consumption of Diesel (kg) - Tertiary Scenario],IF(Delay_emissions_table[Form of Maintenance - Tertiary Scenario]="Life Extension",1,0))*INDEX(Indicators,MATCH('Additional Impact Indicators'!$A33,Materials!$D:$D,0),MATCH("diesel combustion",Materials!$1:$1,0))+SUMPRODUCT(Delay_emissions_table[Consumption of Petrol (kg) - Tertiary Scenario],IF(Delay_emissions_table[Form of Maintenance - Tertiary Scenario]="Life Extension",1,0))*INDEX(Indicators,MATCH('Additional Impact Indicators'!$A33,Materials!$D:$D,0),MATCH("petrol combustion",Materials!$1:$1,0))+IFERROR(SUMPRODUCT(TRANSPOSE(INDEX(elec_project_emissions,MATCH(Elec_scenario&amp;'Additional Impact Indicators'!$B33,INDEX(Electricity_projection,0,3),0)-1,0)),Delay_emissions_table[Consumption of electricity (MJ) - Tertiary Scenario],IF(Delay_emissions_table[Form of Maintenance - Tertiary Scenario]="Life Extension",1,0)),0))*Area_trans*Time_adj_Tert</f>
        <v>0</v>
      </c>
      <c r="EG33" s="251" cm="1">
        <f t="array" aca="1" ref="EG33" ca="1">(SUMPRODUCT(Delay_emissions_table[Consumption of Diesel (kg) - Tertiary Scenario],IF(Delay_emissions_table[Form of Maintenance - Tertiary Scenario]="Replacement",1,0))*INDEX(Indicators,MATCH('Additional Impact Indicators'!$A33,Materials!$D:$D,0),MATCH("diesel combustion",Materials!$1:$1,0))+SUMPRODUCT(Delay_emissions_table[Consumption of Petrol (kg) - Tertiary Scenario],IF(Delay_emissions_table[Form of Maintenance - Tertiary Scenario]="Replacement",1,0))*INDEX(Indicators,MATCH('Additional Impact Indicators'!$A33,Materials!$D:$D,0),MATCH("petrol combustion",Materials!$1:$1,0))+IFERROR(SUMPRODUCT(TRANSPOSE(INDEX(elec_project_emissions,MATCH(Elec_scenario&amp;'Additional Impact Indicators'!$B33,INDEX(Electricity_projection,0,3),0)-1,0)),Delay_emissions_table[Consumption of electricity (MJ) - Tertiary Scenario],IF(Delay_emissions_table[Form of Maintenance - Tertiary Scenario]="Replacement",1,0)),0))*Area_trans*Time_adj_Tert</f>
        <v>0</v>
      </c>
      <c r="EH33" s="252" t="e" cm="1">
        <f t="array" ref="EH3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3" s="252" t="e" cm="1">
        <f t="array" ref="EI3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3" s="253" t="e" cm="1">
        <f t="array" ref="EJ3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3" s="253" t="e" cm="1">
        <f t="array" ref="EK3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3" t="e">
        <f ca="1">SUMIF(Table611[[#This Row],[Raw-Materials]:[Transport to recycling facility]],"&lt;&gt;#N/A")</f>
        <v>#DIV/0!</v>
      </c>
    </row>
    <row r="34" spans="1:142" x14ac:dyDescent="0.35">
      <c r="A34" t="s">
        <v>524</v>
      </c>
      <c r="B34" t="s">
        <v>391</v>
      </c>
      <c r="C34" t="str">
        <f t="shared" si="1"/>
        <v>A2</v>
      </c>
      <c r="D34" t="s">
        <v>485</v>
      </c>
      <c r="F34">
        <f>MATCH(Impacts_Additional[[#This Row],[Indicator]],Material_Impacts[Look up],0)</f>
        <v>78</v>
      </c>
      <c r="G34" s="246" cm="1">
        <f t="array" aca="1" ref="G3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4" s="166" cm="1">
        <f t="array" ref="H3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4" s="166" t="e">
        <f>Diesel_RawM_Prim*INDEX(Indicators,MATCH(Impacts_Additional[[#This Row],[Indicator]],Materials!$D:$D,0),MATCH("Diesel Combustion",Materials!$1:$1,0))*Diesel_density*Project_Area*Prim_Lays*Area_trans</f>
        <v>#DIV/0!</v>
      </c>
      <c r="J34" s="20" t="e" cm="1">
        <f t="array" aca="1" ref="J3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4" s="20" t="e" cm="1">
        <f t="array" aca="1" ref="K3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4" s="20" t="e" cm="1">
        <f t="array" aca="1" ref="L3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4" s="20" t="e" cm="1">
        <f t="array" aca="1" ref="M3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4" s="20" t="e" cm="1">
        <f t="array" aca="1" ref="N3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4" s="20" t="e" cm="1">
        <f t="array" aca="1" ref="O3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4" s="20" t="e" cm="1">
        <f t="array" aca="1" ref="P3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4" s="20" t="e" cm="1">
        <f t="array" aca="1" ref="Q3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4" s="20" t="e" cm="1">
        <f t="array" aca="1" ref="R3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4" s="20" t="e" cm="1">
        <f t="array" aca="1" ref="S3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4" s="20" t="e" cm="1">
        <f t="array" aca="1" ref="T3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4" s="20" t="e" cm="1">
        <f t="array" aca="1" ref="U3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4" s="20" t="e" cm="1">
        <f t="array" aca="1" ref="V3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4" s="20" t="e" cm="1">
        <f t="array" aca="1" ref="W3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4" s="20" t="e" cm="1">
        <f t="array" aca="1" ref="X3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4" s="20" t="e" cm="1">
        <f t="array" aca="1" ref="Y3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4" s="20" t="e" cm="1">
        <f t="array" aca="1" ref="Z3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4" s="20" t="e" cm="1">
        <f t="array" aca="1" ref="AA3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4" s="20" t="e" cm="1">
        <f t="array" aca="1" ref="AB3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4" s="20" t="e" cm="1">
        <f t="array" aca="1" ref="AC3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4" s="20" t="e" cm="1">
        <f t="array" aca="1" ref="AD3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4" s="20" t="e" cm="1">
        <f t="array" aca="1" ref="AE3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4" s="20" t="e" cm="1">
        <f t="array" aca="1" ref="AF3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4" s="20" t="e" cm="1">
        <f t="array" aca="1" ref="AG3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4" s="20" t="e" cm="1">
        <f t="array" aca="1" ref="AH3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4" s="20" t="e" cm="1">
        <f t="array" aca="1" ref="AI3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4" s="20" t="e" cm="1">
        <f t="array" aca="1" ref="AJ3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4" s="166"/>
      <c r="AL34" s="166" cm="1">
        <f t="array" aca="1" ref="AL3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4" s="247" cm="1">
        <f t="array" aca="1" ref="AM34" ca="1">(SUMPRODUCT(Delay_emissions_table[Consumption of Diesel (kg) - Primary Scenario],IF(Delay_emissions_table[Form of Maintenance - Primary Scenario]="Life Extension",1,0))*INDEX(Indicators,MATCH('Additional Impact Indicators'!$A34,Materials!$D:$D,0),MATCH("diesel combustion",Materials!$1:$1,0))+SUMPRODUCT(Delay_emissions_table[Consumption of Petrol (kg) - Primary Scenario],IF(Delay_emissions_table[Form of Maintenance - Primary Scenario]="Life Extension",1,0))*INDEX(Indicators,MATCH('Additional Impact Indicators'!$A34,Materials!$D:$D,0),MATCH("petrol combustion",Materials!$1:$1,0))+IFERROR(SUMPRODUCT(TRANSPOSE(INDEX(elec_project_emissions,MATCH(Elec_scenario&amp;'Additional Impact Indicators'!$B34,INDEX(Electricity_projection,0,3),0)-1,0)),Delay_emissions_table[Consumption of electricity (MJ) - Primary Scenario],IF(Delay_emissions_table[Form of Maintenance - Primary Scenario]="Life Extension",1,0)),0))*Area_trans*Time_adj_Prim</f>
        <v>0</v>
      </c>
      <c r="AN34" s="247" cm="1">
        <f t="array" aca="1" ref="AN34" ca="1">(SUMPRODUCT(Delay_emissions_table[Consumption of Diesel (kg) - Primary Scenario],IF(Delay_emissions_table[Form of Maintenance - Primary Scenario]="Replacement",1,0))*INDEX(Indicators,MATCH('Additional Impact Indicators'!$A34,Materials!$D:$D,0),MATCH("diesel combustion",Materials!$1:$1,0))+SUMPRODUCT(Delay_emissions_table[Consumption of Petrol (kg) - Primary Scenario],IF(Delay_emissions_table[Form of Maintenance - Primary Scenario]="Replacement",1,0))*INDEX(Indicators,MATCH('Additional Impact Indicators'!$A34,Materials!$D:$D,0),MATCH("petrol combustion",Materials!$1:$1,0))+IFERROR(SUMPRODUCT(TRANSPOSE(INDEX(elec_project_emissions,MATCH(Elec_scenario&amp;'Additional Impact Indicators'!$B34,INDEX(Electricity_projection,0,3),0)-1,0)),Delay_emissions_table[Consumption of electricity (MJ) - Primary Scenario],IF(Delay_emissions_table[Form of Maintenance - Primary Scenario]="Replacement",1,0)),0))*Area_trans*Time_adj_Prim</f>
        <v>0</v>
      </c>
      <c r="AO34" s="248" t="e" cm="1">
        <f t="array" ref="AO3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4" s="248" t="e" cm="1">
        <f t="array" ref="AP3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4" s="249" t="e" cm="1">
        <f t="array" ref="AQ3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4" s="386" t="e" cm="1">
        <f t="array" ref="AR3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4" t="e">
        <f ca="1">SUMIF('Additional Impact Indicators'!$G34:$AQ34,"&lt;&gt;#N/A")</f>
        <v>#DIV/0!</v>
      </c>
      <c r="AW34" t="s">
        <v>524</v>
      </c>
      <c r="AX34" t="s">
        <v>391</v>
      </c>
      <c r="AY34" t="str">
        <f t="shared" si="2"/>
        <v>A2</v>
      </c>
      <c r="AZ34" t="s">
        <v>485</v>
      </c>
      <c r="BB34">
        <f>MATCH(Table3[[#This Row],[Indicator]],Material_Impacts[Look up],0)</f>
        <v>78</v>
      </c>
      <c r="BC34" s="246" cm="1">
        <f t="array" aca="1" ref="BC3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4" s="166" cm="1">
        <f t="array" ref="BD3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4" s="166" t="e">
        <f>Diesel_RawM_Sec*INDEX(Indicators,MATCH(Impacts_Additional[[#This Row],[Indicator]],Materials!$D:$D,0),MATCH("Diesel Combustion",Materials!$1:$1,0))*Diesel_density*Project_Area*Sec_Lays*Area_trans</f>
        <v>#DIV/0!</v>
      </c>
      <c r="BF34" s="35" t="e" cm="1">
        <f t="array" aca="1" ref="BF3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4" s="35" t="e" cm="1">
        <f t="array" aca="1" ref="BG3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4" t="e" cm="1">
        <f t="array" aca="1" ref="BH3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4" s="35" t="e" cm="1">
        <f t="array" aca="1" ref="BI3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4" s="35" t="e" cm="1">
        <f t="array" aca="1" ref="BJ3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4" t="e" cm="1">
        <f t="array" aca="1" ref="BK3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4" s="35" t="e" cm="1">
        <f t="array" aca="1" ref="BL3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4" s="35" t="e" cm="1">
        <f t="array" aca="1" ref="BM3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4" t="e" cm="1">
        <f t="array" aca="1" ref="BN3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4" s="35" t="e" cm="1">
        <f t="array" aca="1" ref="BO3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4" s="35" t="e" cm="1">
        <f t="array" aca="1" ref="BP3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4" t="e" cm="1">
        <f t="array" aca="1" ref="BQ3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4" s="35" t="e" cm="1">
        <f t="array" aca="1" ref="BR3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4" s="35" t="e" cm="1">
        <f t="array" aca="1" ref="BS3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4" t="e" cm="1">
        <f t="array" aca="1" ref="BT3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4" s="35" t="e" cm="1">
        <f t="array" aca="1" ref="BU3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4" s="35" t="e" cm="1">
        <f t="array" aca="1" ref="BV3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4" t="e" cm="1">
        <f t="array" aca="1" ref="BW3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4" s="35" t="e" cm="1">
        <f t="array" aca="1" ref="BX3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4" s="35" t="e" cm="1">
        <f t="array" aca="1" ref="BY3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4" t="e" cm="1">
        <f t="array" aca="1" ref="BZ3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4" s="35" t="e" cm="1">
        <f t="array" aca="1" ref="CA3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4" s="35" t="e" cm="1">
        <f t="array" aca="1" ref="CB3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4" t="e" cm="1">
        <f t="array" aca="1" ref="CC3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4" s="35" t="e" cm="1">
        <f t="array" aca="1" ref="CD3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4" s="35" t="e" cm="1">
        <f t="array" aca="1" ref="CE3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4" t="e" cm="1">
        <f t="array" aca="1" ref="CF3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4" s="166"/>
      <c r="CH34" s="375" cm="1">
        <f t="array" aca="1" ref="CH3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4" s="247" cm="1">
        <f t="array" aca="1" ref="CI34" ca="1">(SUMPRODUCT(Delay_emissions_table[Consumption of Diesel (kg) - Secondary Scenario],IF(Delay_emissions_table[Form of Maintenance - Secondary Scenario]="Life Extension",1,0))*INDEX(Indicators,MATCH('Additional Impact Indicators'!$A34,Materials!$D:$D,0),MATCH("diesel combustion",Materials!$1:$1,0))+SUMPRODUCT(Delay_emissions_table[Consumption of Petrol (kg) - Secondary Scenario],IF(Delay_emissions_table[Form of Maintenance - Secondary Scenario]="Life Extension",1,0))*INDEX(Indicators,MATCH('Additional Impact Indicators'!$A34,Materials!$D:$D,0),MATCH("petrol combustion",Materials!$1:$1,0))+IFERROR(SUMPRODUCT(TRANSPOSE(INDEX(elec_project_emissions,MATCH(Elec_scenario&amp;'Additional Impact Indicators'!$B34,INDEX(Electricity_projection,0,3),0)-1,0)),Delay_emissions_table[Consumption of electricity (MJ) - Secondary Scenario],IF(Delay_emissions_table[Form of Maintenance - Secondary Scenario]="Life Extension",1,0)),0))*Area_trans*time_adj_Sec</f>
        <v>0</v>
      </c>
      <c r="CJ34" s="247" cm="1">
        <f t="array" aca="1" ref="CJ34" ca="1">(SUMPRODUCT(Delay_emissions_table[Consumption of Diesel (kg) - Secondary Scenario],IF(Delay_emissions_table[Form of Maintenance - Secondary Scenario]="Replacement",1,0))*INDEX(Indicators,MATCH('Additional Impact Indicators'!$A34,Materials!$D:$D,0),MATCH("diesel combustion",Materials!$1:$1,0))+SUMPRODUCT(Delay_emissions_table[Consumption of Petrol (kg) - Secondary Scenario],IF(Delay_emissions_table[Form of Maintenance - Secondary Scenario]="Replacement",1,0))*INDEX(Indicators,MATCH('Additional Impact Indicators'!$A34,Materials!$D:$D,0),MATCH("petrol combustion",Materials!$1:$1,0))+IFERROR(SUMPRODUCT(TRANSPOSE(INDEX(elec_project_emissions,MATCH(Elec_scenario&amp;'Additional Impact Indicators'!$B34,INDEX(Electricity_projection,0,3),0)-1,0)),Delay_emissions_table[Consumption of electricity (MJ) - Secondary Scenario],IF(Delay_emissions_table[Form of Maintenance - Secondary Scenario]="Replacement",1,0)),0))*Area_trans*time_adj_Sec</f>
        <v>0</v>
      </c>
      <c r="CK34" s="248" t="e" cm="1">
        <f t="array" ref="CK3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4" s="248" t="e" cm="1">
        <f t="array" ref="CL3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4" s="249" t="e" cm="1">
        <f t="array" ref="CM3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4" s="387" t="e" cm="1">
        <f t="array" ref="CN3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4" s="51" t="e">
        <f ca="1">SUMIF(Table3[[#This Row],[Raw-Materials]:[Transport to recycling facility]],"&lt;&gt;#N/A")</f>
        <v>#DIV/0!</v>
      </c>
      <c r="CT34" t="s">
        <v>524</v>
      </c>
      <c r="CU34" t="s">
        <v>391</v>
      </c>
      <c r="CV34" t="str">
        <f t="shared" si="3"/>
        <v>A2</v>
      </c>
      <c r="CW34" t="s">
        <v>485</v>
      </c>
      <c r="CY34">
        <f>MATCH(Table611[[#This Row],[Indicator]],Material_Impacts[Look up],0)</f>
        <v>78</v>
      </c>
      <c r="CZ34" s="246" cm="1">
        <f t="array" aca="1" ref="CZ3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4" s="166" cm="1">
        <f t="array" ref="DA3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4" s="166" t="e">
        <f>Diesel_RawM_Tert*INDEX(Indicators,MATCH(Impacts_Additional[[#This Row],[Indicator]],Materials!$D:$D,0),MATCH("Diesel Combustion",Materials!$1:$1,0))*Diesel_density*Project_Area*Tert_Lays*Area_trans</f>
        <v>#DIV/0!</v>
      </c>
      <c r="DC34" s="35" t="e" cm="1">
        <f t="array" aca="1" ref="DC3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4" s="35" t="e" cm="1">
        <f t="array" aca="1" ref="DD3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4" t="e" cm="1">
        <f t="array" aca="1" ref="DE3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4" s="35" t="e" cm="1">
        <f t="array" aca="1" ref="DF3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4" s="35" t="e" cm="1">
        <f t="array" aca="1" ref="DG3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4" t="e" cm="1">
        <f t="array" aca="1" ref="DH3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4" s="35" t="e" cm="1">
        <f t="array" aca="1" ref="DI3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4" s="35" t="e" cm="1">
        <f t="array" aca="1" ref="DJ3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4" t="e" cm="1">
        <f t="array" aca="1" ref="DK3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4" s="35" t="e" cm="1">
        <f t="array" aca="1" ref="DL3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4" s="35" t="e" cm="1">
        <f t="array" aca="1" ref="DM3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4" t="e" cm="1">
        <f t="array" aca="1" ref="DN3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4" s="35" t="e" cm="1">
        <f t="array" aca="1" ref="DO3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4" s="35" t="e" cm="1">
        <f t="array" aca="1" ref="DP3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4" t="e" cm="1">
        <f t="array" aca="1" ref="DQ3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4" s="35" t="e" cm="1">
        <f t="array" aca="1" ref="DR3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4" s="35" t="e" cm="1">
        <f t="array" aca="1" ref="DS3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4" t="e" cm="1">
        <f t="array" aca="1" ref="DT3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4" s="35" t="e" cm="1">
        <f t="array" aca="1" ref="DU3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4" s="35" t="e" cm="1">
        <f t="array" aca="1" ref="DV3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4" t="e" cm="1">
        <f t="array" aca="1" ref="DW3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4" s="35" t="e" cm="1">
        <f t="array" aca="1" ref="DX3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4" s="35" t="e" cm="1">
        <f t="array" aca="1" ref="DY3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4" t="e" cm="1">
        <f t="array" aca="1" ref="DZ3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4" s="35" t="e" cm="1">
        <f t="array" aca="1" ref="EA3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4" s="35" t="e" cm="1">
        <f t="array" aca="1" ref="EB3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4" t="e" cm="1">
        <f t="array" aca="1" ref="EC3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4" s="166"/>
      <c r="EE34" s="375" cm="1">
        <f t="array" aca="1" ref="EE3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4" s="247" cm="1">
        <f t="array" aca="1" ref="EF34" ca="1">(SUMPRODUCT(Delay_emissions_table[Consumption of Diesel (kg) - Tertiary Scenario],IF(Delay_emissions_table[Form of Maintenance - Tertiary Scenario]="Life Extension",1,0))*INDEX(Indicators,MATCH('Additional Impact Indicators'!$A34,Materials!$D:$D,0),MATCH("diesel combustion",Materials!$1:$1,0))+SUMPRODUCT(Delay_emissions_table[Consumption of Petrol (kg) - Tertiary Scenario],IF(Delay_emissions_table[Form of Maintenance - Tertiary Scenario]="Life Extension",1,0))*INDEX(Indicators,MATCH('Additional Impact Indicators'!$A34,Materials!$D:$D,0),MATCH("petrol combustion",Materials!$1:$1,0))+IFERROR(SUMPRODUCT(TRANSPOSE(INDEX(elec_project_emissions,MATCH(Elec_scenario&amp;'Additional Impact Indicators'!$B34,INDEX(Electricity_projection,0,3),0)-1,0)),Delay_emissions_table[Consumption of electricity (MJ) - Tertiary Scenario],IF(Delay_emissions_table[Form of Maintenance - Tertiary Scenario]="Life Extension",1,0)),0))*Area_trans*Time_adj_Tert</f>
        <v>0</v>
      </c>
      <c r="EG34" s="247" cm="1">
        <f t="array" aca="1" ref="EG34" ca="1">(SUMPRODUCT(Delay_emissions_table[Consumption of Diesel (kg) - Tertiary Scenario],IF(Delay_emissions_table[Form of Maintenance - Tertiary Scenario]="Replacement",1,0))*INDEX(Indicators,MATCH('Additional Impact Indicators'!$A34,Materials!$D:$D,0),MATCH("diesel combustion",Materials!$1:$1,0))+SUMPRODUCT(Delay_emissions_table[Consumption of Petrol (kg) - Tertiary Scenario],IF(Delay_emissions_table[Form of Maintenance - Tertiary Scenario]="Replacement",1,0))*INDEX(Indicators,MATCH('Additional Impact Indicators'!$A34,Materials!$D:$D,0),MATCH("petrol combustion",Materials!$1:$1,0))+IFERROR(SUMPRODUCT(TRANSPOSE(INDEX(elec_project_emissions,MATCH(Elec_scenario&amp;'Additional Impact Indicators'!$B34,INDEX(Electricity_projection,0,3),0)-1,0)),Delay_emissions_table[Consumption of electricity (MJ) - Tertiary Scenario],IF(Delay_emissions_table[Form of Maintenance - Tertiary Scenario]="Replacement",1,0)),0))*Area_trans*Time_adj_Tert</f>
        <v>0</v>
      </c>
      <c r="EH34" s="248" t="e" cm="1">
        <f t="array" ref="EH3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4" s="248" t="e" cm="1">
        <f t="array" ref="EI3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4" s="249" t="e" cm="1">
        <f t="array" ref="EJ3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4" s="249" t="e" cm="1">
        <f t="array" ref="EK3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4" t="e">
        <f ca="1">SUMIF(Table611[[#This Row],[Raw-Materials]:[Transport to recycling facility]],"&lt;&gt;#N/A")</f>
        <v>#DIV/0!</v>
      </c>
    </row>
    <row r="35" spans="1:142" x14ac:dyDescent="0.35">
      <c r="A35" s="155" t="s">
        <v>525</v>
      </c>
      <c r="B35" s="155" t="s">
        <v>489</v>
      </c>
      <c r="C35" s="155" t="str">
        <f t="shared" si="1"/>
        <v>A2</v>
      </c>
      <c r="D35" s="155" t="s">
        <v>485</v>
      </c>
      <c r="E35" s="155"/>
      <c r="F35">
        <f>MATCH(Impacts_Additional[[#This Row],[Indicator]],Material_Impacts[Look up],0)</f>
        <v>79</v>
      </c>
      <c r="G35" s="246" cm="1">
        <f t="array" aca="1" ref="G3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5" s="165" cm="1">
        <f t="array" ref="H3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5" s="165" t="e">
        <f>Diesel_RawM_Prim*INDEX(Indicators,MATCH(Impacts_Additional[[#This Row],[Indicator]],Materials!$D:$D,0),MATCH("Diesel Combustion",Materials!$1:$1,0))*Diesel_density*Project_Area*Prim_Lays*Area_trans</f>
        <v>#DIV/0!</v>
      </c>
      <c r="J35" s="250" t="e" cm="1">
        <f t="array" aca="1" ref="J3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5" s="250" t="e" cm="1">
        <f t="array" aca="1" ref="K3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5" s="250" t="e" cm="1">
        <f t="array" aca="1" ref="L3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5" s="250" t="e" cm="1">
        <f t="array" aca="1" ref="M3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5" s="250" t="e" cm="1">
        <f t="array" aca="1" ref="N3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5" s="250" t="e" cm="1">
        <f t="array" aca="1" ref="O3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5" s="250" t="e" cm="1">
        <f t="array" aca="1" ref="P3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5" s="250" t="e" cm="1">
        <f t="array" aca="1" ref="Q3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5" s="250" t="e" cm="1">
        <f t="array" aca="1" ref="R3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5" s="250" t="e" cm="1">
        <f t="array" aca="1" ref="S3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5" s="250" t="e" cm="1">
        <f t="array" aca="1" ref="T3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5" s="250" t="e" cm="1">
        <f t="array" aca="1" ref="U3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5" s="250" t="e" cm="1">
        <f t="array" aca="1" ref="V3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5" s="250" t="e" cm="1">
        <f t="array" aca="1" ref="W3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5" s="250" t="e" cm="1">
        <f t="array" aca="1" ref="X3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5" s="250" t="e" cm="1">
        <f t="array" aca="1" ref="Y3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5" s="250" t="e" cm="1">
        <f t="array" aca="1" ref="Z3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5" s="250" t="e" cm="1">
        <f t="array" aca="1" ref="AA3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5" s="250" t="e" cm="1">
        <f t="array" aca="1" ref="AB3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5" s="250" t="e" cm="1">
        <f t="array" aca="1" ref="AC3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5" s="250" t="e" cm="1">
        <f t="array" aca="1" ref="AD3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5" s="250" t="e" cm="1">
        <f t="array" aca="1" ref="AE3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5" s="250" t="e" cm="1">
        <f t="array" aca="1" ref="AF3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5" s="250" t="e" cm="1">
        <f t="array" aca="1" ref="AG3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5" s="250" t="e" cm="1">
        <f t="array" aca="1" ref="AH3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5" s="250" t="e" cm="1">
        <f t="array" aca="1" ref="AI3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5" s="250" t="e" cm="1">
        <f t="array" aca="1" ref="AJ3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5" s="165" cm="1">
        <f t="array" aca="1" ref="AK35" ca="1">((E_modulus_Prim/40114)^-0.25)*((Subgrade_stiffness_Prim/35)^-0.25)*((Surface_thickness_Prim/0.22)^-0.75)*Area_trans*delflec_switch*SUM((INDEX(PVI_vehicle_EFC,1,1)/INDEX(PVI_fuel_energy_density,1,1))*(INDEX(Indicators,MATCH('Additional Impact Indicators'!$A35,Materials!$D:$D,0),MATCH("diesel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Indicators'!$A35,Materials!$D:$D,0),MATCH("bio-diesel combustion",Materials!$1:$1,0))*((1-enviro_disc)^Handle_years)*Handle_electricity_emissions:OFFSET(Handle_electricity_emissions,0,Results_timespan-1)^0)*OFFSET(Handle_traffic_fleet,6,0):OFFSET(Handle_traffic_fleet,6,Results_timespan-1))</f>
        <v>0</v>
      </c>
      <c r="AL35" s="165" cm="1">
        <f t="array" aca="1" ref="AL3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5" s="251" cm="1">
        <f t="array" aca="1" ref="AM35" ca="1">(SUMPRODUCT(Delay_emissions_table[Consumption of Diesel (kg) - Primary Scenario],IF(Delay_emissions_table[Form of Maintenance - Primary Scenario]="Life Extension",1,0))*INDEX(Indicators,MATCH('Additional Impact Indicators'!$A35,Materials!$D:$D,0),MATCH("diesel combustion",Materials!$1:$1,0))+SUMPRODUCT(Delay_emissions_table[Consumption of Petrol (kg) - Primary Scenario],IF(Delay_emissions_table[Form of Maintenance - Primary Scenario]="Life Extension",1,0))*INDEX(Indicators,MATCH('Additional Impact Indicators'!$A35,Materials!$D:$D,0),MATCH("petrol combustion",Materials!$1:$1,0))+IFERROR(SUMPRODUCT(TRANSPOSE(INDEX(elec_project_emissions,MATCH(Elec_scenario&amp;'Additional Impact Indicators'!$B35,INDEX(Electricity_projection,0,3),0)-1,0)),Delay_emissions_table[Consumption of electricity (MJ) - Primary Scenario],IF(Delay_emissions_table[Form of Maintenance - Primary Scenario]="Life Extension",1,0)),0))*Area_trans*Time_adj_Prim</f>
        <v>0</v>
      </c>
      <c r="AN35" s="251" cm="1">
        <f t="array" aca="1" ref="AN35" ca="1">(SUMPRODUCT(Delay_emissions_table[Consumption of Diesel (kg) - Primary Scenario],IF(Delay_emissions_table[Form of Maintenance - Primary Scenario]="Replacement",1,0))*INDEX(Indicators,MATCH('Additional Impact Indicators'!$A35,Materials!$D:$D,0),MATCH("diesel combustion",Materials!$1:$1,0))+SUMPRODUCT(Delay_emissions_table[Consumption of Petrol (kg) - Primary Scenario],IF(Delay_emissions_table[Form of Maintenance - Primary Scenario]="Replacement",1,0))*INDEX(Indicators,MATCH('Additional Impact Indicators'!$A35,Materials!$D:$D,0),MATCH("petrol combustion",Materials!$1:$1,0))+IFERROR(SUMPRODUCT(TRANSPOSE(INDEX(elec_project_emissions,MATCH(Elec_scenario&amp;'Additional Impact Indicators'!$B35,INDEX(Electricity_projection,0,3),0)-1,0)),Delay_emissions_table[Consumption of electricity (MJ) - Primary Scenario],IF(Delay_emissions_table[Form of Maintenance - Primary Scenario]="Replacement",1,0)),0))*Area_trans*Time_adj_Prim</f>
        <v>0</v>
      </c>
      <c r="AO35" s="252" t="e" cm="1">
        <f t="array" ref="AO3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5" s="252" t="e" cm="1">
        <f t="array" ref="AP3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5" s="253" t="e" cm="1">
        <f t="array" ref="AQ3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5" s="385" t="e" cm="1">
        <f t="array" ref="AR3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5" t="e">
        <f ca="1">SUMIF('Additional Impact Indicators'!$G35:$AQ35,"&lt;&gt;#N/A")</f>
        <v>#DIV/0!</v>
      </c>
      <c r="AW35" s="155" t="s">
        <v>525</v>
      </c>
      <c r="AX35" s="155" t="s">
        <v>489</v>
      </c>
      <c r="AY35" s="155" t="str">
        <f t="shared" si="2"/>
        <v>A2</v>
      </c>
      <c r="AZ35" s="155" t="s">
        <v>485</v>
      </c>
      <c r="BA35" s="155"/>
      <c r="BB35" s="155">
        <f>MATCH(Table3[[#This Row],[Indicator]],Material_Impacts[Look up],0)</f>
        <v>79</v>
      </c>
      <c r="BC35" s="246" cm="1">
        <f t="array" aca="1" ref="BC3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5" s="165" cm="1">
        <f t="array" ref="BD3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5" s="165" t="e">
        <f>Diesel_RawM_Sec*INDEX(Indicators,MATCH(Impacts_Additional[[#This Row],[Indicator]],Materials!$D:$D,0),MATCH("Diesel Combustion",Materials!$1:$1,0))*Diesel_density*Project_Area*Sec_Lays*Area_trans</f>
        <v>#DIV/0!</v>
      </c>
      <c r="BF35" s="35" t="e" cm="1">
        <f t="array" aca="1" ref="BF3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5" s="35" t="e" cm="1">
        <f t="array" aca="1" ref="BG3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5" t="e" cm="1">
        <f t="array" aca="1" ref="BH3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5" s="35" t="e" cm="1">
        <f t="array" aca="1" ref="BI3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5" s="35" t="e" cm="1">
        <f t="array" aca="1" ref="BJ3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5" t="e" cm="1">
        <f t="array" aca="1" ref="BK3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5" s="35" t="e" cm="1">
        <f t="array" aca="1" ref="BL3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5" s="35" t="e" cm="1">
        <f t="array" aca="1" ref="BM3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5" t="e" cm="1">
        <f t="array" aca="1" ref="BN3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5" s="35" t="e" cm="1">
        <f t="array" aca="1" ref="BO3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5" s="35" t="e" cm="1">
        <f t="array" aca="1" ref="BP3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5" t="e" cm="1">
        <f t="array" aca="1" ref="BQ3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5" s="35" t="e" cm="1">
        <f t="array" aca="1" ref="BR3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5" s="35" t="e" cm="1">
        <f t="array" aca="1" ref="BS3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5" t="e" cm="1">
        <f t="array" aca="1" ref="BT3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5" s="35" t="e" cm="1">
        <f t="array" aca="1" ref="BU3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5" s="35" t="e" cm="1">
        <f t="array" aca="1" ref="BV3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5" t="e" cm="1">
        <f t="array" aca="1" ref="BW3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5" s="35" t="e" cm="1">
        <f t="array" aca="1" ref="BX3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5" s="35" t="e" cm="1">
        <f t="array" aca="1" ref="BY3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5" t="e" cm="1">
        <f t="array" aca="1" ref="BZ3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5" s="35" t="e" cm="1">
        <f t="array" aca="1" ref="CA3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5" s="35" t="e" cm="1">
        <f t="array" aca="1" ref="CB3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5" t="e" cm="1">
        <f t="array" aca="1" ref="CC3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5" s="35" t="e" cm="1">
        <f t="array" aca="1" ref="CD3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5" s="35" t="e" cm="1">
        <f t="array" aca="1" ref="CE3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5" t="e" cm="1">
        <f t="array" aca="1" ref="CF3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5" s="165" cm="1">
        <f t="array" aca="1" ref="CG35" ca="1">((E_modulus_Sec/40114)^-0.25)*((Subgrade_stiffness_Sec/35)^-0.25)*((Surface_thickness_Sec/0.22)^-0.75)*Area_trans*delflec_switch*SUM((INDEX(PVI_vehicle_EFC,1,1)/INDEX(PVI_fuel_energy_density,1,1))*(INDEX(Indicators,MATCH('Additional Impact Indicators'!$A35,Materials!$D:$D,0),MATCH("diesel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Indicators'!$A35,Materials!$D:$D,0),MATCH("bio-diesel combustion",Materials!$1:$1,0))*((1-enviro_disc)^Handle_years)*Handle_electricity_emissions:OFFSET(Handle_electricity_emissions,0,Results_timespan-1)^0)*OFFSET(Handle_traffic_fleet,6,0):OFFSET(Handle_traffic_fleet,6,Results_timespan-1))</f>
        <v>0</v>
      </c>
      <c r="CH35" s="375" cm="1">
        <f t="array" aca="1" ref="CH3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5" s="251" cm="1">
        <f t="array" aca="1" ref="CI35" ca="1">(SUMPRODUCT(Delay_emissions_table[Consumption of Diesel (kg) - Secondary Scenario],IF(Delay_emissions_table[Form of Maintenance - Secondary Scenario]="Life Extension",1,0))*INDEX(Indicators,MATCH('Additional Impact Indicators'!$A35,Materials!$D:$D,0),MATCH("diesel combustion",Materials!$1:$1,0))+SUMPRODUCT(Delay_emissions_table[Consumption of Petrol (kg) - Secondary Scenario],IF(Delay_emissions_table[Form of Maintenance - Secondary Scenario]="Life Extension",1,0))*INDEX(Indicators,MATCH('Additional Impact Indicators'!$A35,Materials!$D:$D,0),MATCH("petrol combustion",Materials!$1:$1,0))+IFERROR(SUMPRODUCT(TRANSPOSE(INDEX(elec_project_emissions,MATCH(Elec_scenario&amp;'Additional Impact Indicators'!$B35,INDEX(Electricity_projection,0,3),0)-1,0)),Delay_emissions_table[Consumption of electricity (MJ) - Secondary Scenario],IF(Delay_emissions_table[Form of Maintenance - Secondary Scenario]="Life Extension",1,0)),0))*Area_trans*time_adj_Sec</f>
        <v>0</v>
      </c>
      <c r="CJ35" s="251" cm="1">
        <f t="array" aca="1" ref="CJ35" ca="1">(SUMPRODUCT(Delay_emissions_table[Consumption of Diesel (kg) - Secondary Scenario],IF(Delay_emissions_table[Form of Maintenance - Secondary Scenario]="Replacement",1,0))*INDEX(Indicators,MATCH('Additional Impact Indicators'!$A35,Materials!$D:$D,0),MATCH("diesel combustion",Materials!$1:$1,0))+SUMPRODUCT(Delay_emissions_table[Consumption of Petrol (kg) - Secondary Scenario],IF(Delay_emissions_table[Form of Maintenance - Secondary Scenario]="Replacement",1,0))*INDEX(Indicators,MATCH('Additional Impact Indicators'!$A35,Materials!$D:$D,0),MATCH("petrol combustion",Materials!$1:$1,0))+IFERROR(SUMPRODUCT(TRANSPOSE(INDEX(elec_project_emissions,MATCH(Elec_scenario&amp;'Additional Impact Indicators'!$B35,INDEX(Electricity_projection,0,3),0)-1,0)),Delay_emissions_table[Consumption of electricity (MJ) - Secondary Scenario],IF(Delay_emissions_table[Form of Maintenance - Secondary Scenario]="Replacement",1,0)),0))*Area_trans*time_adj_Sec</f>
        <v>0</v>
      </c>
      <c r="CK35" s="252" t="e" cm="1">
        <f t="array" ref="CK3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5" s="252" t="e" cm="1">
        <f t="array" ref="CL3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5" s="253" t="e" cm="1">
        <f t="array" ref="CM3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5" s="387" t="e" cm="1">
        <f t="array" ref="CN3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5" s="51" t="e">
        <f ca="1">SUMIF(Table3[[#This Row],[Raw-Materials]:[Transport to recycling facility]],"&lt;&gt;#N/A")</f>
        <v>#DIV/0!</v>
      </c>
      <c r="CT35" t="s">
        <v>525</v>
      </c>
      <c r="CU35" t="s">
        <v>489</v>
      </c>
      <c r="CV35" t="str">
        <f t="shared" si="3"/>
        <v>A2</v>
      </c>
      <c r="CW35" t="s">
        <v>485</v>
      </c>
      <c r="CY35">
        <f>MATCH(Table611[[#This Row],[Indicator]],Material_Impacts[Look up],0)</f>
        <v>79</v>
      </c>
      <c r="CZ35" s="246" cm="1">
        <f t="array" aca="1" ref="CZ3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5" s="165" cm="1">
        <f t="array" ref="DA3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5" s="165" t="e">
        <f>Diesel_RawM_Tert*INDEX(Indicators,MATCH(Impacts_Additional[[#This Row],[Indicator]],Materials!$D:$D,0),MATCH("Diesel Combustion",Materials!$1:$1,0))*Diesel_density*Project_Area*Tert_Lays*Area_trans</f>
        <v>#DIV/0!</v>
      </c>
      <c r="DC35" s="35" t="e" cm="1">
        <f t="array" aca="1" ref="DC3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5" s="35" t="e" cm="1">
        <f t="array" aca="1" ref="DD3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5" t="e" cm="1">
        <f t="array" aca="1" ref="DE3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5" s="35" t="e" cm="1">
        <f t="array" aca="1" ref="DF3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5" s="35" t="e" cm="1">
        <f t="array" aca="1" ref="DG3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5" t="e" cm="1">
        <f t="array" aca="1" ref="DH3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5" s="35" t="e" cm="1">
        <f t="array" aca="1" ref="DI3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5" s="35" t="e" cm="1">
        <f t="array" aca="1" ref="DJ3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5" t="e" cm="1">
        <f t="array" aca="1" ref="DK3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5" s="35" t="e" cm="1">
        <f t="array" aca="1" ref="DL3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5" s="35" t="e" cm="1">
        <f t="array" aca="1" ref="DM3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5" t="e" cm="1">
        <f t="array" aca="1" ref="DN3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5" s="35" t="e" cm="1">
        <f t="array" aca="1" ref="DO3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5" s="35" t="e" cm="1">
        <f t="array" aca="1" ref="DP3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5" t="e" cm="1">
        <f t="array" aca="1" ref="DQ3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5" s="35" t="e" cm="1">
        <f t="array" aca="1" ref="DR3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5" s="35" t="e" cm="1">
        <f t="array" aca="1" ref="DS3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5" t="e" cm="1">
        <f t="array" aca="1" ref="DT3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5" s="35" t="e" cm="1">
        <f t="array" aca="1" ref="DU3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5" s="35" t="e" cm="1">
        <f t="array" aca="1" ref="DV3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5" t="e" cm="1">
        <f t="array" aca="1" ref="DW3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5" s="35" t="e" cm="1">
        <f t="array" aca="1" ref="DX3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5" s="35" t="e" cm="1">
        <f t="array" aca="1" ref="DY3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5" t="e" cm="1">
        <f t="array" aca="1" ref="DZ3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5" s="35" t="e" cm="1">
        <f t="array" aca="1" ref="EA3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5" s="35" t="e" cm="1">
        <f t="array" aca="1" ref="EB3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5" t="e" cm="1">
        <f t="array" aca="1" ref="EC3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5" s="165" cm="1">
        <f t="array" aca="1" ref="ED35" ca="1">((E_modulus_Tert/40114)^-0.25)*((Subgrade_stiffness_Tert/35)^-0.25)*((Surface_thickness_Tert/0.22)^-0.75)*Area_trans*delflec_switch*SUM((INDEX(PVI_vehicle_EFC,1,1)/INDEX(PVI_fuel_energy_density,1,1))*(INDEX(Indicators,MATCH('Additional Impact Indicators'!$A35,Materials!$D:$D,0),MATCH("diesel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Indicators'!$A35,Materials!$D:$D,0),MATCH("bio-diesel combustion",Materials!$1:$1,0))*((1-enviro_disc)^Handle_years)*Handle_electricity_emissions:OFFSET(Handle_electricity_emissions,0,Results_timespan-1)^0)*OFFSET(Handle_traffic_fleet,6,0):OFFSET(Handle_traffic_fleet,6,Results_timespan-1))</f>
        <v>0</v>
      </c>
      <c r="EE35" s="375" cm="1">
        <f t="array" aca="1" ref="EE3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5" s="251" cm="1">
        <f t="array" aca="1" ref="EF35" ca="1">(SUMPRODUCT(Delay_emissions_table[Consumption of Diesel (kg) - Tertiary Scenario],IF(Delay_emissions_table[Form of Maintenance - Tertiary Scenario]="Life Extension",1,0))*INDEX(Indicators,MATCH('Additional Impact Indicators'!$A35,Materials!$D:$D,0),MATCH("diesel combustion",Materials!$1:$1,0))+SUMPRODUCT(Delay_emissions_table[Consumption of Petrol (kg) - Tertiary Scenario],IF(Delay_emissions_table[Form of Maintenance - Tertiary Scenario]="Life Extension",1,0))*INDEX(Indicators,MATCH('Additional Impact Indicators'!$A35,Materials!$D:$D,0),MATCH("petrol combustion",Materials!$1:$1,0))+IFERROR(SUMPRODUCT(TRANSPOSE(INDEX(elec_project_emissions,MATCH(Elec_scenario&amp;'Additional Impact Indicators'!$B35,INDEX(Electricity_projection,0,3),0)-1,0)),Delay_emissions_table[Consumption of electricity (MJ) - Tertiary Scenario],IF(Delay_emissions_table[Form of Maintenance - Tertiary Scenario]="Life Extension",1,0)),0))*Area_trans*Time_adj_Tert</f>
        <v>0</v>
      </c>
      <c r="EG35" s="251" cm="1">
        <f t="array" aca="1" ref="EG35" ca="1">(SUMPRODUCT(Delay_emissions_table[Consumption of Diesel (kg) - Tertiary Scenario],IF(Delay_emissions_table[Form of Maintenance - Tertiary Scenario]="Replacement",1,0))*INDEX(Indicators,MATCH('Additional Impact Indicators'!$A35,Materials!$D:$D,0),MATCH("diesel combustion",Materials!$1:$1,0))+SUMPRODUCT(Delay_emissions_table[Consumption of Petrol (kg) - Tertiary Scenario],IF(Delay_emissions_table[Form of Maintenance - Tertiary Scenario]="Replacement",1,0))*INDEX(Indicators,MATCH('Additional Impact Indicators'!$A35,Materials!$D:$D,0),MATCH("petrol combustion",Materials!$1:$1,0))+IFERROR(SUMPRODUCT(TRANSPOSE(INDEX(elec_project_emissions,MATCH(Elec_scenario&amp;'Additional Impact Indicators'!$B35,INDEX(Electricity_projection,0,3),0)-1,0)),Delay_emissions_table[Consumption of electricity (MJ) - Tertiary Scenario],IF(Delay_emissions_table[Form of Maintenance - Tertiary Scenario]="Replacement",1,0)),0))*Area_trans*Time_adj_Tert</f>
        <v>0</v>
      </c>
      <c r="EH35" s="252" t="e" cm="1">
        <f t="array" ref="EH3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5" s="252" t="e" cm="1">
        <f t="array" ref="EI3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5" s="253" t="e" cm="1">
        <f t="array" ref="EJ3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5" s="253" t="e" cm="1">
        <f t="array" ref="EK3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5" t="e">
        <f ca="1">SUMIF(Table611[[#This Row],[Raw-Materials]:[Transport to recycling facility]],"&lt;&gt;#N/A")</f>
        <v>#DIV/0!</v>
      </c>
    </row>
    <row r="36" spans="1:142" x14ac:dyDescent="0.35">
      <c r="A36" t="s">
        <v>526</v>
      </c>
      <c r="B36" t="s">
        <v>394</v>
      </c>
      <c r="C36" t="str">
        <f t="shared" si="1"/>
        <v>A2</v>
      </c>
      <c r="D36" t="s">
        <v>485</v>
      </c>
      <c r="F36">
        <f>MATCH(Impacts_Additional[[#This Row],[Indicator]],Material_Impacts[Look up],0)</f>
        <v>80</v>
      </c>
      <c r="G36" s="246" cm="1">
        <f t="array" aca="1" ref="G3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6" s="166" cm="1">
        <f t="array" ref="H3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6" s="166" t="e">
        <f>Diesel_RawM_Prim*INDEX(Indicators,MATCH(Impacts_Additional[[#This Row],[Indicator]],Materials!$D:$D,0),MATCH("Diesel Combustion",Materials!$1:$1,0))*Diesel_density*Project_Area*Prim_Lays*Area_trans</f>
        <v>#DIV/0!</v>
      </c>
      <c r="J36" s="20" t="e" cm="1">
        <f t="array" aca="1" ref="J3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6" s="20" t="e" cm="1">
        <f t="array" aca="1" ref="K3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6" s="20" t="e" cm="1">
        <f t="array" aca="1" ref="L3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6" s="20" t="e" cm="1">
        <f t="array" aca="1" ref="M3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6" s="20" t="e" cm="1">
        <f t="array" aca="1" ref="N3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6" s="20" t="e" cm="1">
        <f t="array" aca="1" ref="O3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6" s="20" t="e" cm="1">
        <f t="array" aca="1" ref="P3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6" s="20" t="e" cm="1">
        <f t="array" aca="1" ref="Q3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6" s="20" t="e" cm="1">
        <f t="array" aca="1" ref="R3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6" s="20" t="e" cm="1">
        <f t="array" aca="1" ref="S3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6" s="20" t="e" cm="1">
        <f t="array" aca="1" ref="T3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6" s="20" t="e" cm="1">
        <f t="array" aca="1" ref="U3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6" s="20" t="e" cm="1">
        <f t="array" aca="1" ref="V3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6" s="20" t="e" cm="1">
        <f t="array" aca="1" ref="W3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6" s="20" t="e" cm="1">
        <f t="array" aca="1" ref="X3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6" s="20" t="e" cm="1">
        <f t="array" aca="1" ref="Y3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6" s="20" t="e" cm="1">
        <f t="array" aca="1" ref="Z3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6" s="20" t="e" cm="1">
        <f t="array" aca="1" ref="AA3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6" s="20" t="e" cm="1">
        <f t="array" aca="1" ref="AB3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6" s="20" t="e" cm="1">
        <f t="array" aca="1" ref="AC3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6" s="20" t="e" cm="1">
        <f t="array" aca="1" ref="AD3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6" s="20" t="e" cm="1">
        <f t="array" aca="1" ref="AE3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6" s="20" t="e" cm="1">
        <f t="array" aca="1" ref="AF3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6" s="20" t="e" cm="1">
        <f t="array" aca="1" ref="AG3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6" s="20" t="e" cm="1">
        <f t="array" aca="1" ref="AH3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6" s="20" t="e" cm="1">
        <f t="array" aca="1" ref="AI3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6" s="20" t="e" cm="1">
        <f t="array" aca="1" ref="AJ3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6" s="166"/>
      <c r="AL36" s="166" cm="1">
        <f t="array" aca="1" ref="AL3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6" s="247" cm="1">
        <f t="array" aca="1" ref="AM36" ca="1">(SUMPRODUCT(Delay_emissions_table[Consumption of Diesel (kg) - Primary Scenario],IF(Delay_emissions_table[Form of Maintenance - Primary Scenario]="Life Extension",1,0))*INDEX(Indicators,MATCH('Additional Impact Indicators'!$A36,Materials!$D:$D,0),MATCH("diesel combustion",Materials!$1:$1,0))+SUMPRODUCT(Delay_emissions_table[Consumption of Petrol (kg) - Primary Scenario],IF(Delay_emissions_table[Form of Maintenance - Primary Scenario]="Life Extension",1,0))*INDEX(Indicators,MATCH('Additional Impact Indicators'!$A36,Materials!$D:$D,0),MATCH("petrol combustion",Materials!$1:$1,0))+IFERROR(SUMPRODUCT(TRANSPOSE(INDEX(elec_project_emissions,MATCH(Elec_scenario&amp;'Additional Impact Indicators'!$B36,INDEX(Electricity_projection,0,3),0)-1,0)),Delay_emissions_table[Consumption of electricity (MJ) - Primary Scenario],IF(Delay_emissions_table[Form of Maintenance - Primary Scenario]="Life Extension",1,0)),0))*Area_trans*Time_adj_Prim</f>
        <v>0</v>
      </c>
      <c r="AN36" s="247" cm="1">
        <f t="array" aca="1" ref="AN36" ca="1">(SUMPRODUCT(Delay_emissions_table[Consumption of Diesel (kg) - Primary Scenario],IF(Delay_emissions_table[Form of Maintenance - Primary Scenario]="Replacement",1,0))*INDEX(Indicators,MATCH('Additional Impact Indicators'!$A36,Materials!$D:$D,0),MATCH("diesel combustion",Materials!$1:$1,0))+SUMPRODUCT(Delay_emissions_table[Consumption of Petrol (kg) - Primary Scenario],IF(Delay_emissions_table[Form of Maintenance - Primary Scenario]="Replacement",1,0))*INDEX(Indicators,MATCH('Additional Impact Indicators'!$A36,Materials!$D:$D,0),MATCH("petrol combustion",Materials!$1:$1,0))+IFERROR(SUMPRODUCT(TRANSPOSE(INDEX(elec_project_emissions,MATCH(Elec_scenario&amp;'Additional Impact Indicators'!$B36,INDEX(Electricity_projection,0,3),0)-1,0)),Delay_emissions_table[Consumption of electricity (MJ) - Primary Scenario],IF(Delay_emissions_table[Form of Maintenance - Primary Scenario]="Replacement",1,0)),0))*Area_trans*Time_adj_Prim</f>
        <v>0</v>
      </c>
      <c r="AO36" s="248" t="e" cm="1">
        <f t="array" ref="AO3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6" s="248" t="e" cm="1">
        <f t="array" ref="AP3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6" s="249" t="e" cm="1">
        <f t="array" ref="AQ3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6" s="386" t="e" cm="1">
        <f t="array" ref="AR3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6" t="e">
        <f ca="1">SUMIF('Additional Impact Indicators'!$G36:$AQ36,"&lt;&gt;#N/A")</f>
        <v>#DIV/0!</v>
      </c>
      <c r="AW36" t="s">
        <v>526</v>
      </c>
      <c r="AX36" t="s">
        <v>394</v>
      </c>
      <c r="AY36" t="str">
        <f t="shared" si="2"/>
        <v>A2</v>
      </c>
      <c r="AZ36" t="s">
        <v>485</v>
      </c>
      <c r="BB36">
        <f>MATCH(Table3[[#This Row],[Indicator]],Material_Impacts[Look up],0)</f>
        <v>80</v>
      </c>
      <c r="BC36" s="246" cm="1">
        <f t="array" aca="1" ref="BC3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6" s="166" cm="1">
        <f t="array" ref="BD3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6" s="166" t="e">
        <f>Diesel_RawM_Sec*INDEX(Indicators,MATCH(Impacts_Additional[[#This Row],[Indicator]],Materials!$D:$D,0),MATCH("Diesel Combustion",Materials!$1:$1,0))*Diesel_density*Project_Area*Sec_Lays*Area_trans</f>
        <v>#DIV/0!</v>
      </c>
      <c r="BF36" s="35" t="e" cm="1">
        <f t="array" aca="1" ref="BF3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6" s="35" t="e" cm="1">
        <f t="array" aca="1" ref="BG3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6" t="e" cm="1">
        <f t="array" aca="1" ref="BH3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6" s="35" t="e" cm="1">
        <f t="array" aca="1" ref="BI3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6" s="35" t="e" cm="1">
        <f t="array" aca="1" ref="BJ3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6" t="e" cm="1">
        <f t="array" aca="1" ref="BK3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6" s="35" t="e" cm="1">
        <f t="array" aca="1" ref="BL3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6" s="35" t="e" cm="1">
        <f t="array" aca="1" ref="BM3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6" t="e" cm="1">
        <f t="array" aca="1" ref="BN3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6" s="35" t="e" cm="1">
        <f t="array" aca="1" ref="BO3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6" s="35" t="e" cm="1">
        <f t="array" aca="1" ref="BP3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6" t="e" cm="1">
        <f t="array" aca="1" ref="BQ3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6" s="35" t="e" cm="1">
        <f t="array" aca="1" ref="BR3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6" s="35" t="e" cm="1">
        <f t="array" aca="1" ref="BS3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6" t="e" cm="1">
        <f t="array" aca="1" ref="BT3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6" s="35" t="e" cm="1">
        <f t="array" aca="1" ref="BU3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6" s="35" t="e" cm="1">
        <f t="array" aca="1" ref="BV3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6" t="e" cm="1">
        <f t="array" aca="1" ref="BW3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6" s="35" t="e" cm="1">
        <f t="array" aca="1" ref="BX3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6" s="35" t="e" cm="1">
        <f t="array" aca="1" ref="BY3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6" t="e" cm="1">
        <f t="array" aca="1" ref="BZ3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6" s="35" t="e" cm="1">
        <f t="array" aca="1" ref="CA3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6" s="35" t="e" cm="1">
        <f t="array" aca="1" ref="CB3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6" t="e" cm="1">
        <f t="array" aca="1" ref="CC3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6" s="35" t="e" cm="1">
        <f t="array" aca="1" ref="CD3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6" s="35" t="e" cm="1">
        <f t="array" aca="1" ref="CE3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6" t="e" cm="1">
        <f t="array" aca="1" ref="CF3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6" s="166"/>
      <c r="CH36" s="375" cm="1">
        <f t="array" aca="1" ref="CH3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6" s="247" cm="1">
        <f t="array" aca="1" ref="CI36" ca="1">(SUMPRODUCT(Delay_emissions_table[Consumption of Diesel (kg) - Secondary Scenario],IF(Delay_emissions_table[Form of Maintenance - Secondary Scenario]="Life Extension",1,0))*INDEX(Indicators,MATCH('Additional Impact Indicators'!$A36,Materials!$D:$D,0),MATCH("diesel combustion",Materials!$1:$1,0))+SUMPRODUCT(Delay_emissions_table[Consumption of Petrol (kg) - Secondary Scenario],IF(Delay_emissions_table[Form of Maintenance - Secondary Scenario]="Life Extension",1,0))*INDEX(Indicators,MATCH('Additional Impact Indicators'!$A36,Materials!$D:$D,0),MATCH("petrol combustion",Materials!$1:$1,0))+IFERROR(SUMPRODUCT(TRANSPOSE(INDEX(elec_project_emissions,MATCH(Elec_scenario&amp;'Additional Impact Indicators'!$B36,INDEX(Electricity_projection,0,3),0)-1,0)),Delay_emissions_table[Consumption of electricity (MJ) - Secondary Scenario],IF(Delay_emissions_table[Form of Maintenance - Secondary Scenario]="Life Extension",1,0)),0))*Area_trans*time_adj_Sec</f>
        <v>0</v>
      </c>
      <c r="CJ36" s="247" cm="1">
        <f t="array" aca="1" ref="CJ36" ca="1">(SUMPRODUCT(Delay_emissions_table[Consumption of Diesel (kg) - Secondary Scenario],IF(Delay_emissions_table[Form of Maintenance - Secondary Scenario]="Replacement",1,0))*INDEX(Indicators,MATCH('Additional Impact Indicators'!$A36,Materials!$D:$D,0),MATCH("diesel combustion",Materials!$1:$1,0))+SUMPRODUCT(Delay_emissions_table[Consumption of Petrol (kg) - Secondary Scenario],IF(Delay_emissions_table[Form of Maintenance - Secondary Scenario]="Replacement",1,0))*INDEX(Indicators,MATCH('Additional Impact Indicators'!$A36,Materials!$D:$D,0),MATCH("petrol combustion",Materials!$1:$1,0))+IFERROR(SUMPRODUCT(TRANSPOSE(INDEX(elec_project_emissions,MATCH(Elec_scenario&amp;'Additional Impact Indicators'!$B36,INDEX(Electricity_projection,0,3),0)-1,0)),Delay_emissions_table[Consumption of electricity (MJ) - Secondary Scenario],IF(Delay_emissions_table[Form of Maintenance - Secondary Scenario]="Replacement",1,0)),0))*Area_trans*time_adj_Sec</f>
        <v>0</v>
      </c>
      <c r="CK36" s="248" t="e" cm="1">
        <f t="array" ref="CK3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6" s="248" t="e" cm="1">
        <f t="array" ref="CL3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6" s="249" t="e" cm="1">
        <f t="array" ref="CM3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6" s="387" t="e" cm="1">
        <f t="array" ref="CN3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6" s="51" t="e">
        <f ca="1">SUMIF(Table3[[#This Row],[Raw-Materials]:[Transport to recycling facility]],"&lt;&gt;#N/A")</f>
        <v>#DIV/0!</v>
      </c>
      <c r="CT36" t="s">
        <v>526</v>
      </c>
      <c r="CU36" t="s">
        <v>394</v>
      </c>
      <c r="CV36" t="str">
        <f t="shared" si="3"/>
        <v>A2</v>
      </c>
      <c r="CW36" t="s">
        <v>485</v>
      </c>
      <c r="CY36">
        <f>MATCH(Table611[[#This Row],[Indicator]],Material_Impacts[Look up],0)</f>
        <v>80</v>
      </c>
      <c r="CZ36" s="246" cm="1">
        <f t="array" aca="1" ref="CZ3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6" s="166" cm="1">
        <f t="array" ref="DA3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6" s="166" t="e">
        <f>Diesel_RawM_Tert*INDEX(Indicators,MATCH(Impacts_Additional[[#This Row],[Indicator]],Materials!$D:$D,0),MATCH("Diesel Combustion",Materials!$1:$1,0))*Diesel_density*Project_Area*Tert_Lays*Area_trans</f>
        <v>#DIV/0!</v>
      </c>
      <c r="DC36" s="35" t="e" cm="1">
        <f t="array" aca="1" ref="DC3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6" s="35" t="e" cm="1">
        <f t="array" aca="1" ref="DD3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6" t="e" cm="1">
        <f t="array" aca="1" ref="DE3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6" s="35" t="e" cm="1">
        <f t="array" aca="1" ref="DF3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6" s="35" t="e" cm="1">
        <f t="array" aca="1" ref="DG3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6" t="e" cm="1">
        <f t="array" aca="1" ref="DH3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6" s="35" t="e" cm="1">
        <f t="array" aca="1" ref="DI3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6" s="35" t="e" cm="1">
        <f t="array" aca="1" ref="DJ3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6" t="e" cm="1">
        <f t="array" aca="1" ref="DK3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6" s="35" t="e" cm="1">
        <f t="array" aca="1" ref="DL3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6" s="35" t="e" cm="1">
        <f t="array" aca="1" ref="DM3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6" t="e" cm="1">
        <f t="array" aca="1" ref="DN3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6" s="35" t="e" cm="1">
        <f t="array" aca="1" ref="DO3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6" s="35" t="e" cm="1">
        <f t="array" aca="1" ref="DP3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6" t="e" cm="1">
        <f t="array" aca="1" ref="DQ3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6" s="35" t="e" cm="1">
        <f t="array" aca="1" ref="DR3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6" s="35" t="e" cm="1">
        <f t="array" aca="1" ref="DS3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6" t="e" cm="1">
        <f t="array" aca="1" ref="DT3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6" s="35" t="e" cm="1">
        <f t="array" aca="1" ref="DU3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6" s="35" t="e" cm="1">
        <f t="array" aca="1" ref="DV3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6" t="e" cm="1">
        <f t="array" aca="1" ref="DW3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6" s="35" t="e" cm="1">
        <f t="array" aca="1" ref="DX3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6" s="35" t="e" cm="1">
        <f t="array" aca="1" ref="DY3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6" t="e" cm="1">
        <f t="array" aca="1" ref="DZ3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6" s="35" t="e" cm="1">
        <f t="array" aca="1" ref="EA3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6" s="35" t="e" cm="1">
        <f t="array" aca="1" ref="EB3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6" t="e" cm="1">
        <f t="array" aca="1" ref="EC3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6" s="166"/>
      <c r="EE36" s="375" cm="1">
        <f t="array" aca="1" ref="EE3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6" s="247" cm="1">
        <f t="array" aca="1" ref="EF36" ca="1">(SUMPRODUCT(Delay_emissions_table[Consumption of Diesel (kg) - Tertiary Scenario],IF(Delay_emissions_table[Form of Maintenance - Tertiary Scenario]="Life Extension",1,0))*INDEX(Indicators,MATCH('Additional Impact Indicators'!$A36,Materials!$D:$D,0),MATCH("diesel combustion",Materials!$1:$1,0))+SUMPRODUCT(Delay_emissions_table[Consumption of Petrol (kg) - Tertiary Scenario],IF(Delay_emissions_table[Form of Maintenance - Tertiary Scenario]="Life Extension",1,0))*INDEX(Indicators,MATCH('Additional Impact Indicators'!$A36,Materials!$D:$D,0),MATCH("petrol combustion",Materials!$1:$1,0))+IFERROR(SUMPRODUCT(TRANSPOSE(INDEX(elec_project_emissions,MATCH(Elec_scenario&amp;'Additional Impact Indicators'!$B36,INDEX(Electricity_projection,0,3),0)-1,0)),Delay_emissions_table[Consumption of electricity (MJ) - Tertiary Scenario],IF(Delay_emissions_table[Form of Maintenance - Tertiary Scenario]="Life Extension",1,0)),0))*Area_trans*Time_adj_Tert</f>
        <v>0</v>
      </c>
      <c r="EG36" s="247" cm="1">
        <f t="array" aca="1" ref="EG36" ca="1">(SUMPRODUCT(Delay_emissions_table[Consumption of Diesel (kg) - Tertiary Scenario],IF(Delay_emissions_table[Form of Maintenance - Tertiary Scenario]="Replacement",1,0))*INDEX(Indicators,MATCH('Additional Impact Indicators'!$A36,Materials!$D:$D,0),MATCH("diesel combustion",Materials!$1:$1,0))+SUMPRODUCT(Delay_emissions_table[Consumption of Petrol (kg) - Tertiary Scenario],IF(Delay_emissions_table[Form of Maintenance - Tertiary Scenario]="Replacement",1,0))*INDEX(Indicators,MATCH('Additional Impact Indicators'!$A36,Materials!$D:$D,0),MATCH("petrol combustion",Materials!$1:$1,0))+IFERROR(SUMPRODUCT(TRANSPOSE(INDEX(elec_project_emissions,MATCH(Elec_scenario&amp;'Additional Impact Indicators'!$B36,INDEX(Electricity_projection,0,3),0)-1,0)),Delay_emissions_table[Consumption of electricity (MJ) - Tertiary Scenario],IF(Delay_emissions_table[Form of Maintenance - Tertiary Scenario]="Replacement",1,0)),0))*Area_trans*Time_adj_Tert</f>
        <v>0</v>
      </c>
      <c r="EH36" s="248" t="e" cm="1">
        <f t="array" ref="EH3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6" s="248" t="e" cm="1">
        <f t="array" ref="EI3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6" s="249" t="e" cm="1">
        <f t="array" ref="EJ3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6" s="249" t="e" cm="1">
        <f t="array" ref="EK3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6" t="e">
        <f ca="1">SUMIF(Table611[[#This Row],[Raw-Materials]:[Transport to recycling facility]],"&lt;&gt;#N/A")</f>
        <v>#DIV/0!</v>
      </c>
    </row>
    <row r="37" spans="1:142" x14ac:dyDescent="0.35">
      <c r="A37" s="155" t="s">
        <v>527</v>
      </c>
      <c r="B37" s="155" t="s">
        <v>397</v>
      </c>
      <c r="C37" s="155" t="str">
        <f t="shared" si="1"/>
        <v>A2</v>
      </c>
      <c r="D37" s="155" t="s">
        <v>485</v>
      </c>
      <c r="E37" s="155"/>
      <c r="F37">
        <f>MATCH(Impacts_Additional[[#This Row],[Indicator]],Material_Impacts[Look up],0)</f>
        <v>81</v>
      </c>
      <c r="G37" s="246" cm="1">
        <f t="array" aca="1" ref="G3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7" s="165" cm="1">
        <f t="array" ref="H3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7" s="165" t="e">
        <f>Diesel_RawM_Prim*INDEX(Indicators,MATCH(Impacts_Additional[[#This Row],[Indicator]],Materials!$D:$D,0),MATCH("Diesel Combustion",Materials!$1:$1,0))*Diesel_density*Project_Area*Prim_Lays*Area_trans</f>
        <v>#DIV/0!</v>
      </c>
      <c r="J37" s="250" t="e" cm="1">
        <f t="array" aca="1" ref="J3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7" s="250" t="e" cm="1">
        <f t="array" aca="1" ref="K3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7" s="250" t="e" cm="1">
        <f t="array" aca="1" ref="L3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7" s="250" t="e" cm="1">
        <f t="array" aca="1" ref="M3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7" s="250" t="e" cm="1">
        <f t="array" aca="1" ref="N3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7" s="250" t="e" cm="1">
        <f t="array" aca="1" ref="O3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7" s="250" t="e" cm="1">
        <f t="array" aca="1" ref="P3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7" s="250" t="e" cm="1">
        <f t="array" aca="1" ref="Q3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7" s="250" t="e" cm="1">
        <f t="array" aca="1" ref="R3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7" s="250" t="e" cm="1">
        <f t="array" aca="1" ref="S3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7" s="250" t="e" cm="1">
        <f t="array" aca="1" ref="T3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7" s="250" t="e" cm="1">
        <f t="array" aca="1" ref="U3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7" s="250" t="e" cm="1">
        <f t="array" aca="1" ref="V3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7" s="250" t="e" cm="1">
        <f t="array" aca="1" ref="W3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7" s="250" t="e" cm="1">
        <f t="array" aca="1" ref="X3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7" s="250" t="e" cm="1">
        <f t="array" aca="1" ref="Y3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7" s="250" t="e" cm="1">
        <f t="array" aca="1" ref="Z3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7" s="250" t="e" cm="1">
        <f t="array" aca="1" ref="AA3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7" s="250" t="e" cm="1">
        <f t="array" aca="1" ref="AB3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7" s="250" t="e" cm="1">
        <f t="array" aca="1" ref="AC3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7" s="250" t="e" cm="1">
        <f t="array" aca="1" ref="AD3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7" s="250" t="e" cm="1">
        <f t="array" aca="1" ref="AE3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7" s="250" t="e" cm="1">
        <f t="array" aca="1" ref="AF3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7" s="250" t="e" cm="1">
        <f t="array" aca="1" ref="AG3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7" s="250" t="e" cm="1">
        <f t="array" aca="1" ref="AH3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7" s="250" t="e" cm="1">
        <f t="array" aca="1" ref="AI3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7" s="250" t="e" cm="1">
        <f t="array" aca="1" ref="AJ3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7" s="165" cm="1">
        <f t="array" aca="1" ref="AK37" ca="1">((E_modulus_Prim/40114)^-0.25)*((Subgrade_stiffness_Prim/35)^-0.25)*((Surface_thickness_Prim/0.22)^-0.75)*Area_trans*delflec_switch*SUM((INDEX(PVI_vehicle_EFC,1,1)/INDEX(PVI_fuel_energy_density,1,1))*(INDEX(Indicators,MATCH('Additional Impact Indicators'!$A37,Materials!$D:$D,0),MATCH("diesel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Indicators'!$A37,Materials!$D:$D,0),MATCH("bio-diesel combustion",Materials!$1:$1,0))*((1-enviro_disc)^Handle_years)*Handle_electricity_emissions:OFFSET(Handle_electricity_emissions,0,Results_timespan-1)^0)*OFFSET(Handle_traffic_fleet,6,0):OFFSET(Handle_traffic_fleet,6,Results_timespan-1))</f>
        <v>0</v>
      </c>
      <c r="AL37" s="165" cm="1">
        <f t="array" aca="1" ref="AL3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7" s="251" cm="1">
        <f t="array" aca="1" ref="AM37" ca="1">(SUMPRODUCT(Delay_emissions_table[Consumption of Diesel (kg) - Primary Scenario],IF(Delay_emissions_table[Form of Maintenance - Primary Scenario]="Life Extension",1,0))*INDEX(Indicators,MATCH('Additional Impact Indicators'!$A37,Materials!$D:$D,0),MATCH("diesel combustion",Materials!$1:$1,0))+SUMPRODUCT(Delay_emissions_table[Consumption of Petrol (kg) - Primary Scenario],IF(Delay_emissions_table[Form of Maintenance - Primary Scenario]="Life Extension",1,0))*INDEX(Indicators,MATCH('Additional Impact Indicators'!$A37,Materials!$D:$D,0),MATCH("petrol combustion",Materials!$1:$1,0))+IFERROR(SUMPRODUCT(TRANSPOSE(INDEX(elec_project_emissions,MATCH(Elec_scenario&amp;'Additional Impact Indicators'!$B37,INDEX(Electricity_projection,0,3),0)-1,0)),Delay_emissions_table[Consumption of electricity (MJ) - Primary Scenario],IF(Delay_emissions_table[Form of Maintenance - Primary Scenario]="Life Extension",1,0)),0))*Area_trans*Time_adj_Prim</f>
        <v>0</v>
      </c>
      <c r="AN37" s="251" cm="1">
        <f t="array" aca="1" ref="AN37" ca="1">(SUMPRODUCT(Delay_emissions_table[Consumption of Diesel (kg) - Primary Scenario],IF(Delay_emissions_table[Form of Maintenance - Primary Scenario]="Replacement",1,0))*INDEX(Indicators,MATCH('Additional Impact Indicators'!$A37,Materials!$D:$D,0),MATCH("diesel combustion",Materials!$1:$1,0))+SUMPRODUCT(Delay_emissions_table[Consumption of Petrol (kg) - Primary Scenario],IF(Delay_emissions_table[Form of Maintenance - Primary Scenario]="Replacement",1,0))*INDEX(Indicators,MATCH('Additional Impact Indicators'!$A37,Materials!$D:$D,0),MATCH("petrol combustion",Materials!$1:$1,0))+IFERROR(SUMPRODUCT(TRANSPOSE(INDEX(elec_project_emissions,MATCH(Elec_scenario&amp;'Additional Impact Indicators'!$B37,INDEX(Electricity_projection,0,3),0)-1,0)),Delay_emissions_table[Consumption of electricity (MJ) - Primary Scenario],IF(Delay_emissions_table[Form of Maintenance - Primary Scenario]="Replacement",1,0)),0))*Area_trans*Time_adj_Prim</f>
        <v>0</v>
      </c>
      <c r="AO37" s="252" t="e" cm="1">
        <f t="array" ref="AO3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7" s="252" t="e" cm="1">
        <f t="array" ref="AP3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7" s="253" t="e" cm="1">
        <f t="array" ref="AQ3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7" s="385" t="e" cm="1">
        <f t="array" ref="AR3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7" t="e">
        <f ca="1">SUMIF('Additional Impact Indicators'!$G37:$AQ37,"&lt;&gt;#N/A")</f>
        <v>#DIV/0!</v>
      </c>
      <c r="AW37" s="155" t="s">
        <v>527</v>
      </c>
      <c r="AX37" s="155" t="s">
        <v>397</v>
      </c>
      <c r="AY37" s="155" t="str">
        <f t="shared" si="2"/>
        <v>A2</v>
      </c>
      <c r="AZ37" s="155" t="s">
        <v>485</v>
      </c>
      <c r="BA37" s="155"/>
      <c r="BB37" s="155">
        <f>MATCH(Table3[[#This Row],[Indicator]],Material_Impacts[Look up],0)</f>
        <v>81</v>
      </c>
      <c r="BC37" s="246" cm="1">
        <f t="array" aca="1" ref="BC3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7" s="165" cm="1">
        <f t="array" ref="BD3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7" s="165" t="e">
        <f>Diesel_RawM_Sec*INDEX(Indicators,MATCH(Impacts_Additional[[#This Row],[Indicator]],Materials!$D:$D,0),MATCH("Diesel Combustion",Materials!$1:$1,0))*Diesel_density*Project_Area*Sec_Lays*Area_trans</f>
        <v>#DIV/0!</v>
      </c>
      <c r="BF37" s="35" t="e" cm="1">
        <f t="array" aca="1" ref="BF3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7" s="35" t="e" cm="1">
        <f t="array" aca="1" ref="BG3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7" t="e" cm="1">
        <f t="array" aca="1" ref="BH3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7" s="35" t="e" cm="1">
        <f t="array" aca="1" ref="BI3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7" s="35" t="e" cm="1">
        <f t="array" aca="1" ref="BJ3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7" t="e" cm="1">
        <f t="array" aca="1" ref="BK3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7" s="35" t="e" cm="1">
        <f t="array" aca="1" ref="BL3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7" s="35" t="e" cm="1">
        <f t="array" aca="1" ref="BM3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7" t="e" cm="1">
        <f t="array" aca="1" ref="BN3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7" s="35" t="e" cm="1">
        <f t="array" aca="1" ref="BO3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7" s="35" t="e" cm="1">
        <f t="array" aca="1" ref="BP3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7" t="e" cm="1">
        <f t="array" aca="1" ref="BQ3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7" s="35" t="e" cm="1">
        <f t="array" aca="1" ref="BR3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7" s="35" t="e" cm="1">
        <f t="array" aca="1" ref="BS3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7" t="e" cm="1">
        <f t="array" aca="1" ref="BT3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7" s="35" t="e" cm="1">
        <f t="array" aca="1" ref="BU3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7" s="35" t="e" cm="1">
        <f t="array" aca="1" ref="BV3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7" t="e" cm="1">
        <f t="array" aca="1" ref="BW3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7" s="35" t="e" cm="1">
        <f t="array" aca="1" ref="BX3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7" s="35" t="e" cm="1">
        <f t="array" aca="1" ref="BY3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7" t="e" cm="1">
        <f t="array" aca="1" ref="BZ3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7" s="35" t="e" cm="1">
        <f t="array" aca="1" ref="CA3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7" s="35" t="e" cm="1">
        <f t="array" aca="1" ref="CB3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7" t="e" cm="1">
        <f t="array" aca="1" ref="CC3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7" s="35" t="e" cm="1">
        <f t="array" aca="1" ref="CD3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7" s="35" t="e" cm="1">
        <f t="array" aca="1" ref="CE3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7" t="e" cm="1">
        <f t="array" aca="1" ref="CF3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7" s="165" cm="1">
        <f t="array" aca="1" ref="CG37" ca="1">((E_modulus_Sec/40114)^-0.25)*((Subgrade_stiffness_Sec/35)^-0.25)*((Surface_thickness_Sec/0.22)^-0.75)*Area_trans*delflec_switch*SUM((INDEX(PVI_vehicle_EFC,1,1)/INDEX(PVI_fuel_energy_density,1,1))*(INDEX(Indicators,MATCH('Additional Impact Indicators'!$A37,Materials!$D:$D,0),MATCH("diesel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Indicators'!$A37,Materials!$D:$D,0),MATCH("bio-diesel combustion",Materials!$1:$1,0))*((1-enviro_disc)^Handle_years)*Handle_electricity_emissions:OFFSET(Handle_electricity_emissions,0,Results_timespan-1)^0)*OFFSET(Handle_traffic_fleet,6,0):OFFSET(Handle_traffic_fleet,6,Results_timespan-1))</f>
        <v>0</v>
      </c>
      <c r="CH37" s="375" cm="1">
        <f t="array" aca="1" ref="CH3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7" s="251" cm="1">
        <f t="array" aca="1" ref="CI37" ca="1">(SUMPRODUCT(Delay_emissions_table[Consumption of Diesel (kg) - Secondary Scenario],IF(Delay_emissions_table[Form of Maintenance - Secondary Scenario]="Life Extension",1,0))*INDEX(Indicators,MATCH('Additional Impact Indicators'!$A37,Materials!$D:$D,0),MATCH("diesel combustion",Materials!$1:$1,0))+SUMPRODUCT(Delay_emissions_table[Consumption of Petrol (kg) - Secondary Scenario],IF(Delay_emissions_table[Form of Maintenance - Secondary Scenario]="Life Extension",1,0))*INDEX(Indicators,MATCH('Additional Impact Indicators'!$A37,Materials!$D:$D,0),MATCH("petrol combustion",Materials!$1:$1,0))+IFERROR(SUMPRODUCT(TRANSPOSE(INDEX(elec_project_emissions,MATCH(Elec_scenario&amp;'Additional Impact Indicators'!$B37,INDEX(Electricity_projection,0,3),0)-1,0)),Delay_emissions_table[Consumption of electricity (MJ) - Secondary Scenario],IF(Delay_emissions_table[Form of Maintenance - Secondary Scenario]="Life Extension",1,0)),0))*Area_trans*time_adj_Sec</f>
        <v>0</v>
      </c>
      <c r="CJ37" s="251" cm="1">
        <f t="array" aca="1" ref="CJ37" ca="1">(SUMPRODUCT(Delay_emissions_table[Consumption of Diesel (kg) - Secondary Scenario],IF(Delay_emissions_table[Form of Maintenance - Secondary Scenario]="Replacement",1,0))*INDEX(Indicators,MATCH('Additional Impact Indicators'!$A37,Materials!$D:$D,0),MATCH("diesel combustion",Materials!$1:$1,0))+SUMPRODUCT(Delay_emissions_table[Consumption of Petrol (kg) - Secondary Scenario],IF(Delay_emissions_table[Form of Maintenance - Secondary Scenario]="Replacement",1,0))*INDEX(Indicators,MATCH('Additional Impact Indicators'!$A37,Materials!$D:$D,0),MATCH("petrol combustion",Materials!$1:$1,0))+IFERROR(SUMPRODUCT(TRANSPOSE(INDEX(elec_project_emissions,MATCH(Elec_scenario&amp;'Additional Impact Indicators'!$B37,INDEX(Electricity_projection,0,3),0)-1,0)),Delay_emissions_table[Consumption of electricity (MJ) - Secondary Scenario],IF(Delay_emissions_table[Form of Maintenance - Secondary Scenario]="Replacement",1,0)),0))*Area_trans*time_adj_Sec</f>
        <v>0</v>
      </c>
      <c r="CK37" s="252" t="e" cm="1">
        <f t="array" ref="CK3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7" s="252" t="e" cm="1">
        <f t="array" ref="CL3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7" s="253" t="e" cm="1">
        <f t="array" ref="CM3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7" s="387" t="e" cm="1">
        <f t="array" ref="CN3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7" s="51" t="e">
        <f ca="1">SUMIF(Table3[[#This Row],[Raw-Materials]:[Transport to recycling facility]],"&lt;&gt;#N/A")</f>
        <v>#DIV/0!</v>
      </c>
      <c r="CT37" t="s">
        <v>527</v>
      </c>
      <c r="CU37" t="s">
        <v>397</v>
      </c>
      <c r="CV37" t="str">
        <f t="shared" si="3"/>
        <v>A2</v>
      </c>
      <c r="CW37" t="s">
        <v>485</v>
      </c>
      <c r="CY37">
        <f>MATCH(Table611[[#This Row],[Indicator]],Material_Impacts[Look up],0)</f>
        <v>81</v>
      </c>
      <c r="CZ37" s="246" cm="1">
        <f t="array" aca="1" ref="CZ3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7" s="165" cm="1">
        <f t="array" ref="DA3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7" s="165" t="e">
        <f>Diesel_RawM_Tert*INDEX(Indicators,MATCH(Impacts_Additional[[#This Row],[Indicator]],Materials!$D:$D,0),MATCH("Diesel Combustion",Materials!$1:$1,0))*Diesel_density*Project_Area*Tert_Lays*Area_trans</f>
        <v>#DIV/0!</v>
      </c>
      <c r="DC37" s="35" t="e" cm="1">
        <f t="array" aca="1" ref="DC3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7" s="35" t="e" cm="1">
        <f t="array" aca="1" ref="DD3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7" t="e" cm="1">
        <f t="array" aca="1" ref="DE3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7" s="35" t="e" cm="1">
        <f t="array" aca="1" ref="DF3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7" s="35" t="e" cm="1">
        <f t="array" aca="1" ref="DG3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7" t="e" cm="1">
        <f t="array" aca="1" ref="DH3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7" s="35" t="e" cm="1">
        <f t="array" aca="1" ref="DI3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7" s="35" t="e" cm="1">
        <f t="array" aca="1" ref="DJ3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7" t="e" cm="1">
        <f t="array" aca="1" ref="DK3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7" s="35" t="e" cm="1">
        <f t="array" aca="1" ref="DL3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7" s="35" t="e" cm="1">
        <f t="array" aca="1" ref="DM3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7" t="e" cm="1">
        <f t="array" aca="1" ref="DN3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7" s="35" t="e" cm="1">
        <f t="array" aca="1" ref="DO3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7" s="35" t="e" cm="1">
        <f t="array" aca="1" ref="DP3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7" t="e" cm="1">
        <f t="array" aca="1" ref="DQ3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7" s="35" t="e" cm="1">
        <f t="array" aca="1" ref="DR3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7" s="35" t="e" cm="1">
        <f t="array" aca="1" ref="DS3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7" t="e" cm="1">
        <f t="array" aca="1" ref="DT3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7" s="35" t="e" cm="1">
        <f t="array" aca="1" ref="DU3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7" s="35" t="e" cm="1">
        <f t="array" aca="1" ref="DV3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7" t="e" cm="1">
        <f t="array" aca="1" ref="DW3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7" s="35" t="e" cm="1">
        <f t="array" aca="1" ref="DX3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7" s="35" t="e" cm="1">
        <f t="array" aca="1" ref="DY3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7" t="e" cm="1">
        <f t="array" aca="1" ref="DZ3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7" s="35" t="e" cm="1">
        <f t="array" aca="1" ref="EA3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7" s="35" t="e" cm="1">
        <f t="array" aca="1" ref="EB3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7" t="e" cm="1">
        <f t="array" aca="1" ref="EC3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7" s="165" cm="1">
        <f t="array" aca="1" ref="ED37" ca="1">((E_modulus_Tert/40114)^-0.25)*((Subgrade_stiffness_Tert/35)^-0.25)*((Surface_thickness_Tert/0.22)^-0.75)*Area_trans*delflec_switch*SUM((INDEX(PVI_vehicle_EFC,1,1)/INDEX(PVI_fuel_energy_density,1,1))*(INDEX(Indicators,MATCH('Additional Impact Indicators'!$A37,Materials!$D:$D,0),MATCH("diesel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Indicators'!$A37,Materials!$D:$D,0),MATCH("bio-diesel combustion",Materials!$1:$1,0))*((1-enviro_disc)^Handle_years)*Handle_electricity_emissions:OFFSET(Handle_electricity_emissions,0,Results_timespan-1)^0)*OFFSET(Handle_traffic_fleet,6,0):OFFSET(Handle_traffic_fleet,6,Results_timespan-1))</f>
        <v>0</v>
      </c>
      <c r="EE37" s="375" cm="1">
        <f t="array" aca="1" ref="EE3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7" s="251" cm="1">
        <f t="array" aca="1" ref="EF37" ca="1">(SUMPRODUCT(Delay_emissions_table[Consumption of Diesel (kg) - Tertiary Scenario],IF(Delay_emissions_table[Form of Maintenance - Tertiary Scenario]="Life Extension",1,0))*INDEX(Indicators,MATCH('Additional Impact Indicators'!$A37,Materials!$D:$D,0),MATCH("diesel combustion",Materials!$1:$1,0))+SUMPRODUCT(Delay_emissions_table[Consumption of Petrol (kg) - Tertiary Scenario],IF(Delay_emissions_table[Form of Maintenance - Tertiary Scenario]="Life Extension",1,0))*INDEX(Indicators,MATCH('Additional Impact Indicators'!$A37,Materials!$D:$D,0),MATCH("petrol combustion",Materials!$1:$1,0))+IFERROR(SUMPRODUCT(TRANSPOSE(INDEX(elec_project_emissions,MATCH(Elec_scenario&amp;'Additional Impact Indicators'!$B37,INDEX(Electricity_projection,0,3),0)-1,0)),Delay_emissions_table[Consumption of electricity (MJ) - Tertiary Scenario],IF(Delay_emissions_table[Form of Maintenance - Tertiary Scenario]="Life Extension",1,0)),0))*Area_trans*Time_adj_Tert</f>
        <v>0</v>
      </c>
      <c r="EG37" s="251" cm="1">
        <f t="array" aca="1" ref="EG37" ca="1">(SUMPRODUCT(Delay_emissions_table[Consumption of Diesel (kg) - Tertiary Scenario],IF(Delay_emissions_table[Form of Maintenance - Tertiary Scenario]="Replacement",1,0))*INDEX(Indicators,MATCH('Additional Impact Indicators'!$A37,Materials!$D:$D,0),MATCH("diesel combustion",Materials!$1:$1,0))+SUMPRODUCT(Delay_emissions_table[Consumption of Petrol (kg) - Tertiary Scenario],IF(Delay_emissions_table[Form of Maintenance - Tertiary Scenario]="Replacement",1,0))*INDEX(Indicators,MATCH('Additional Impact Indicators'!$A37,Materials!$D:$D,0),MATCH("petrol combustion",Materials!$1:$1,0))+IFERROR(SUMPRODUCT(TRANSPOSE(INDEX(elec_project_emissions,MATCH(Elec_scenario&amp;'Additional Impact Indicators'!$B37,INDEX(Electricity_projection,0,3),0)-1,0)),Delay_emissions_table[Consumption of electricity (MJ) - Tertiary Scenario],IF(Delay_emissions_table[Form of Maintenance - Tertiary Scenario]="Replacement",1,0)),0))*Area_trans*Time_adj_Tert</f>
        <v>0</v>
      </c>
      <c r="EH37" s="252" t="e" cm="1">
        <f t="array" ref="EH3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7" s="252" t="e" cm="1">
        <f t="array" ref="EI3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7" s="253" t="e" cm="1">
        <f t="array" ref="EJ3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7" s="253" t="e" cm="1">
        <f t="array" ref="EK3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7" t="e">
        <f ca="1">SUMIF(Table611[[#This Row],[Raw-Materials]:[Transport to recycling facility]],"&lt;&gt;#N/A")</f>
        <v>#DIV/0!</v>
      </c>
    </row>
    <row r="38" spans="1:142" x14ac:dyDescent="0.35">
      <c r="A38" t="s">
        <v>528</v>
      </c>
      <c r="B38" t="s">
        <v>400</v>
      </c>
      <c r="C38" t="str">
        <f t="shared" si="1"/>
        <v>A2</v>
      </c>
      <c r="D38" t="s">
        <v>485</v>
      </c>
      <c r="F38">
        <f>MATCH(Impacts_Additional[[#This Row],[Indicator]],Material_Impacts[Look up],0)</f>
        <v>82</v>
      </c>
      <c r="G38" s="246" cm="1">
        <f t="array" aca="1" ref="G3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8" s="166" cm="1">
        <f t="array" ref="H3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8" s="166" t="e">
        <f>Diesel_RawM_Prim*INDEX(Indicators,MATCH(Impacts_Additional[[#This Row],[Indicator]],Materials!$D:$D,0),MATCH("Diesel Combustion",Materials!$1:$1,0))*Diesel_density*Project_Area*Prim_Lays*Area_trans</f>
        <v>#DIV/0!</v>
      </c>
      <c r="J38" s="20" t="e" cm="1">
        <f t="array" aca="1" ref="J3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8" s="20" t="e" cm="1">
        <f t="array" aca="1" ref="K3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8" s="20" t="e" cm="1">
        <f t="array" aca="1" ref="L3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8" s="20" t="e" cm="1">
        <f t="array" aca="1" ref="M3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8" s="20" t="e" cm="1">
        <f t="array" aca="1" ref="N3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8" s="20" t="e" cm="1">
        <f t="array" aca="1" ref="O3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8" s="20" t="e" cm="1">
        <f t="array" aca="1" ref="P3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8" s="20" t="e" cm="1">
        <f t="array" aca="1" ref="Q3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8" s="20" t="e" cm="1">
        <f t="array" aca="1" ref="R3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8" s="20" t="e" cm="1">
        <f t="array" aca="1" ref="S3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8" s="20" t="e" cm="1">
        <f t="array" aca="1" ref="T3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8" s="20" t="e" cm="1">
        <f t="array" aca="1" ref="U3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8" s="20" t="e" cm="1">
        <f t="array" aca="1" ref="V3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8" s="20" t="e" cm="1">
        <f t="array" aca="1" ref="W3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8" s="20" t="e" cm="1">
        <f t="array" aca="1" ref="X3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8" s="20" t="e" cm="1">
        <f t="array" aca="1" ref="Y3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8" s="20" t="e" cm="1">
        <f t="array" aca="1" ref="Z3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8" s="20" t="e" cm="1">
        <f t="array" aca="1" ref="AA3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8" s="20" t="e" cm="1">
        <f t="array" aca="1" ref="AB3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8" s="20" t="e" cm="1">
        <f t="array" aca="1" ref="AC3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8" s="20" t="e" cm="1">
        <f t="array" aca="1" ref="AD3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8" s="20" t="e" cm="1">
        <f t="array" aca="1" ref="AE3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8" s="20" t="e" cm="1">
        <f t="array" aca="1" ref="AF3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8" s="20" t="e" cm="1">
        <f t="array" aca="1" ref="AG3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8" s="20" t="e" cm="1">
        <f t="array" aca="1" ref="AH3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8" s="20" t="e" cm="1">
        <f t="array" aca="1" ref="AI3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8" s="20" t="e" cm="1">
        <f t="array" aca="1" ref="AJ3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8" s="166" cm="1">
        <f t="array" aca="1" ref="AK38" ca="1">((E_modulus_Prim/40114)^-0.25)*((Subgrade_stiffness_Prim/35)^-0.25)*((Surface_thickness_Prim/0.22)^-0.75)*Area_trans*delflec_switch*SUM((INDEX(PVI_vehicle_EFC,1,1)/INDEX(PVI_fuel_energy_density,1,1))*(INDEX(Indicators,MATCH('Additional Impact Indicators'!$A38,Materials!$D:$D,0),MATCH("diesel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Indicators'!$A38,Materials!$D:$D,0),MATCH("bio-diesel combustion",Materials!$1:$1,0))*((1-enviro_disc)^Handle_years)*Handle_electricity_emissions:OFFSET(Handle_electricity_emissions,0,Results_timespan-1)^0)*OFFSET(Handle_traffic_fleet,6,0):OFFSET(Handle_traffic_fleet,6,Results_timespan-1))</f>
        <v>0</v>
      </c>
      <c r="AL38" s="166" cm="1">
        <f t="array" aca="1" ref="AL3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8" s="247" cm="1">
        <f t="array" aca="1" ref="AM38" ca="1">(SUMPRODUCT(Delay_emissions_table[Consumption of Diesel (kg) - Primary Scenario],IF(Delay_emissions_table[Form of Maintenance - Primary Scenario]="Life Extension",1,0))*INDEX(Indicators,MATCH('Additional Impact Indicators'!$A38,Materials!$D:$D,0),MATCH("diesel combustion",Materials!$1:$1,0))+SUMPRODUCT(Delay_emissions_table[Consumption of Petrol (kg) - Primary Scenario],IF(Delay_emissions_table[Form of Maintenance - Primary Scenario]="Life Extension",1,0))*INDEX(Indicators,MATCH('Additional Impact Indicators'!$A38,Materials!$D:$D,0),MATCH("petrol combustion",Materials!$1:$1,0))+IFERROR(SUMPRODUCT(TRANSPOSE(INDEX(elec_project_emissions,MATCH(Elec_scenario&amp;'Additional Impact Indicators'!$B38,INDEX(Electricity_projection,0,3),0)-1,0)),Delay_emissions_table[Consumption of electricity (MJ) - Primary Scenario],IF(Delay_emissions_table[Form of Maintenance - Primary Scenario]="Life Extension",1,0)),0))*Area_trans*Time_adj_Prim</f>
        <v>0</v>
      </c>
      <c r="AN38" s="247" cm="1">
        <f t="array" aca="1" ref="AN38" ca="1">(SUMPRODUCT(Delay_emissions_table[Consumption of Diesel (kg) - Primary Scenario],IF(Delay_emissions_table[Form of Maintenance - Primary Scenario]="Replacement",1,0))*INDEX(Indicators,MATCH('Additional Impact Indicators'!$A38,Materials!$D:$D,0),MATCH("diesel combustion",Materials!$1:$1,0))+SUMPRODUCT(Delay_emissions_table[Consumption of Petrol (kg) - Primary Scenario],IF(Delay_emissions_table[Form of Maintenance - Primary Scenario]="Replacement",1,0))*INDEX(Indicators,MATCH('Additional Impact Indicators'!$A38,Materials!$D:$D,0),MATCH("petrol combustion",Materials!$1:$1,0))+IFERROR(SUMPRODUCT(TRANSPOSE(INDEX(elec_project_emissions,MATCH(Elec_scenario&amp;'Additional Impact Indicators'!$B38,INDEX(Electricity_projection,0,3),0)-1,0)),Delay_emissions_table[Consumption of electricity (MJ) - Primary Scenario],IF(Delay_emissions_table[Form of Maintenance - Primary Scenario]="Replacement",1,0)),0))*Area_trans*Time_adj_Prim</f>
        <v>0</v>
      </c>
      <c r="AO38" s="248" t="e" cm="1">
        <f t="array" ref="AO3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8" s="248" t="e" cm="1">
        <f t="array" ref="AP3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8" s="249" t="e" cm="1">
        <f t="array" ref="AQ3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8" s="386" t="e" cm="1">
        <f t="array" ref="AR3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8" t="e">
        <f ca="1">SUMIF('Additional Impact Indicators'!$G38:$AQ38,"&lt;&gt;#N/A")</f>
        <v>#DIV/0!</v>
      </c>
      <c r="AW38" t="s">
        <v>528</v>
      </c>
      <c r="AX38" t="s">
        <v>400</v>
      </c>
      <c r="AY38" t="str">
        <f t="shared" si="2"/>
        <v>A2</v>
      </c>
      <c r="AZ38" t="s">
        <v>485</v>
      </c>
      <c r="BB38">
        <f>MATCH(Table3[[#This Row],[Indicator]],Material_Impacts[Look up],0)</f>
        <v>82</v>
      </c>
      <c r="BC38" s="246" cm="1">
        <f t="array" aca="1" ref="BC3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8" s="166" cm="1">
        <f t="array" ref="BD3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8" s="166" t="e">
        <f>Diesel_RawM_Sec*INDEX(Indicators,MATCH(Impacts_Additional[[#This Row],[Indicator]],Materials!$D:$D,0),MATCH("Diesel Combustion",Materials!$1:$1,0))*Diesel_density*Project_Area*Sec_Lays*Area_trans</f>
        <v>#DIV/0!</v>
      </c>
      <c r="BF38" s="35" t="e" cm="1">
        <f t="array" aca="1" ref="BF3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8" s="35" t="e" cm="1">
        <f t="array" aca="1" ref="BG3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8" t="e" cm="1">
        <f t="array" aca="1" ref="BH3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8" s="35" t="e" cm="1">
        <f t="array" aca="1" ref="BI3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8" s="35" t="e" cm="1">
        <f t="array" aca="1" ref="BJ3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8" t="e" cm="1">
        <f t="array" aca="1" ref="BK3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8" s="35" t="e" cm="1">
        <f t="array" aca="1" ref="BL3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8" s="35" t="e" cm="1">
        <f t="array" aca="1" ref="BM3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8" t="e" cm="1">
        <f t="array" aca="1" ref="BN3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8" s="35" t="e" cm="1">
        <f t="array" aca="1" ref="BO3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8" s="35" t="e" cm="1">
        <f t="array" aca="1" ref="BP3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8" t="e" cm="1">
        <f t="array" aca="1" ref="BQ3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8" s="35" t="e" cm="1">
        <f t="array" aca="1" ref="BR3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8" s="35" t="e" cm="1">
        <f t="array" aca="1" ref="BS3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8" t="e" cm="1">
        <f t="array" aca="1" ref="BT3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8" s="35" t="e" cm="1">
        <f t="array" aca="1" ref="BU3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8" s="35" t="e" cm="1">
        <f t="array" aca="1" ref="BV3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8" t="e" cm="1">
        <f t="array" aca="1" ref="BW3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8" s="35" t="e" cm="1">
        <f t="array" aca="1" ref="BX3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8" s="35" t="e" cm="1">
        <f t="array" aca="1" ref="BY3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8" t="e" cm="1">
        <f t="array" aca="1" ref="BZ3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8" s="35" t="e" cm="1">
        <f t="array" aca="1" ref="CA3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8" s="35" t="e" cm="1">
        <f t="array" aca="1" ref="CB3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8" t="e" cm="1">
        <f t="array" aca="1" ref="CC3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8" s="35" t="e" cm="1">
        <f t="array" aca="1" ref="CD3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8" s="35" t="e" cm="1">
        <f t="array" aca="1" ref="CE3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8" t="e" cm="1">
        <f t="array" aca="1" ref="CF3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8" s="166" cm="1">
        <f t="array" aca="1" ref="CG38" ca="1">((E_modulus_Sec/40114)^-0.25)*((Subgrade_stiffness_Sec/35)^-0.25)*((Surface_thickness_Sec/0.22)^-0.75)*Area_trans*delflec_switch*SUM((INDEX(PVI_vehicle_EFC,1,1)/INDEX(PVI_fuel_energy_density,1,1))*(INDEX(Indicators,MATCH('Additional Impact Indicators'!$A38,Materials!$D:$D,0),MATCH("diesel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Indicators'!$A38,Materials!$D:$D,0),MATCH("bio-diesel combustion",Materials!$1:$1,0))*((1-enviro_disc)^Handle_years)*Handle_electricity_emissions:OFFSET(Handle_electricity_emissions,0,Results_timespan-1)^0)*OFFSET(Handle_traffic_fleet,6,0):OFFSET(Handle_traffic_fleet,6,Results_timespan-1))</f>
        <v>0</v>
      </c>
      <c r="CH38" s="375" cm="1">
        <f t="array" aca="1" ref="CH3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8" s="247" cm="1">
        <f t="array" aca="1" ref="CI38" ca="1">(SUMPRODUCT(Delay_emissions_table[Consumption of Diesel (kg) - Secondary Scenario],IF(Delay_emissions_table[Form of Maintenance - Secondary Scenario]="Life Extension",1,0))*INDEX(Indicators,MATCH('Additional Impact Indicators'!$A38,Materials!$D:$D,0),MATCH("diesel combustion",Materials!$1:$1,0))+SUMPRODUCT(Delay_emissions_table[Consumption of Petrol (kg) - Secondary Scenario],IF(Delay_emissions_table[Form of Maintenance - Secondary Scenario]="Life Extension",1,0))*INDEX(Indicators,MATCH('Additional Impact Indicators'!$A38,Materials!$D:$D,0),MATCH("petrol combustion",Materials!$1:$1,0))+IFERROR(SUMPRODUCT(TRANSPOSE(INDEX(elec_project_emissions,MATCH(Elec_scenario&amp;'Additional Impact Indicators'!$B38,INDEX(Electricity_projection,0,3),0)-1,0)),Delay_emissions_table[Consumption of electricity (MJ) - Secondary Scenario],IF(Delay_emissions_table[Form of Maintenance - Secondary Scenario]="Life Extension",1,0)),0))*Area_trans*time_adj_Sec</f>
        <v>0</v>
      </c>
      <c r="CJ38" s="247" cm="1">
        <f t="array" aca="1" ref="CJ38" ca="1">(SUMPRODUCT(Delay_emissions_table[Consumption of Diesel (kg) - Secondary Scenario],IF(Delay_emissions_table[Form of Maintenance - Secondary Scenario]="Replacement",1,0))*INDEX(Indicators,MATCH('Additional Impact Indicators'!$A38,Materials!$D:$D,0),MATCH("diesel combustion",Materials!$1:$1,0))+SUMPRODUCT(Delay_emissions_table[Consumption of Petrol (kg) - Secondary Scenario],IF(Delay_emissions_table[Form of Maintenance - Secondary Scenario]="Replacement",1,0))*INDEX(Indicators,MATCH('Additional Impact Indicators'!$A38,Materials!$D:$D,0),MATCH("petrol combustion",Materials!$1:$1,0))+IFERROR(SUMPRODUCT(TRANSPOSE(INDEX(elec_project_emissions,MATCH(Elec_scenario&amp;'Additional Impact Indicators'!$B38,INDEX(Electricity_projection,0,3),0)-1,0)),Delay_emissions_table[Consumption of electricity (MJ) - Secondary Scenario],IF(Delay_emissions_table[Form of Maintenance - Secondary Scenario]="Replacement",1,0)),0))*Area_trans*time_adj_Sec</f>
        <v>0</v>
      </c>
      <c r="CK38" s="248" t="e" cm="1">
        <f t="array" ref="CK3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8" s="248" t="e" cm="1">
        <f t="array" ref="CL3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8" s="249" t="e" cm="1">
        <f t="array" ref="CM3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8" s="387" t="e" cm="1">
        <f t="array" ref="CN3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8" s="51" t="e">
        <f ca="1">SUMIF(Table3[[#This Row],[Raw-Materials]:[Transport to recycling facility]],"&lt;&gt;#N/A")</f>
        <v>#DIV/0!</v>
      </c>
      <c r="CT38" t="s">
        <v>528</v>
      </c>
      <c r="CU38" t="s">
        <v>400</v>
      </c>
      <c r="CV38" t="str">
        <f t="shared" si="3"/>
        <v>A2</v>
      </c>
      <c r="CW38" t="s">
        <v>485</v>
      </c>
      <c r="CY38">
        <f>MATCH(Table611[[#This Row],[Indicator]],Material_Impacts[Look up],0)</f>
        <v>82</v>
      </c>
      <c r="CZ38" s="246" cm="1">
        <f t="array" aca="1" ref="CZ3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8" s="166" cm="1">
        <f t="array" ref="DA3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8" s="166" t="e">
        <f>Diesel_RawM_Tert*INDEX(Indicators,MATCH(Impacts_Additional[[#This Row],[Indicator]],Materials!$D:$D,0),MATCH("Diesel Combustion",Materials!$1:$1,0))*Diesel_density*Project_Area*Tert_Lays*Area_trans</f>
        <v>#DIV/0!</v>
      </c>
      <c r="DC38" s="35" t="e" cm="1">
        <f t="array" aca="1" ref="DC3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8" s="35" t="e" cm="1">
        <f t="array" aca="1" ref="DD3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8" t="e" cm="1">
        <f t="array" aca="1" ref="DE3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8" s="35" t="e" cm="1">
        <f t="array" aca="1" ref="DF3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8" s="35" t="e" cm="1">
        <f t="array" aca="1" ref="DG3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8" t="e" cm="1">
        <f t="array" aca="1" ref="DH3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8" s="35" t="e" cm="1">
        <f t="array" aca="1" ref="DI3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8" s="35" t="e" cm="1">
        <f t="array" aca="1" ref="DJ3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8" t="e" cm="1">
        <f t="array" aca="1" ref="DK3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8" s="35" t="e" cm="1">
        <f t="array" aca="1" ref="DL3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8" s="35" t="e" cm="1">
        <f t="array" aca="1" ref="DM3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8" t="e" cm="1">
        <f t="array" aca="1" ref="DN3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8" s="35" t="e" cm="1">
        <f t="array" aca="1" ref="DO3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8" s="35" t="e" cm="1">
        <f t="array" aca="1" ref="DP3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8" t="e" cm="1">
        <f t="array" aca="1" ref="DQ3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8" s="35" t="e" cm="1">
        <f t="array" aca="1" ref="DR3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8" s="35" t="e" cm="1">
        <f t="array" aca="1" ref="DS3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8" t="e" cm="1">
        <f t="array" aca="1" ref="DT3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8" s="35" t="e" cm="1">
        <f t="array" aca="1" ref="DU3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8" s="35" t="e" cm="1">
        <f t="array" aca="1" ref="DV3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8" t="e" cm="1">
        <f t="array" aca="1" ref="DW3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8" s="35" t="e" cm="1">
        <f t="array" aca="1" ref="DX3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8" s="35" t="e" cm="1">
        <f t="array" aca="1" ref="DY3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8" t="e" cm="1">
        <f t="array" aca="1" ref="DZ3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8" s="35" t="e" cm="1">
        <f t="array" aca="1" ref="EA3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8" s="35" t="e" cm="1">
        <f t="array" aca="1" ref="EB3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8" t="e" cm="1">
        <f t="array" aca="1" ref="EC3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8" s="166" cm="1">
        <f t="array" aca="1" ref="ED38" ca="1">((E_modulus_Tert/40114)^-0.25)*((Subgrade_stiffness_Tert/35)^-0.25)*((Surface_thickness_Tert/0.22)^-0.75)*Area_trans*delflec_switch*SUM((INDEX(PVI_vehicle_EFC,1,1)/INDEX(PVI_fuel_energy_density,1,1))*(INDEX(Indicators,MATCH('Additional Impact Indicators'!$A38,Materials!$D:$D,0),MATCH("diesel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Indicators'!$A38,Materials!$D:$D,0),MATCH("petrol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Indicators'!$A38,Materials!$D:$D,0),MATCH("diesel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Indicators'!$A38,Materials!$D:$D,0),MATCH("petrol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Indicators'!$A38,Materials!$D:$D,0),MATCH("bio-diesel combustion",Materials!$1:$1,0))*((1-enviro_disc)^Handle_years)*Handle_electricity_emissions:OFFSET(Handle_electricity_emissions,0,Results_timespan-1)^0)*OFFSET(Handle_traffic_fleet,6,0):OFFSET(Handle_traffic_fleet,6,Results_timespan-1))</f>
        <v>0</v>
      </c>
      <c r="EE38" s="375" cm="1">
        <f t="array" aca="1" ref="EE3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8" s="247" cm="1">
        <f t="array" aca="1" ref="EF38" ca="1">(SUMPRODUCT(Delay_emissions_table[Consumption of Diesel (kg) - Tertiary Scenario],IF(Delay_emissions_table[Form of Maintenance - Tertiary Scenario]="Life Extension",1,0))*INDEX(Indicators,MATCH('Additional Impact Indicators'!$A38,Materials!$D:$D,0),MATCH("diesel combustion",Materials!$1:$1,0))+SUMPRODUCT(Delay_emissions_table[Consumption of Petrol (kg) - Tertiary Scenario],IF(Delay_emissions_table[Form of Maintenance - Tertiary Scenario]="Life Extension",1,0))*INDEX(Indicators,MATCH('Additional Impact Indicators'!$A38,Materials!$D:$D,0),MATCH("petrol combustion",Materials!$1:$1,0))+IFERROR(SUMPRODUCT(TRANSPOSE(INDEX(elec_project_emissions,MATCH(Elec_scenario&amp;'Additional Impact Indicators'!$B38,INDEX(Electricity_projection,0,3),0)-1,0)),Delay_emissions_table[Consumption of electricity (MJ) - Tertiary Scenario],IF(Delay_emissions_table[Form of Maintenance - Tertiary Scenario]="Life Extension",1,0)),0))*Area_trans*Time_adj_Tert</f>
        <v>0</v>
      </c>
      <c r="EG38" s="247" cm="1">
        <f t="array" aca="1" ref="EG38" ca="1">(SUMPRODUCT(Delay_emissions_table[Consumption of Diesel (kg) - Tertiary Scenario],IF(Delay_emissions_table[Form of Maintenance - Tertiary Scenario]="Replacement",1,0))*INDEX(Indicators,MATCH('Additional Impact Indicators'!$A38,Materials!$D:$D,0),MATCH("diesel combustion",Materials!$1:$1,0))+SUMPRODUCT(Delay_emissions_table[Consumption of Petrol (kg) - Tertiary Scenario],IF(Delay_emissions_table[Form of Maintenance - Tertiary Scenario]="Replacement",1,0))*INDEX(Indicators,MATCH('Additional Impact Indicators'!$A38,Materials!$D:$D,0),MATCH("petrol combustion",Materials!$1:$1,0))+IFERROR(SUMPRODUCT(TRANSPOSE(INDEX(elec_project_emissions,MATCH(Elec_scenario&amp;'Additional Impact Indicators'!$B38,INDEX(Electricity_projection,0,3),0)-1,0)),Delay_emissions_table[Consumption of electricity (MJ) - Tertiary Scenario],IF(Delay_emissions_table[Form of Maintenance - Tertiary Scenario]="Replacement",1,0)),0))*Area_trans*Time_adj_Tert</f>
        <v>0</v>
      </c>
      <c r="EH38" s="248" t="e" cm="1">
        <f t="array" ref="EH3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8" s="248" t="e" cm="1">
        <f t="array" ref="EI3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8" s="249" t="e" cm="1">
        <f t="array" ref="EJ3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8" s="249" t="e" cm="1">
        <f t="array" ref="EK3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8" t="e">
        <f ca="1">SUMIF(Table611[[#This Row],[Raw-Materials]:[Transport to recycling facility]],"&lt;&gt;#N/A")</f>
        <v>#DIV/0!</v>
      </c>
    </row>
    <row r="39" spans="1:142" x14ac:dyDescent="0.35">
      <c r="A39" s="155" t="s">
        <v>529</v>
      </c>
      <c r="B39" s="155" t="s">
        <v>403</v>
      </c>
      <c r="C39" s="155" t="str">
        <f t="shared" si="1"/>
        <v>A2</v>
      </c>
      <c r="D39" s="155" t="s">
        <v>485</v>
      </c>
      <c r="E39" s="155"/>
      <c r="F39">
        <f>MATCH(Impacts_Additional[[#This Row],[Indicator]],Material_Impacts[Look up],0)</f>
        <v>83</v>
      </c>
      <c r="G39" s="246" cm="1">
        <f t="array" aca="1" ref="G3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39" s="165" cm="1">
        <f t="array" ref="H3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39" s="165" t="e">
        <f>Diesel_RawM_Prim*INDEX(Indicators,MATCH(Impacts_Additional[[#This Row],[Indicator]],Materials!$D:$D,0),MATCH("Diesel Combustion",Materials!$1:$1,0))*Diesel_density*Project_Area*Prim_Lays*Area_trans</f>
        <v>#DIV/0!</v>
      </c>
      <c r="J39" s="250" t="e" cm="1">
        <f t="array" aca="1" ref="J3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39" s="250" t="e" cm="1">
        <f t="array" aca="1" ref="K3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39" s="250" t="e" cm="1">
        <f t="array" aca="1" ref="L3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39" s="250" t="e" cm="1">
        <f t="array" aca="1" ref="M3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39" s="250" t="e" cm="1">
        <f t="array" aca="1" ref="N3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39" s="250" t="e" cm="1">
        <f t="array" aca="1" ref="O3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39" s="250" t="e" cm="1">
        <f t="array" aca="1" ref="P3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39" s="250" t="e" cm="1">
        <f t="array" aca="1" ref="Q3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39" s="250" t="e" cm="1">
        <f t="array" aca="1" ref="R3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39" s="250" t="e" cm="1">
        <f t="array" aca="1" ref="S3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39" s="250" t="e" cm="1">
        <f t="array" aca="1" ref="T3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39" s="250" t="e" cm="1">
        <f t="array" aca="1" ref="U3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39" s="250" t="e" cm="1">
        <f t="array" aca="1" ref="V3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39" s="250" t="e" cm="1">
        <f t="array" aca="1" ref="W3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39" s="250" t="e" cm="1">
        <f t="array" aca="1" ref="X3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39" s="250" t="e" cm="1">
        <f t="array" aca="1" ref="Y3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39" s="250" t="e" cm="1">
        <f t="array" aca="1" ref="Z3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39" s="250" t="e" cm="1">
        <f t="array" aca="1" ref="AA3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39" s="250" t="e" cm="1">
        <f t="array" aca="1" ref="AB3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39" s="250" t="e" cm="1">
        <f t="array" aca="1" ref="AC3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39" s="250" t="e" cm="1">
        <f t="array" aca="1" ref="AD3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39" s="250" t="e" cm="1">
        <f t="array" aca="1" ref="AE3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39" s="250" t="e" cm="1">
        <f t="array" aca="1" ref="AF3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39" s="250" t="e" cm="1">
        <f t="array" aca="1" ref="AG3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39" s="250" t="e" cm="1">
        <f t="array" aca="1" ref="AH3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39" s="250" t="e" cm="1">
        <f t="array" aca="1" ref="AI3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39" s="250" t="e" cm="1">
        <f t="array" aca="1" ref="AJ3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39" s="165"/>
      <c r="AL39" s="165" cm="1">
        <f t="array" aca="1" ref="AL3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39" s="251" cm="1">
        <f t="array" aca="1" ref="AM39" ca="1">(SUMPRODUCT(Delay_emissions_table[Consumption of Diesel (kg) - Primary Scenario],IF(Delay_emissions_table[Form of Maintenance - Primary Scenario]="Life Extension",1,0))*INDEX(Indicators,MATCH('Additional Impact Indicators'!$A39,Materials!$D:$D,0),MATCH("diesel combustion",Materials!$1:$1,0))+SUMPRODUCT(Delay_emissions_table[Consumption of Petrol (kg) - Primary Scenario],IF(Delay_emissions_table[Form of Maintenance - Primary Scenario]="Life Extension",1,0))*INDEX(Indicators,MATCH('Additional Impact Indicators'!$A39,Materials!$D:$D,0),MATCH("petrol combustion",Materials!$1:$1,0))+IFERROR(SUMPRODUCT(TRANSPOSE(INDEX(elec_project_emissions,MATCH(Elec_scenario&amp;'Additional Impact Indicators'!$B39,INDEX(Electricity_projection,0,3),0)-1,0)),Delay_emissions_table[Consumption of electricity (MJ) - Primary Scenario],IF(Delay_emissions_table[Form of Maintenance - Primary Scenario]="Life Extension",1,0)),0))*Area_trans*Time_adj_Prim</f>
        <v>0</v>
      </c>
      <c r="AN39" s="251" cm="1">
        <f t="array" aca="1" ref="AN39" ca="1">(SUMPRODUCT(Delay_emissions_table[Consumption of Diesel (kg) - Primary Scenario],IF(Delay_emissions_table[Form of Maintenance - Primary Scenario]="Replacement",1,0))*INDEX(Indicators,MATCH('Additional Impact Indicators'!$A39,Materials!$D:$D,0),MATCH("diesel combustion",Materials!$1:$1,0))+SUMPRODUCT(Delay_emissions_table[Consumption of Petrol (kg) - Primary Scenario],IF(Delay_emissions_table[Form of Maintenance - Primary Scenario]="Replacement",1,0))*INDEX(Indicators,MATCH('Additional Impact Indicators'!$A39,Materials!$D:$D,0),MATCH("petrol combustion",Materials!$1:$1,0))+IFERROR(SUMPRODUCT(TRANSPOSE(INDEX(elec_project_emissions,MATCH(Elec_scenario&amp;'Additional Impact Indicators'!$B39,INDEX(Electricity_projection,0,3),0)-1,0)),Delay_emissions_table[Consumption of electricity (MJ) - Primary Scenario],IF(Delay_emissions_table[Form of Maintenance - Primary Scenario]="Replacement",1,0)),0))*Area_trans*Time_adj_Prim</f>
        <v>0</v>
      </c>
      <c r="AO39" s="252" t="e" cm="1">
        <f t="array" ref="AO3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39" s="252" t="e" cm="1">
        <f t="array" ref="AP3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39" s="253" t="e" cm="1">
        <f t="array" ref="AQ3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39" s="385" t="e" cm="1">
        <f t="array" ref="AR3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39" t="e">
        <f ca="1">SUMIF('Additional Impact Indicators'!$G39:$AQ39,"&lt;&gt;#N/A")</f>
        <v>#DIV/0!</v>
      </c>
      <c r="AW39" s="155" t="s">
        <v>529</v>
      </c>
      <c r="AX39" s="155" t="s">
        <v>403</v>
      </c>
      <c r="AY39" s="155" t="str">
        <f t="shared" si="2"/>
        <v>A2</v>
      </c>
      <c r="AZ39" s="155" t="s">
        <v>485</v>
      </c>
      <c r="BA39" s="155"/>
      <c r="BB39" s="155">
        <f>MATCH(Table3[[#This Row],[Indicator]],Material_Impacts[Look up],0)</f>
        <v>83</v>
      </c>
      <c r="BC39" s="246" cm="1">
        <f t="array" aca="1" ref="BC3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39" s="165" cm="1">
        <f t="array" ref="BD3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39" s="165" t="e">
        <f>Diesel_RawM_Sec*INDEX(Indicators,MATCH(Impacts_Additional[[#This Row],[Indicator]],Materials!$D:$D,0),MATCH("Diesel Combustion",Materials!$1:$1,0))*Diesel_density*Project_Area*Sec_Lays*Area_trans</f>
        <v>#DIV/0!</v>
      </c>
      <c r="BF39" s="35" t="e" cm="1">
        <f t="array" aca="1" ref="BF3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39" s="35" t="e" cm="1">
        <f t="array" aca="1" ref="BG3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39" t="e" cm="1">
        <f t="array" aca="1" ref="BH3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39" s="35" t="e" cm="1">
        <f t="array" aca="1" ref="BI3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39" s="35" t="e" cm="1">
        <f t="array" aca="1" ref="BJ3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39" t="e" cm="1">
        <f t="array" aca="1" ref="BK3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39" s="35" t="e" cm="1">
        <f t="array" aca="1" ref="BL3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39" s="35" t="e" cm="1">
        <f t="array" aca="1" ref="BM3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39" t="e" cm="1">
        <f t="array" aca="1" ref="BN3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39" s="35" t="e" cm="1">
        <f t="array" aca="1" ref="BO3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39" s="35" t="e" cm="1">
        <f t="array" aca="1" ref="BP3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39" t="e" cm="1">
        <f t="array" aca="1" ref="BQ3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39" s="35" t="e" cm="1">
        <f t="array" aca="1" ref="BR3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39" s="35" t="e" cm="1">
        <f t="array" aca="1" ref="BS3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39" t="e" cm="1">
        <f t="array" aca="1" ref="BT3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39" s="35" t="e" cm="1">
        <f t="array" aca="1" ref="BU3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39" s="35" t="e" cm="1">
        <f t="array" aca="1" ref="BV3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39" t="e" cm="1">
        <f t="array" aca="1" ref="BW3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39" s="35" t="e" cm="1">
        <f t="array" aca="1" ref="BX3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39" s="35" t="e" cm="1">
        <f t="array" aca="1" ref="BY3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39" t="e" cm="1">
        <f t="array" aca="1" ref="BZ3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39" s="35" t="e" cm="1">
        <f t="array" aca="1" ref="CA3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39" s="35" t="e" cm="1">
        <f t="array" aca="1" ref="CB3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39" t="e" cm="1">
        <f t="array" aca="1" ref="CC3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39" s="35" t="e" cm="1">
        <f t="array" aca="1" ref="CD3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39" s="35" t="e" cm="1">
        <f t="array" aca="1" ref="CE3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39" t="e" cm="1">
        <f t="array" aca="1" ref="CF3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39" s="165"/>
      <c r="CH39" s="375" cm="1">
        <f t="array" aca="1" ref="CH3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39" s="251" cm="1">
        <f t="array" aca="1" ref="CI39" ca="1">(SUMPRODUCT(Delay_emissions_table[Consumption of Diesel (kg) - Secondary Scenario],IF(Delay_emissions_table[Form of Maintenance - Secondary Scenario]="Life Extension",1,0))*INDEX(Indicators,MATCH('Additional Impact Indicators'!$A39,Materials!$D:$D,0),MATCH("diesel combustion",Materials!$1:$1,0))+SUMPRODUCT(Delay_emissions_table[Consumption of Petrol (kg) - Secondary Scenario],IF(Delay_emissions_table[Form of Maintenance - Secondary Scenario]="Life Extension",1,0))*INDEX(Indicators,MATCH('Additional Impact Indicators'!$A39,Materials!$D:$D,0),MATCH("petrol combustion",Materials!$1:$1,0))+IFERROR(SUMPRODUCT(TRANSPOSE(INDEX(elec_project_emissions,MATCH(Elec_scenario&amp;'Additional Impact Indicators'!$B39,INDEX(Electricity_projection,0,3),0)-1,0)),Delay_emissions_table[Consumption of electricity (MJ) - Secondary Scenario],IF(Delay_emissions_table[Form of Maintenance - Secondary Scenario]="Life Extension",1,0)),0))*Area_trans*time_adj_Sec</f>
        <v>0</v>
      </c>
      <c r="CJ39" s="251" cm="1">
        <f t="array" aca="1" ref="CJ39" ca="1">(SUMPRODUCT(Delay_emissions_table[Consumption of Diesel (kg) - Secondary Scenario],IF(Delay_emissions_table[Form of Maintenance - Secondary Scenario]="Replacement",1,0))*INDEX(Indicators,MATCH('Additional Impact Indicators'!$A39,Materials!$D:$D,0),MATCH("diesel combustion",Materials!$1:$1,0))+SUMPRODUCT(Delay_emissions_table[Consumption of Petrol (kg) - Secondary Scenario],IF(Delay_emissions_table[Form of Maintenance - Secondary Scenario]="Replacement",1,0))*INDEX(Indicators,MATCH('Additional Impact Indicators'!$A39,Materials!$D:$D,0),MATCH("petrol combustion",Materials!$1:$1,0))+IFERROR(SUMPRODUCT(TRANSPOSE(INDEX(elec_project_emissions,MATCH(Elec_scenario&amp;'Additional Impact Indicators'!$B39,INDEX(Electricity_projection,0,3),0)-1,0)),Delay_emissions_table[Consumption of electricity (MJ) - Secondary Scenario],IF(Delay_emissions_table[Form of Maintenance - Secondary Scenario]="Replacement",1,0)),0))*Area_trans*time_adj_Sec</f>
        <v>0</v>
      </c>
      <c r="CK39" s="252" t="e" cm="1">
        <f t="array" ref="CK3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39" s="252" t="e" cm="1">
        <f t="array" ref="CL3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39" s="253" t="e" cm="1">
        <f t="array" ref="CM3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39" s="387" t="e" cm="1">
        <f t="array" ref="CN3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39" s="51" t="e">
        <f ca="1">SUMIF(Table3[[#This Row],[Raw-Materials]:[Transport to recycling facility]],"&lt;&gt;#N/A")</f>
        <v>#DIV/0!</v>
      </c>
      <c r="CT39" t="s">
        <v>529</v>
      </c>
      <c r="CU39" t="s">
        <v>403</v>
      </c>
      <c r="CV39" t="str">
        <f t="shared" si="3"/>
        <v>A2</v>
      </c>
      <c r="CW39" t="s">
        <v>485</v>
      </c>
      <c r="CY39">
        <f>MATCH(Table611[[#This Row],[Indicator]],Material_Impacts[Look up],0)</f>
        <v>83</v>
      </c>
      <c r="CZ39" s="246" cm="1">
        <f t="array" aca="1" ref="CZ3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39" s="165" cm="1">
        <f t="array" ref="DA3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39" s="165" t="e">
        <f>Diesel_RawM_Tert*INDEX(Indicators,MATCH(Impacts_Additional[[#This Row],[Indicator]],Materials!$D:$D,0),MATCH("Diesel Combustion",Materials!$1:$1,0))*Diesel_density*Project_Area*Tert_Lays*Area_trans</f>
        <v>#DIV/0!</v>
      </c>
      <c r="DC39" s="35" t="e" cm="1">
        <f t="array" aca="1" ref="DC3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39" s="35" t="e" cm="1">
        <f t="array" aca="1" ref="DD3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39" t="e" cm="1">
        <f t="array" aca="1" ref="DE3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39" s="35" t="e" cm="1">
        <f t="array" aca="1" ref="DF3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39" s="35" t="e" cm="1">
        <f t="array" aca="1" ref="DG3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39" t="e" cm="1">
        <f t="array" aca="1" ref="DH3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39" s="35" t="e" cm="1">
        <f t="array" aca="1" ref="DI3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39" s="35" t="e" cm="1">
        <f t="array" aca="1" ref="DJ3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39" t="e" cm="1">
        <f t="array" aca="1" ref="DK3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39" s="35" t="e" cm="1">
        <f t="array" aca="1" ref="DL3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39" s="35" t="e" cm="1">
        <f t="array" aca="1" ref="DM3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39" t="e" cm="1">
        <f t="array" aca="1" ref="DN3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39" s="35" t="e" cm="1">
        <f t="array" aca="1" ref="DO3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39" s="35" t="e" cm="1">
        <f t="array" aca="1" ref="DP3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39" t="e" cm="1">
        <f t="array" aca="1" ref="DQ3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39" s="35" t="e" cm="1">
        <f t="array" aca="1" ref="DR3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39" s="35" t="e" cm="1">
        <f t="array" aca="1" ref="DS3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39" t="e" cm="1">
        <f t="array" aca="1" ref="DT3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39" s="35" t="e" cm="1">
        <f t="array" aca="1" ref="DU3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39" s="35" t="e" cm="1">
        <f t="array" aca="1" ref="DV3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39" t="e" cm="1">
        <f t="array" aca="1" ref="DW3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39" s="35" t="e" cm="1">
        <f t="array" aca="1" ref="DX3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39" s="35" t="e" cm="1">
        <f t="array" aca="1" ref="DY3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39" t="e" cm="1">
        <f t="array" aca="1" ref="DZ3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39" s="35" t="e" cm="1">
        <f t="array" aca="1" ref="EA3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39" s="35" t="e" cm="1">
        <f t="array" aca="1" ref="EB3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39" t="e" cm="1">
        <f t="array" aca="1" ref="EC3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39" s="165"/>
      <c r="EE39" s="375" cm="1">
        <f t="array" aca="1" ref="EE3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39" s="251" cm="1">
        <f t="array" aca="1" ref="EF39" ca="1">(SUMPRODUCT(Delay_emissions_table[Consumption of Diesel (kg) - Tertiary Scenario],IF(Delay_emissions_table[Form of Maintenance - Tertiary Scenario]="Life Extension",1,0))*INDEX(Indicators,MATCH('Additional Impact Indicators'!$A39,Materials!$D:$D,0),MATCH("diesel combustion",Materials!$1:$1,0))+SUMPRODUCT(Delay_emissions_table[Consumption of Petrol (kg) - Tertiary Scenario],IF(Delay_emissions_table[Form of Maintenance - Tertiary Scenario]="Life Extension",1,0))*INDEX(Indicators,MATCH('Additional Impact Indicators'!$A39,Materials!$D:$D,0),MATCH("petrol combustion",Materials!$1:$1,0))+IFERROR(SUMPRODUCT(TRANSPOSE(INDEX(elec_project_emissions,MATCH(Elec_scenario&amp;'Additional Impact Indicators'!$B39,INDEX(Electricity_projection,0,3),0)-1,0)),Delay_emissions_table[Consumption of electricity (MJ) - Tertiary Scenario],IF(Delay_emissions_table[Form of Maintenance - Tertiary Scenario]="Life Extension",1,0)),0))*Area_trans*Time_adj_Tert</f>
        <v>0</v>
      </c>
      <c r="EG39" s="251" cm="1">
        <f t="array" aca="1" ref="EG39" ca="1">(SUMPRODUCT(Delay_emissions_table[Consumption of Diesel (kg) - Tertiary Scenario],IF(Delay_emissions_table[Form of Maintenance - Tertiary Scenario]="Replacement",1,0))*INDEX(Indicators,MATCH('Additional Impact Indicators'!$A39,Materials!$D:$D,0),MATCH("diesel combustion",Materials!$1:$1,0))+SUMPRODUCT(Delay_emissions_table[Consumption of Petrol (kg) - Tertiary Scenario],IF(Delay_emissions_table[Form of Maintenance - Tertiary Scenario]="Replacement",1,0))*INDEX(Indicators,MATCH('Additional Impact Indicators'!$A39,Materials!$D:$D,0),MATCH("petrol combustion",Materials!$1:$1,0))+IFERROR(SUMPRODUCT(TRANSPOSE(INDEX(elec_project_emissions,MATCH(Elec_scenario&amp;'Additional Impact Indicators'!$B39,INDEX(Electricity_projection,0,3),0)-1,0)),Delay_emissions_table[Consumption of electricity (MJ) - Tertiary Scenario],IF(Delay_emissions_table[Form of Maintenance - Tertiary Scenario]="Replacement",1,0)),0))*Area_trans*Time_adj_Tert</f>
        <v>0</v>
      </c>
      <c r="EH39" s="252" t="e" cm="1">
        <f t="array" ref="EH3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39" s="252" t="e" cm="1">
        <f t="array" ref="EI3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39" s="253" t="e" cm="1">
        <f t="array" ref="EJ3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39" s="253" t="e" cm="1">
        <f t="array" ref="EK3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39" t="e">
        <f ca="1">SUMIF(Table611[[#This Row],[Raw-Materials]:[Transport to recycling facility]],"&lt;&gt;#N/A")</f>
        <v>#DIV/0!</v>
      </c>
    </row>
    <row r="40" spans="1:142" x14ac:dyDescent="0.35">
      <c r="A40" t="s">
        <v>530</v>
      </c>
      <c r="B40" t="s">
        <v>531</v>
      </c>
      <c r="C40" t="str">
        <f t="shared" si="1"/>
        <v>A2</v>
      </c>
      <c r="D40" t="s">
        <v>485</v>
      </c>
      <c r="F40">
        <f>MATCH(Impacts_Additional[[#This Row],[Indicator]],Material_Impacts[Look up],0)</f>
        <v>84</v>
      </c>
      <c r="G40" s="246" cm="1">
        <f t="array" aca="1" ref="G4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0" s="166" cm="1">
        <f t="array" ref="H4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0" s="166" t="e">
        <f>Diesel_RawM_Prim*INDEX(Indicators,MATCH(Impacts_Additional[[#This Row],[Indicator]],Materials!$D:$D,0),MATCH("Diesel Combustion",Materials!$1:$1,0))*Diesel_density*Project_Area*Prim_Lays*Area_trans</f>
        <v>#DIV/0!</v>
      </c>
      <c r="J40" s="20" t="e" cm="1">
        <f t="array" aca="1" ref="J4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0" s="20" t="e" cm="1">
        <f t="array" aca="1" ref="K4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0" s="20" t="e" cm="1">
        <f t="array" aca="1" ref="L4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0" s="20" t="e" cm="1">
        <f t="array" aca="1" ref="M4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0" s="20" t="e" cm="1">
        <f t="array" aca="1" ref="N4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0" s="20" t="e" cm="1">
        <f t="array" aca="1" ref="O4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0" s="20" t="e" cm="1">
        <f t="array" aca="1" ref="P4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0" s="20" t="e" cm="1">
        <f t="array" aca="1" ref="Q4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0" s="20" t="e" cm="1">
        <f t="array" aca="1" ref="R4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0" s="20" t="e" cm="1">
        <f t="array" aca="1" ref="S4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0" s="20" t="e" cm="1">
        <f t="array" aca="1" ref="T4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0" s="20" t="e" cm="1">
        <f t="array" aca="1" ref="U4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0" s="20" t="e" cm="1">
        <f t="array" aca="1" ref="V4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0" s="20" t="e" cm="1">
        <f t="array" aca="1" ref="W4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0" s="20" t="e" cm="1">
        <f t="array" aca="1" ref="X4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0" s="20" t="e" cm="1">
        <f t="array" aca="1" ref="Y4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0" s="20" t="e" cm="1">
        <f t="array" aca="1" ref="Z4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0" s="20" t="e" cm="1">
        <f t="array" aca="1" ref="AA4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0" s="20" t="e" cm="1">
        <f t="array" aca="1" ref="AB4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0" s="20" t="e" cm="1">
        <f t="array" aca="1" ref="AC4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0" s="20" t="e" cm="1">
        <f t="array" aca="1" ref="AD4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0" s="20" t="e" cm="1">
        <f t="array" aca="1" ref="AE4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0" s="20" t="e" cm="1">
        <f t="array" aca="1" ref="AF4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0" s="20" t="e" cm="1">
        <f t="array" aca="1" ref="AG4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0" s="20" t="e" cm="1">
        <f t="array" aca="1" ref="AH4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0" s="20" t="e" cm="1">
        <f t="array" aca="1" ref="AI4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0" s="20" t="e" cm="1">
        <f t="array" aca="1" ref="AJ4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0" s="166" cm="1">
        <f t="array" aca="1" ref="AK40" ca="1">((E_modulus_Prim/40114)^-0.25)*((Subgrade_stiffness_Prim/35)^-0.25)*((Surface_thickness_Prim/0.22)^-0.75)*Area_trans*delflec_switch*SUM((INDEX(PVI_vehicle_EFC,1,1)/INDEX(PVI_fuel_energy_density,1,1))*(INDEX(Indicators,MATCH('Additional Impact Indicators'!$A40,Materials!$D:$D,0),MATCH("diesel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Indicators'!$A40,Materials!$D:$D,0),MATCH("bio-diesel combustion",Materials!$1:$1,0))*((1-enviro_disc)^Handle_years)*Handle_electricity_emissions:OFFSET(Handle_electricity_emissions,0,Results_timespan-1)^0)*OFFSET(Handle_traffic_fleet,6,0):OFFSET(Handle_traffic_fleet,6,Results_timespan-1))</f>
        <v>0</v>
      </c>
      <c r="AL40" s="166" cm="1">
        <f t="array" aca="1" ref="AL4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0" s="247" cm="1">
        <f t="array" aca="1" ref="AM40" ca="1">(SUMPRODUCT(Delay_emissions_table[Consumption of Diesel (kg) - Primary Scenario],IF(Delay_emissions_table[Form of Maintenance - Primary Scenario]="Life Extension",1,0))*INDEX(Indicators,MATCH('Additional Impact Indicators'!$A40,Materials!$D:$D,0),MATCH("diesel combustion",Materials!$1:$1,0))+SUMPRODUCT(Delay_emissions_table[Consumption of Petrol (kg) - Primary Scenario],IF(Delay_emissions_table[Form of Maintenance - Primary Scenario]="Life Extension",1,0))*INDEX(Indicators,MATCH('Additional Impact Indicators'!$A40,Materials!$D:$D,0),MATCH("petrol combustion",Materials!$1:$1,0))+IFERROR(SUMPRODUCT(TRANSPOSE(INDEX(elec_project_emissions,MATCH(Elec_scenario&amp;'Additional Impact Indicators'!$B40,INDEX(Electricity_projection,0,3),0)-1,0)),Delay_emissions_table[Consumption of electricity (MJ) - Primary Scenario],IF(Delay_emissions_table[Form of Maintenance - Primary Scenario]="Life Extension",1,0)),0))*Area_trans*Time_adj_Prim</f>
        <v>0</v>
      </c>
      <c r="AN40" s="247" cm="1">
        <f t="array" aca="1" ref="AN40" ca="1">(SUMPRODUCT(Delay_emissions_table[Consumption of Diesel (kg) - Primary Scenario],IF(Delay_emissions_table[Form of Maintenance - Primary Scenario]="Replacement",1,0))*INDEX(Indicators,MATCH('Additional Impact Indicators'!$A40,Materials!$D:$D,0),MATCH("diesel combustion",Materials!$1:$1,0))+SUMPRODUCT(Delay_emissions_table[Consumption of Petrol (kg) - Primary Scenario],IF(Delay_emissions_table[Form of Maintenance - Primary Scenario]="Replacement",1,0))*INDEX(Indicators,MATCH('Additional Impact Indicators'!$A40,Materials!$D:$D,0),MATCH("petrol combustion",Materials!$1:$1,0))+IFERROR(SUMPRODUCT(TRANSPOSE(INDEX(elec_project_emissions,MATCH(Elec_scenario&amp;'Additional Impact Indicators'!$B40,INDEX(Electricity_projection,0,3),0)-1,0)),Delay_emissions_table[Consumption of electricity (MJ) - Primary Scenario],IF(Delay_emissions_table[Form of Maintenance - Primary Scenario]="Replacement",1,0)),0))*Area_trans*Time_adj_Prim</f>
        <v>0</v>
      </c>
      <c r="AO40" s="248" t="e" cm="1">
        <f t="array" ref="AO4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0" s="248" t="e" cm="1">
        <f t="array" ref="AP4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0" s="249" t="e" cm="1">
        <f t="array" ref="AQ4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0" s="386" t="e" cm="1">
        <f t="array" ref="AR4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0" t="e">
        <f ca="1">SUMIF('Additional Impact Indicators'!$G40:$AQ40,"&lt;&gt;#N/A")</f>
        <v>#DIV/0!</v>
      </c>
      <c r="AW40" t="s">
        <v>530</v>
      </c>
      <c r="AX40" t="s">
        <v>531</v>
      </c>
      <c r="AY40" t="str">
        <f t="shared" si="2"/>
        <v>A2</v>
      </c>
      <c r="AZ40" t="s">
        <v>485</v>
      </c>
      <c r="BB40">
        <f>MATCH(Table3[[#This Row],[Indicator]],Material_Impacts[Look up],0)</f>
        <v>84</v>
      </c>
      <c r="BC40" s="246" cm="1">
        <f t="array" aca="1" ref="BC4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0" s="166" cm="1">
        <f t="array" ref="BD4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0" s="166" t="e">
        <f>Diesel_RawM_Sec*INDEX(Indicators,MATCH(Impacts_Additional[[#This Row],[Indicator]],Materials!$D:$D,0),MATCH("Diesel Combustion",Materials!$1:$1,0))*Diesel_density*Project_Area*Sec_Lays*Area_trans</f>
        <v>#DIV/0!</v>
      </c>
      <c r="BF40" s="35" t="e" cm="1">
        <f t="array" aca="1" ref="BF4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0" s="35" t="e" cm="1">
        <f t="array" aca="1" ref="BG4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0" t="e" cm="1">
        <f t="array" aca="1" ref="BH4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0" s="35" t="e" cm="1">
        <f t="array" aca="1" ref="BI4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0" s="35" t="e" cm="1">
        <f t="array" aca="1" ref="BJ4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0" t="e" cm="1">
        <f t="array" aca="1" ref="BK4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0" s="35" t="e" cm="1">
        <f t="array" aca="1" ref="BL4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0" s="35" t="e" cm="1">
        <f t="array" aca="1" ref="BM4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0" t="e" cm="1">
        <f t="array" aca="1" ref="BN4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0" s="35" t="e" cm="1">
        <f t="array" aca="1" ref="BO4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0" s="35" t="e" cm="1">
        <f t="array" aca="1" ref="BP4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0" t="e" cm="1">
        <f t="array" aca="1" ref="BQ4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0" s="35" t="e" cm="1">
        <f t="array" aca="1" ref="BR4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0" s="35" t="e" cm="1">
        <f t="array" aca="1" ref="BS4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0" t="e" cm="1">
        <f t="array" aca="1" ref="BT4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0" s="35" t="e" cm="1">
        <f t="array" aca="1" ref="BU4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0" s="35" t="e" cm="1">
        <f t="array" aca="1" ref="BV4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0" t="e" cm="1">
        <f t="array" aca="1" ref="BW4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0" s="35" t="e" cm="1">
        <f t="array" aca="1" ref="BX4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0" s="35" t="e" cm="1">
        <f t="array" aca="1" ref="BY4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0" t="e" cm="1">
        <f t="array" aca="1" ref="BZ4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0" s="35" t="e" cm="1">
        <f t="array" aca="1" ref="CA4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0" s="35" t="e" cm="1">
        <f t="array" aca="1" ref="CB4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0" t="e" cm="1">
        <f t="array" aca="1" ref="CC4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0" s="35" t="e" cm="1">
        <f t="array" aca="1" ref="CD4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0" s="35" t="e" cm="1">
        <f t="array" aca="1" ref="CE4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0" t="e" cm="1">
        <f t="array" aca="1" ref="CF4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0" s="166" cm="1">
        <f t="array" aca="1" ref="CG40" ca="1">((E_modulus_Sec/40114)^-0.25)*((Subgrade_stiffness_Sec/35)^-0.25)*((Surface_thickness_Sec/0.22)^-0.75)*Area_trans*delflec_switch*SUM((INDEX(PVI_vehicle_EFC,1,1)/INDEX(PVI_fuel_energy_density,1,1))*(INDEX(Indicators,MATCH('Additional Impact Indicators'!$A40,Materials!$D:$D,0),MATCH("diesel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Indicators'!$A40,Materials!$D:$D,0),MATCH("bio-diesel combustion",Materials!$1:$1,0))*((1-enviro_disc)^Handle_years)*Handle_electricity_emissions:OFFSET(Handle_electricity_emissions,0,Results_timespan-1)^0)*OFFSET(Handle_traffic_fleet,6,0):OFFSET(Handle_traffic_fleet,6,Results_timespan-1))</f>
        <v>0</v>
      </c>
      <c r="CH40" s="375" cm="1">
        <f t="array" aca="1" ref="CH4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0" s="247" cm="1">
        <f t="array" aca="1" ref="CI40" ca="1">(SUMPRODUCT(Delay_emissions_table[Consumption of Diesel (kg) - Secondary Scenario],IF(Delay_emissions_table[Form of Maintenance - Secondary Scenario]="Life Extension",1,0))*INDEX(Indicators,MATCH('Additional Impact Indicators'!$A40,Materials!$D:$D,0),MATCH("diesel combustion",Materials!$1:$1,0))+SUMPRODUCT(Delay_emissions_table[Consumption of Petrol (kg) - Secondary Scenario],IF(Delay_emissions_table[Form of Maintenance - Secondary Scenario]="Life Extension",1,0))*INDEX(Indicators,MATCH('Additional Impact Indicators'!$A40,Materials!$D:$D,0),MATCH("petrol combustion",Materials!$1:$1,0))+IFERROR(SUMPRODUCT(TRANSPOSE(INDEX(elec_project_emissions,MATCH(Elec_scenario&amp;'Additional Impact Indicators'!$B40,INDEX(Electricity_projection,0,3),0)-1,0)),Delay_emissions_table[Consumption of electricity (MJ) - Secondary Scenario],IF(Delay_emissions_table[Form of Maintenance - Secondary Scenario]="Life Extension",1,0)),0))*Area_trans*time_adj_Sec</f>
        <v>0</v>
      </c>
      <c r="CJ40" s="247" cm="1">
        <f t="array" aca="1" ref="CJ40" ca="1">(SUMPRODUCT(Delay_emissions_table[Consumption of Diesel (kg) - Secondary Scenario],IF(Delay_emissions_table[Form of Maintenance - Secondary Scenario]="Replacement",1,0))*INDEX(Indicators,MATCH('Additional Impact Indicators'!$A40,Materials!$D:$D,0),MATCH("diesel combustion",Materials!$1:$1,0))+SUMPRODUCT(Delay_emissions_table[Consumption of Petrol (kg) - Secondary Scenario],IF(Delay_emissions_table[Form of Maintenance - Secondary Scenario]="Replacement",1,0))*INDEX(Indicators,MATCH('Additional Impact Indicators'!$A40,Materials!$D:$D,0),MATCH("petrol combustion",Materials!$1:$1,0))+IFERROR(SUMPRODUCT(TRANSPOSE(INDEX(elec_project_emissions,MATCH(Elec_scenario&amp;'Additional Impact Indicators'!$B40,INDEX(Electricity_projection,0,3),0)-1,0)),Delay_emissions_table[Consumption of electricity (MJ) - Secondary Scenario],IF(Delay_emissions_table[Form of Maintenance - Secondary Scenario]="Replacement",1,0)),0))*Area_trans*time_adj_Sec</f>
        <v>0</v>
      </c>
      <c r="CK40" s="248" t="e" cm="1">
        <f t="array" ref="CK4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0" s="248" t="e" cm="1">
        <f t="array" ref="CL4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0" s="249" t="e" cm="1">
        <f t="array" ref="CM4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0" s="387" t="e" cm="1">
        <f t="array" ref="CN4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0" s="51" t="e">
        <f ca="1">SUMIF(Table3[[#This Row],[Raw-Materials]:[Transport to recycling facility]],"&lt;&gt;#N/A")</f>
        <v>#DIV/0!</v>
      </c>
      <c r="CT40" t="s">
        <v>530</v>
      </c>
      <c r="CU40" t="s">
        <v>531</v>
      </c>
      <c r="CV40" t="str">
        <f t="shared" si="3"/>
        <v>A2</v>
      </c>
      <c r="CW40" t="s">
        <v>485</v>
      </c>
      <c r="CY40">
        <f>MATCH(Table611[[#This Row],[Indicator]],Material_Impacts[Look up],0)</f>
        <v>84</v>
      </c>
      <c r="CZ40" s="246" cm="1">
        <f t="array" aca="1" ref="CZ4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0" s="166" cm="1">
        <f t="array" ref="DA4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0" s="166" t="e">
        <f>Diesel_RawM_Tert*INDEX(Indicators,MATCH(Impacts_Additional[[#This Row],[Indicator]],Materials!$D:$D,0),MATCH("Diesel Combustion",Materials!$1:$1,0))*Diesel_density*Project_Area*Tert_Lays*Area_trans</f>
        <v>#DIV/0!</v>
      </c>
      <c r="DC40" s="35" t="e" cm="1">
        <f t="array" aca="1" ref="DC4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0" s="35" t="e" cm="1">
        <f t="array" aca="1" ref="DD4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0" t="e" cm="1">
        <f t="array" aca="1" ref="DE4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0" s="35" t="e" cm="1">
        <f t="array" aca="1" ref="DF4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0" s="35" t="e" cm="1">
        <f t="array" aca="1" ref="DG4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0" t="e" cm="1">
        <f t="array" aca="1" ref="DH4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0" s="35" t="e" cm="1">
        <f t="array" aca="1" ref="DI4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0" s="35" t="e" cm="1">
        <f t="array" aca="1" ref="DJ4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0" t="e" cm="1">
        <f t="array" aca="1" ref="DK4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0" s="35" t="e" cm="1">
        <f t="array" aca="1" ref="DL4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0" s="35" t="e" cm="1">
        <f t="array" aca="1" ref="DM4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0" t="e" cm="1">
        <f t="array" aca="1" ref="DN4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0" s="35" t="e" cm="1">
        <f t="array" aca="1" ref="DO4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0" s="35" t="e" cm="1">
        <f t="array" aca="1" ref="DP4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0" t="e" cm="1">
        <f t="array" aca="1" ref="DQ4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0" s="35" t="e" cm="1">
        <f t="array" aca="1" ref="DR4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0" s="35" t="e" cm="1">
        <f t="array" aca="1" ref="DS4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0" t="e" cm="1">
        <f t="array" aca="1" ref="DT4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0" s="35" t="e" cm="1">
        <f t="array" aca="1" ref="DU4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0" s="35" t="e" cm="1">
        <f t="array" aca="1" ref="DV4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0" t="e" cm="1">
        <f t="array" aca="1" ref="DW4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0" s="35" t="e" cm="1">
        <f t="array" aca="1" ref="DX4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0" s="35" t="e" cm="1">
        <f t="array" aca="1" ref="DY4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0" t="e" cm="1">
        <f t="array" aca="1" ref="DZ4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0" s="35" t="e" cm="1">
        <f t="array" aca="1" ref="EA4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0" s="35" t="e" cm="1">
        <f t="array" aca="1" ref="EB4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0" t="e" cm="1">
        <f t="array" aca="1" ref="EC4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0" s="166" cm="1">
        <f t="array" aca="1" ref="ED40" ca="1">((E_modulus_Tert/40114)^-0.25)*((Subgrade_stiffness_Tert/35)^-0.25)*((Surface_thickness_Tert/0.22)^-0.75)*Area_trans*delflec_switch*SUM((INDEX(PVI_vehicle_EFC,1,1)/INDEX(PVI_fuel_energy_density,1,1))*(INDEX(Indicators,MATCH('Additional Impact Indicators'!$A40,Materials!$D:$D,0),MATCH("diesel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Indicators'!$A40,Materials!$D:$D,0),MATCH("petrol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Indicators'!$A40,Materials!$D:$D,0),MATCH("diesel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Indicators'!$A40,Materials!$D:$D,0),MATCH("petrol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Indicators'!$A40,Materials!$D:$D,0),MATCH("bio-diesel combustion",Materials!$1:$1,0))*((1-enviro_disc)^Handle_years)*Handle_electricity_emissions:OFFSET(Handle_electricity_emissions,0,Results_timespan-1)^0)*OFFSET(Handle_traffic_fleet,6,0):OFFSET(Handle_traffic_fleet,6,Results_timespan-1))</f>
        <v>0</v>
      </c>
      <c r="EE40" s="375" cm="1">
        <f t="array" aca="1" ref="EE4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0" s="247" cm="1">
        <f t="array" aca="1" ref="EF40" ca="1">(SUMPRODUCT(Delay_emissions_table[Consumption of Diesel (kg) - Tertiary Scenario],IF(Delay_emissions_table[Form of Maintenance - Tertiary Scenario]="Life Extension",1,0))*INDEX(Indicators,MATCH('Additional Impact Indicators'!$A40,Materials!$D:$D,0),MATCH("diesel combustion",Materials!$1:$1,0))+SUMPRODUCT(Delay_emissions_table[Consumption of Petrol (kg) - Tertiary Scenario],IF(Delay_emissions_table[Form of Maintenance - Tertiary Scenario]="Life Extension",1,0))*INDEX(Indicators,MATCH('Additional Impact Indicators'!$A40,Materials!$D:$D,0),MATCH("petrol combustion",Materials!$1:$1,0))+IFERROR(SUMPRODUCT(TRANSPOSE(INDEX(elec_project_emissions,MATCH(Elec_scenario&amp;'Additional Impact Indicators'!$B40,INDEX(Electricity_projection,0,3),0)-1,0)),Delay_emissions_table[Consumption of electricity (MJ) - Tertiary Scenario],IF(Delay_emissions_table[Form of Maintenance - Tertiary Scenario]="Life Extension",1,0)),0))*Area_trans*Time_adj_Tert</f>
        <v>0</v>
      </c>
      <c r="EG40" s="247" cm="1">
        <f t="array" aca="1" ref="EG40" ca="1">(SUMPRODUCT(Delay_emissions_table[Consumption of Diesel (kg) - Tertiary Scenario],IF(Delay_emissions_table[Form of Maintenance - Tertiary Scenario]="Replacement",1,0))*INDEX(Indicators,MATCH('Additional Impact Indicators'!$A40,Materials!$D:$D,0),MATCH("diesel combustion",Materials!$1:$1,0))+SUMPRODUCT(Delay_emissions_table[Consumption of Petrol (kg) - Tertiary Scenario],IF(Delay_emissions_table[Form of Maintenance - Tertiary Scenario]="Replacement",1,0))*INDEX(Indicators,MATCH('Additional Impact Indicators'!$A40,Materials!$D:$D,0),MATCH("petrol combustion",Materials!$1:$1,0))+IFERROR(SUMPRODUCT(TRANSPOSE(INDEX(elec_project_emissions,MATCH(Elec_scenario&amp;'Additional Impact Indicators'!$B40,INDEX(Electricity_projection,0,3),0)-1,0)),Delay_emissions_table[Consumption of electricity (MJ) - Tertiary Scenario],IF(Delay_emissions_table[Form of Maintenance - Tertiary Scenario]="Replacement",1,0)),0))*Area_trans*Time_adj_Tert</f>
        <v>0</v>
      </c>
      <c r="EH40" s="248" t="e" cm="1">
        <f t="array" ref="EH4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0" s="248" t="e" cm="1">
        <f t="array" ref="EI4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0" s="249" t="e" cm="1">
        <f t="array" ref="EJ4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0" s="249" t="e" cm="1">
        <f t="array" ref="EK4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0" t="e">
        <f ca="1">SUMIF(Table611[[#This Row],[Raw-Materials]:[Transport to recycling facility]],"&lt;&gt;#N/A")</f>
        <v>#DIV/0!</v>
      </c>
    </row>
    <row r="41" spans="1:142" x14ac:dyDescent="0.35">
      <c r="A41" s="155" t="s">
        <v>532</v>
      </c>
      <c r="B41" s="155" t="s">
        <v>406</v>
      </c>
      <c r="C41" s="155" t="str">
        <f t="shared" si="1"/>
        <v>A2</v>
      </c>
      <c r="D41" s="155" t="s">
        <v>485</v>
      </c>
      <c r="E41" s="155"/>
      <c r="F41">
        <f>MATCH(Impacts_Additional[[#This Row],[Indicator]],Material_Impacts[Look up],0)</f>
        <v>85</v>
      </c>
      <c r="G41" s="246" cm="1">
        <f t="array" aca="1" ref="G4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1" s="165" cm="1">
        <f t="array" ref="H4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1" s="165" t="e">
        <f>Diesel_RawM_Prim*INDEX(Indicators,MATCH(Impacts_Additional[[#This Row],[Indicator]],Materials!$D:$D,0),MATCH("Diesel Combustion",Materials!$1:$1,0))*Diesel_density*Project_Area*Prim_Lays*Area_trans</f>
        <v>#DIV/0!</v>
      </c>
      <c r="J41" s="250" t="e" cm="1">
        <f t="array" aca="1" ref="J4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1" s="250" t="e" cm="1">
        <f t="array" aca="1" ref="K4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1" s="250" t="e" cm="1">
        <f t="array" aca="1" ref="L4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1" s="250" t="e" cm="1">
        <f t="array" aca="1" ref="M4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1" s="250" t="e" cm="1">
        <f t="array" aca="1" ref="N4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1" s="250" t="e" cm="1">
        <f t="array" aca="1" ref="O4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1" s="250" t="e" cm="1">
        <f t="array" aca="1" ref="P4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1" s="250" t="e" cm="1">
        <f t="array" aca="1" ref="Q4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1" s="250" t="e" cm="1">
        <f t="array" aca="1" ref="R4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1" s="250" t="e" cm="1">
        <f t="array" aca="1" ref="S4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1" s="250" t="e" cm="1">
        <f t="array" aca="1" ref="T4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1" s="250" t="e" cm="1">
        <f t="array" aca="1" ref="U4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1" s="250" t="e" cm="1">
        <f t="array" aca="1" ref="V4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1" s="250" t="e" cm="1">
        <f t="array" aca="1" ref="W4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1" s="250" t="e" cm="1">
        <f t="array" aca="1" ref="X4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1" s="250" t="e" cm="1">
        <f t="array" aca="1" ref="Y4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1" s="250" t="e" cm="1">
        <f t="array" aca="1" ref="Z4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1" s="250" t="e" cm="1">
        <f t="array" aca="1" ref="AA4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1" s="250" t="e" cm="1">
        <f t="array" aca="1" ref="AB4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1" s="250" t="e" cm="1">
        <f t="array" aca="1" ref="AC4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1" s="250" t="e" cm="1">
        <f t="array" aca="1" ref="AD4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1" s="250" t="e" cm="1">
        <f t="array" aca="1" ref="AE4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1" s="250" t="e" cm="1">
        <f t="array" aca="1" ref="AF4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1" s="250" t="e" cm="1">
        <f t="array" aca="1" ref="AG4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1" s="250" t="e" cm="1">
        <f t="array" aca="1" ref="AH4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1" s="250" t="e" cm="1">
        <f t="array" aca="1" ref="AI4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1" s="250" t="e" cm="1">
        <f t="array" aca="1" ref="AJ4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1" s="165" cm="1">
        <f t="array" aca="1" ref="AK41" ca="1">((E_modulus_Prim/40114)^-0.25)*((Subgrade_stiffness_Prim/35)^-0.25)*((Surface_thickness_Prim/0.22)^-0.75)*Area_trans*delflec_switch*SUM((INDEX(PVI_vehicle_EFC,1,1)/INDEX(PVI_fuel_energy_density,1,1))*(INDEX(Indicators,MATCH('Additional Impact Indicators'!$A41,Materials!$D:$D,0),MATCH("diesel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Indicators'!$A41,Materials!$D:$D,0),MATCH("bio-diesel combustion",Materials!$1:$1,0))*((1-enviro_disc)^Handle_years)*Handle_electricity_emissions:OFFSET(Handle_electricity_emissions,0,Results_timespan-1)^0)*OFFSET(Handle_traffic_fleet,6,0):OFFSET(Handle_traffic_fleet,6,Results_timespan-1))</f>
        <v>0</v>
      </c>
      <c r="AL41" s="165" cm="1">
        <f t="array" aca="1" ref="AL4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1" s="251" cm="1">
        <f t="array" aca="1" ref="AM41" ca="1">(SUMPRODUCT(Delay_emissions_table[Consumption of Diesel (kg) - Primary Scenario],IF(Delay_emissions_table[Form of Maintenance - Primary Scenario]="Life Extension",1,0))*INDEX(Indicators,MATCH('Additional Impact Indicators'!$A41,Materials!$D:$D,0),MATCH("diesel combustion",Materials!$1:$1,0))+SUMPRODUCT(Delay_emissions_table[Consumption of Petrol (kg) - Primary Scenario],IF(Delay_emissions_table[Form of Maintenance - Primary Scenario]="Life Extension",1,0))*INDEX(Indicators,MATCH('Additional Impact Indicators'!$A41,Materials!$D:$D,0),MATCH("petrol combustion",Materials!$1:$1,0))+IFERROR(SUMPRODUCT(TRANSPOSE(INDEX(elec_project_emissions,MATCH(Elec_scenario&amp;'Additional Impact Indicators'!$B41,INDEX(Electricity_projection,0,3),0)-1,0)),Delay_emissions_table[Consumption of electricity (MJ) - Primary Scenario],IF(Delay_emissions_table[Form of Maintenance - Primary Scenario]="Life Extension",1,0)),0))*Area_trans*Time_adj_Prim</f>
        <v>0</v>
      </c>
      <c r="AN41" s="251" cm="1">
        <f t="array" aca="1" ref="AN41" ca="1">(SUMPRODUCT(Delay_emissions_table[Consumption of Diesel (kg) - Primary Scenario],IF(Delay_emissions_table[Form of Maintenance - Primary Scenario]="Replacement",1,0))*INDEX(Indicators,MATCH('Additional Impact Indicators'!$A41,Materials!$D:$D,0),MATCH("diesel combustion",Materials!$1:$1,0))+SUMPRODUCT(Delay_emissions_table[Consumption of Petrol (kg) - Primary Scenario],IF(Delay_emissions_table[Form of Maintenance - Primary Scenario]="Replacement",1,0))*INDEX(Indicators,MATCH('Additional Impact Indicators'!$A41,Materials!$D:$D,0),MATCH("petrol combustion",Materials!$1:$1,0))+IFERROR(SUMPRODUCT(TRANSPOSE(INDEX(elec_project_emissions,MATCH(Elec_scenario&amp;'Additional Impact Indicators'!$B41,INDEX(Electricity_projection,0,3),0)-1,0)),Delay_emissions_table[Consumption of electricity (MJ) - Primary Scenario],IF(Delay_emissions_table[Form of Maintenance - Primary Scenario]="Replacement",1,0)),0))*Area_trans*Time_adj_Prim</f>
        <v>0</v>
      </c>
      <c r="AO41" s="252" t="e" cm="1">
        <f t="array" ref="AO4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1" s="252" t="e" cm="1">
        <f t="array" ref="AP4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1" s="253" t="e" cm="1">
        <f t="array" ref="AQ4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1" s="385" t="e" cm="1">
        <f t="array" ref="AR4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1" t="e">
        <f ca="1">SUMIF('Additional Impact Indicators'!$G41:$AQ41,"&lt;&gt;#N/A")</f>
        <v>#DIV/0!</v>
      </c>
      <c r="AW41" s="155" t="s">
        <v>532</v>
      </c>
      <c r="AX41" s="155" t="s">
        <v>406</v>
      </c>
      <c r="AY41" s="155" t="str">
        <f t="shared" si="2"/>
        <v>A2</v>
      </c>
      <c r="AZ41" s="155" t="s">
        <v>485</v>
      </c>
      <c r="BA41" s="155"/>
      <c r="BB41" s="155">
        <f>MATCH(Table3[[#This Row],[Indicator]],Material_Impacts[Look up],0)</f>
        <v>85</v>
      </c>
      <c r="BC41" s="246" cm="1">
        <f t="array" aca="1" ref="BC4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1" s="165" cm="1">
        <f t="array" ref="BD4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1" s="165" t="e">
        <f>Diesel_RawM_Sec*INDEX(Indicators,MATCH(Impacts_Additional[[#This Row],[Indicator]],Materials!$D:$D,0),MATCH("Diesel Combustion",Materials!$1:$1,0))*Diesel_density*Project_Area*Sec_Lays*Area_trans</f>
        <v>#DIV/0!</v>
      </c>
      <c r="BF41" s="35" t="e" cm="1">
        <f t="array" aca="1" ref="BF4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1" s="35" t="e" cm="1">
        <f t="array" aca="1" ref="BG4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1" t="e" cm="1">
        <f t="array" aca="1" ref="BH4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1" s="35" t="e" cm="1">
        <f t="array" aca="1" ref="BI4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1" s="35" t="e" cm="1">
        <f t="array" aca="1" ref="BJ4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1" t="e" cm="1">
        <f t="array" aca="1" ref="BK4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1" s="35" t="e" cm="1">
        <f t="array" aca="1" ref="BL4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1" s="35" t="e" cm="1">
        <f t="array" aca="1" ref="BM4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1" t="e" cm="1">
        <f t="array" aca="1" ref="BN4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1" s="35" t="e" cm="1">
        <f t="array" aca="1" ref="BO4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1" s="35" t="e" cm="1">
        <f t="array" aca="1" ref="BP4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1" t="e" cm="1">
        <f t="array" aca="1" ref="BQ4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1" s="35" t="e" cm="1">
        <f t="array" aca="1" ref="BR4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1" s="35" t="e" cm="1">
        <f t="array" aca="1" ref="BS4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1" t="e" cm="1">
        <f t="array" aca="1" ref="BT4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1" s="35" t="e" cm="1">
        <f t="array" aca="1" ref="BU4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1" s="35" t="e" cm="1">
        <f t="array" aca="1" ref="BV4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1" t="e" cm="1">
        <f t="array" aca="1" ref="BW4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1" s="35" t="e" cm="1">
        <f t="array" aca="1" ref="BX4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1" s="35" t="e" cm="1">
        <f t="array" aca="1" ref="BY4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1" t="e" cm="1">
        <f t="array" aca="1" ref="BZ4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1" s="35" t="e" cm="1">
        <f t="array" aca="1" ref="CA4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1" s="35" t="e" cm="1">
        <f t="array" aca="1" ref="CB4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1" t="e" cm="1">
        <f t="array" aca="1" ref="CC4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1" s="35" t="e" cm="1">
        <f t="array" aca="1" ref="CD4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1" s="35" t="e" cm="1">
        <f t="array" aca="1" ref="CE4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1" t="e" cm="1">
        <f t="array" aca="1" ref="CF4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1" s="165" cm="1">
        <f t="array" aca="1" ref="CG41" ca="1">((E_modulus_Sec/40114)^-0.25)*((Subgrade_stiffness_Sec/35)^-0.25)*((Surface_thickness_Sec/0.22)^-0.75)*Area_trans*delflec_switch*SUM((INDEX(PVI_vehicle_EFC,1,1)/INDEX(PVI_fuel_energy_density,1,1))*(INDEX(Indicators,MATCH('Additional Impact Indicators'!$A41,Materials!$D:$D,0),MATCH("diesel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Indicators'!$A41,Materials!$D:$D,0),MATCH("bio-diesel combustion",Materials!$1:$1,0))*((1-enviro_disc)^Handle_years)*Handle_electricity_emissions:OFFSET(Handle_electricity_emissions,0,Results_timespan-1)^0)*OFFSET(Handle_traffic_fleet,6,0):OFFSET(Handle_traffic_fleet,6,Results_timespan-1))</f>
        <v>0</v>
      </c>
      <c r="CH41" s="375" cm="1">
        <f t="array" aca="1" ref="CH4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1" s="251" cm="1">
        <f t="array" aca="1" ref="CI41" ca="1">(SUMPRODUCT(Delay_emissions_table[Consumption of Diesel (kg) - Secondary Scenario],IF(Delay_emissions_table[Form of Maintenance - Secondary Scenario]="Life Extension",1,0))*INDEX(Indicators,MATCH('Additional Impact Indicators'!$A41,Materials!$D:$D,0),MATCH("diesel combustion",Materials!$1:$1,0))+SUMPRODUCT(Delay_emissions_table[Consumption of Petrol (kg) - Secondary Scenario],IF(Delay_emissions_table[Form of Maintenance - Secondary Scenario]="Life Extension",1,0))*INDEX(Indicators,MATCH('Additional Impact Indicators'!$A41,Materials!$D:$D,0),MATCH("petrol combustion",Materials!$1:$1,0))+IFERROR(SUMPRODUCT(TRANSPOSE(INDEX(elec_project_emissions,MATCH(Elec_scenario&amp;'Additional Impact Indicators'!$B41,INDEX(Electricity_projection,0,3),0)-1,0)),Delay_emissions_table[Consumption of electricity (MJ) - Secondary Scenario],IF(Delay_emissions_table[Form of Maintenance - Secondary Scenario]="Life Extension",1,0)),0))*Area_trans*time_adj_Sec</f>
        <v>0</v>
      </c>
      <c r="CJ41" s="251" cm="1">
        <f t="array" aca="1" ref="CJ41" ca="1">(SUMPRODUCT(Delay_emissions_table[Consumption of Diesel (kg) - Secondary Scenario],IF(Delay_emissions_table[Form of Maintenance - Secondary Scenario]="Replacement",1,0))*INDEX(Indicators,MATCH('Additional Impact Indicators'!$A41,Materials!$D:$D,0),MATCH("diesel combustion",Materials!$1:$1,0))+SUMPRODUCT(Delay_emissions_table[Consumption of Petrol (kg) - Secondary Scenario],IF(Delay_emissions_table[Form of Maintenance - Secondary Scenario]="Replacement",1,0))*INDEX(Indicators,MATCH('Additional Impact Indicators'!$A41,Materials!$D:$D,0),MATCH("petrol combustion",Materials!$1:$1,0))+IFERROR(SUMPRODUCT(TRANSPOSE(INDEX(elec_project_emissions,MATCH(Elec_scenario&amp;'Additional Impact Indicators'!$B41,INDEX(Electricity_projection,0,3),0)-1,0)),Delay_emissions_table[Consumption of electricity (MJ) - Secondary Scenario],IF(Delay_emissions_table[Form of Maintenance - Secondary Scenario]="Replacement",1,0)),0))*Area_trans*time_adj_Sec</f>
        <v>0</v>
      </c>
      <c r="CK41" s="252" t="e" cm="1">
        <f t="array" ref="CK4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1" s="252" t="e" cm="1">
        <f t="array" ref="CL4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1" s="253" t="e" cm="1">
        <f t="array" ref="CM4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1" s="387" t="e" cm="1">
        <f t="array" ref="CN4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1" s="51" t="e">
        <f ca="1">SUMIF(Table3[[#This Row],[Raw-Materials]:[Transport to recycling facility]],"&lt;&gt;#N/A")</f>
        <v>#DIV/0!</v>
      </c>
      <c r="CT41" t="s">
        <v>532</v>
      </c>
      <c r="CU41" t="s">
        <v>406</v>
      </c>
      <c r="CV41" t="str">
        <f t="shared" si="3"/>
        <v>A2</v>
      </c>
      <c r="CW41" t="s">
        <v>485</v>
      </c>
      <c r="CY41">
        <f>MATCH(Table611[[#This Row],[Indicator]],Material_Impacts[Look up],0)</f>
        <v>85</v>
      </c>
      <c r="CZ41" s="246" cm="1">
        <f t="array" aca="1" ref="CZ4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1" s="165" cm="1">
        <f t="array" ref="DA4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1" s="165" t="e">
        <f>Diesel_RawM_Tert*INDEX(Indicators,MATCH(Impacts_Additional[[#This Row],[Indicator]],Materials!$D:$D,0),MATCH("Diesel Combustion",Materials!$1:$1,0))*Diesel_density*Project_Area*Tert_Lays*Area_trans</f>
        <v>#DIV/0!</v>
      </c>
      <c r="DC41" s="35" t="e" cm="1">
        <f t="array" aca="1" ref="DC4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1" s="35" t="e" cm="1">
        <f t="array" aca="1" ref="DD4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1" t="e" cm="1">
        <f t="array" aca="1" ref="DE4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1" s="35" t="e" cm="1">
        <f t="array" aca="1" ref="DF4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1" s="35" t="e" cm="1">
        <f t="array" aca="1" ref="DG4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1" t="e" cm="1">
        <f t="array" aca="1" ref="DH4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1" s="35" t="e" cm="1">
        <f t="array" aca="1" ref="DI4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1" s="35" t="e" cm="1">
        <f t="array" aca="1" ref="DJ4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1" t="e" cm="1">
        <f t="array" aca="1" ref="DK4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1" s="35" t="e" cm="1">
        <f t="array" aca="1" ref="DL4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1" s="35" t="e" cm="1">
        <f t="array" aca="1" ref="DM4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1" t="e" cm="1">
        <f t="array" aca="1" ref="DN4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1" s="35" t="e" cm="1">
        <f t="array" aca="1" ref="DO4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1" s="35" t="e" cm="1">
        <f t="array" aca="1" ref="DP4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1" t="e" cm="1">
        <f t="array" aca="1" ref="DQ4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1" s="35" t="e" cm="1">
        <f t="array" aca="1" ref="DR4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1" s="35" t="e" cm="1">
        <f t="array" aca="1" ref="DS4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1" t="e" cm="1">
        <f t="array" aca="1" ref="DT4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1" s="35" t="e" cm="1">
        <f t="array" aca="1" ref="DU4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1" s="35" t="e" cm="1">
        <f t="array" aca="1" ref="DV4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1" t="e" cm="1">
        <f t="array" aca="1" ref="DW4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1" s="35" t="e" cm="1">
        <f t="array" aca="1" ref="DX4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1" s="35" t="e" cm="1">
        <f t="array" aca="1" ref="DY4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1" t="e" cm="1">
        <f t="array" aca="1" ref="DZ4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1" s="35" t="e" cm="1">
        <f t="array" aca="1" ref="EA4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1" s="35" t="e" cm="1">
        <f t="array" aca="1" ref="EB4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1" t="e" cm="1">
        <f t="array" aca="1" ref="EC4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1" s="165" cm="1">
        <f t="array" aca="1" ref="ED41" ca="1">((E_modulus_Tert/40114)^-0.25)*((Subgrade_stiffness_Tert/35)^-0.25)*((Surface_thickness_Tert/0.22)^-0.75)*Area_trans*delflec_switch*SUM((INDEX(PVI_vehicle_EFC,1,1)/INDEX(PVI_fuel_energy_density,1,1))*(INDEX(Indicators,MATCH('Additional Impact Indicators'!$A41,Materials!$D:$D,0),MATCH("diesel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Indicators'!$A41,Materials!$D:$D,0),MATCH("petrol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Indicators'!$A41,Materials!$D:$D,0),MATCH("diesel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Indicators'!$A41,Materials!$D:$D,0),MATCH("petrol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Indicators'!$A41,Materials!$D:$D,0),MATCH("bio-diesel combustion",Materials!$1:$1,0))*((1-enviro_disc)^Handle_years)*Handle_electricity_emissions:OFFSET(Handle_electricity_emissions,0,Results_timespan-1)^0)*OFFSET(Handle_traffic_fleet,6,0):OFFSET(Handle_traffic_fleet,6,Results_timespan-1))</f>
        <v>0</v>
      </c>
      <c r="EE41" s="375" cm="1">
        <f t="array" aca="1" ref="EE4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1" s="251" cm="1">
        <f t="array" aca="1" ref="EF41" ca="1">(SUMPRODUCT(Delay_emissions_table[Consumption of Diesel (kg) - Tertiary Scenario],IF(Delay_emissions_table[Form of Maintenance - Tertiary Scenario]="Life Extension",1,0))*INDEX(Indicators,MATCH('Additional Impact Indicators'!$A41,Materials!$D:$D,0),MATCH("diesel combustion",Materials!$1:$1,0))+SUMPRODUCT(Delay_emissions_table[Consumption of Petrol (kg) - Tertiary Scenario],IF(Delay_emissions_table[Form of Maintenance - Tertiary Scenario]="Life Extension",1,0))*INDEX(Indicators,MATCH('Additional Impact Indicators'!$A41,Materials!$D:$D,0),MATCH("petrol combustion",Materials!$1:$1,0))+IFERROR(SUMPRODUCT(TRANSPOSE(INDEX(elec_project_emissions,MATCH(Elec_scenario&amp;'Additional Impact Indicators'!$B41,INDEX(Electricity_projection,0,3),0)-1,0)),Delay_emissions_table[Consumption of electricity (MJ) - Tertiary Scenario],IF(Delay_emissions_table[Form of Maintenance - Tertiary Scenario]="Life Extension",1,0)),0))*Area_trans*Time_adj_Tert</f>
        <v>0</v>
      </c>
      <c r="EG41" s="251" cm="1">
        <f t="array" aca="1" ref="EG41" ca="1">(SUMPRODUCT(Delay_emissions_table[Consumption of Diesel (kg) - Tertiary Scenario],IF(Delay_emissions_table[Form of Maintenance - Tertiary Scenario]="Replacement",1,0))*INDEX(Indicators,MATCH('Additional Impact Indicators'!$A41,Materials!$D:$D,0),MATCH("diesel combustion",Materials!$1:$1,0))+SUMPRODUCT(Delay_emissions_table[Consumption of Petrol (kg) - Tertiary Scenario],IF(Delay_emissions_table[Form of Maintenance - Tertiary Scenario]="Replacement",1,0))*INDEX(Indicators,MATCH('Additional Impact Indicators'!$A41,Materials!$D:$D,0),MATCH("petrol combustion",Materials!$1:$1,0))+IFERROR(SUMPRODUCT(TRANSPOSE(INDEX(elec_project_emissions,MATCH(Elec_scenario&amp;'Additional Impact Indicators'!$B41,INDEX(Electricity_projection,0,3),0)-1,0)),Delay_emissions_table[Consumption of electricity (MJ) - Tertiary Scenario],IF(Delay_emissions_table[Form of Maintenance - Tertiary Scenario]="Replacement",1,0)),0))*Area_trans*Time_adj_Tert</f>
        <v>0</v>
      </c>
      <c r="EH41" s="252" t="e" cm="1">
        <f t="array" ref="EH4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1" s="252" t="e" cm="1">
        <f t="array" ref="EI4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1" s="253" t="e" cm="1">
        <f t="array" ref="EJ4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1" s="253" t="e" cm="1">
        <f t="array" ref="EK4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1" t="e">
        <f ca="1">SUMIF(Table611[[#This Row],[Raw-Materials]:[Transport to recycling facility]],"&lt;&gt;#N/A")</f>
        <v>#DIV/0!</v>
      </c>
    </row>
    <row r="42" spans="1:142" x14ac:dyDescent="0.35">
      <c r="A42" t="s">
        <v>533</v>
      </c>
      <c r="B42" t="s">
        <v>534</v>
      </c>
      <c r="C42" t="str">
        <f t="shared" si="1"/>
        <v>A2</v>
      </c>
      <c r="D42" t="s">
        <v>485</v>
      </c>
      <c r="F42">
        <f>MATCH(Impacts_Additional[[#This Row],[Indicator]],Material_Impacts[Look up],0)</f>
        <v>86</v>
      </c>
      <c r="G42" s="246" cm="1">
        <f t="array" aca="1" ref="G4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2" s="166" cm="1">
        <f t="array" ref="H4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2" s="166" t="e">
        <f>Diesel_RawM_Prim*INDEX(Indicators,MATCH(Impacts_Additional[[#This Row],[Indicator]],Materials!$D:$D,0),MATCH("Diesel Combustion",Materials!$1:$1,0))*Diesel_density*Project_Area*Prim_Lays*Area_trans</f>
        <v>#DIV/0!</v>
      </c>
      <c r="J42" s="20" t="e" cm="1">
        <f t="array" aca="1" ref="J4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2" s="20" t="e" cm="1">
        <f t="array" aca="1" ref="K4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2" s="20" t="e" cm="1">
        <f t="array" aca="1" ref="L4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2" s="20" t="e" cm="1">
        <f t="array" aca="1" ref="M4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2" s="20" t="e" cm="1">
        <f t="array" aca="1" ref="N4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2" s="20" t="e" cm="1">
        <f t="array" aca="1" ref="O4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2" s="20" t="e" cm="1">
        <f t="array" aca="1" ref="P4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2" s="20" t="e" cm="1">
        <f t="array" aca="1" ref="Q4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2" s="20" t="e" cm="1">
        <f t="array" aca="1" ref="R4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2" s="20" t="e" cm="1">
        <f t="array" aca="1" ref="S4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2" s="20" t="e" cm="1">
        <f t="array" aca="1" ref="T4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2" s="20" t="e" cm="1">
        <f t="array" aca="1" ref="U4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2" s="20" t="e" cm="1">
        <f t="array" aca="1" ref="V4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2" s="20" t="e" cm="1">
        <f t="array" aca="1" ref="W4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2" s="20" t="e" cm="1">
        <f t="array" aca="1" ref="X4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2" s="20" t="e" cm="1">
        <f t="array" aca="1" ref="Y4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2" s="20" t="e" cm="1">
        <f t="array" aca="1" ref="Z4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2" s="20" t="e" cm="1">
        <f t="array" aca="1" ref="AA4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2" s="20" t="e" cm="1">
        <f t="array" aca="1" ref="AB4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2" s="20" t="e" cm="1">
        <f t="array" aca="1" ref="AC4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2" s="20" t="e" cm="1">
        <f t="array" aca="1" ref="AD4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2" s="20" t="e" cm="1">
        <f t="array" aca="1" ref="AE4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2" s="20" t="e" cm="1">
        <f t="array" aca="1" ref="AF4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2" s="20" t="e" cm="1">
        <f t="array" aca="1" ref="AG4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2" s="20" t="e" cm="1">
        <f t="array" aca="1" ref="AH4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2" s="20" t="e" cm="1">
        <f t="array" aca="1" ref="AI4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2" s="20" t="e" cm="1">
        <f t="array" aca="1" ref="AJ4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2" s="166"/>
      <c r="AL42" s="166" cm="1">
        <f t="array" aca="1" ref="AL4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2" s="247" cm="1">
        <f t="array" aca="1" ref="AM42" ca="1">(SUMPRODUCT(Delay_emissions_table[Consumption of Diesel (kg) - Primary Scenario],IF(Delay_emissions_table[Form of Maintenance - Primary Scenario]="Life Extension",1,0))*INDEX(Indicators,MATCH('Additional Impact Indicators'!$A42,Materials!$D:$D,0),MATCH("diesel combustion",Materials!$1:$1,0))+SUMPRODUCT(Delay_emissions_table[Consumption of Petrol (kg) - Primary Scenario],IF(Delay_emissions_table[Form of Maintenance - Primary Scenario]="Life Extension",1,0))*INDEX(Indicators,MATCH('Additional Impact Indicators'!$A42,Materials!$D:$D,0),MATCH("petrol combustion",Materials!$1:$1,0))+IFERROR(SUMPRODUCT(TRANSPOSE(INDEX(elec_project_emissions,MATCH(Elec_scenario&amp;'Additional Impact Indicators'!$B42,INDEX(Electricity_projection,0,3),0)-1,0)),Delay_emissions_table[Consumption of electricity (MJ) - Primary Scenario],IF(Delay_emissions_table[Form of Maintenance - Primary Scenario]="Life Extension",1,0)),0))*Area_trans*Time_adj_Prim</f>
        <v>0</v>
      </c>
      <c r="AN42" s="247" cm="1">
        <f t="array" aca="1" ref="AN42" ca="1">(SUMPRODUCT(Delay_emissions_table[Consumption of Diesel (kg) - Primary Scenario],IF(Delay_emissions_table[Form of Maintenance - Primary Scenario]="Replacement",1,0))*INDEX(Indicators,MATCH('Additional Impact Indicators'!$A42,Materials!$D:$D,0),MATCH("diesel combustion",Materials!$1:$1,0))+SUMPRODUCT(Delay_emissions_table[Consumption of Petrol (kg) - Primary Scenario],IF(Delay_emissions_table[Form of Maintenance - Primary Scenario]="Replacement",1,0))*INDEX(Indicators,MATCH('Additional Impact Indicators'!$A42,Materials!$D:$D,0),MATCH("petrol combustion",Materials!$1:$1,0))+IFERROR(SUMPRODUCT(TRANSPOSE(INDEX(elec_project_emissions,MATCH(Elec_scenario&amp;'Additional Impact Indicators'!$B42,INDEX(Electricity_projection,0,3),0)-1,0)),Delay_emissions_table[Consumption of electricity (MJ) - Primary Scenario],IF(Delay_emissions_table[Form of Maintenance - Primary Scenario]="Replacement",1,0)),0))*Area_trans*Time_adj_Prim</f>
        <v>0</v>
      </c>
      <c r="AO42" s="248" t="e" cm="1">
        <f t="array" ref="AO4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2" s="248" t="e" cm="1">
        <f t="array" ref="AP4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2" s="249" t="e" cm="1">
        <f t="array" ref="AQ4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2" s="386" t="e" cm="1">
        <f t="array" ref="AR4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2" t="e">
        <f ca="1">SUMIF('Additional Impact Indicators'!$G42:$AQ42,"&lt;&gt;#N/A")</f>
        <v>#DIV/0!</v>
      </c>
      <c r="AW42" t="s">
        <v>533</v>
      </c>
      <c r="AX42" t="s">
        <v>534</v>
      </c>
      <c r="AY42" t="str">
        <f t="shared" si="2"/>
        <v>A2</v>
      </c>
      <c r="AZ42" t="s">
        <v>485</v>
      </c>
      <c r="BB42">
        <f>MATCH(Table3[[#This Row],[Indicator]],Material_Impacts[Look up],0)</f>
        <v>86</v>
      </c>
      <c r="BC42" s="246" cm="1">
        <f t="array" aca="1" ref="BC4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2" s="166" cm="1">
        <f t="array" ref="BD4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2" s="166" t="e">
        <f>Diesel_RawM_Sec*INDEX(Indicators,MATCH(Impacts_Additional[[#This Row],[Indicator]],Materials!$D:$D,0),MATCH("Diesel Combustion",Materials!$1:$1,0))*Diesel_density*Project_Area*Sec_Lays*Area_trans</f>
        <v>#DIV/0!</v>
      </c>
      <c r="BF42" s="35" t="e" cm="1">
        <f t="array" aca="1" ref="BF4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2" s="35" t="e" cm="1">
        <f t="array" aca="1" ref="BG4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2" t="e" cm="1">
        <f t="array" aca="1" ref="BH4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2" s="35" t="e" cm="1">
        <f t="array" aca="1" ref="BI4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2" s="35" t="e" cm="1">
        <f t="array" aca="1" ref="BJ4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2" t="e" cm="1">
        <f t="array" aca="1" ref="BK4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2" s="35" t="e" cm="1">
        <f t="array" aca="1" ref="BL4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2" s="35" t="e" cm="1">
        <f t="array" aca="1" ref="BM4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2" t="e" cm="1">
        <f t="array" aca="1" ref="BN4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2" s="35" t="e" cm="1">
        <f t="array" aca="1" ref="BO4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2" s="35" t="e" cm="1">
        <f t="array" aca="1" ref="BP4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2" t="e" cm="1">
        <f t="array" aca="1" ref="BQ4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2" s="35" t="e" cm="1">
        <f t="array" aca="1" ref="BR4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2" s="35" t="e" cm="1">
        <f t="array" aca="1" ref="BS4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2" t="e" cm="1">
        <f t="array" aca="1" ref="BT4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2" s="35" t="e" cm="1">
        <f t="array" aca="1" ref="BU4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2" s="35" t="e" cm="1">
        <f t="array" aca="1" ref="BV4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2" t="e" cm="1">
        <f t="array" aca="1" ref="BW4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2" s="35" t="e" cm="1">
        <f t="array" aca="1" ref="BX4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2" s="35" t="e" cm="1">
        <f t="array" aca="1" ref="BY4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2" t="e" cm="1">
        <f t="array" aca="1" ref="BZ4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2" s="35" t="e" cm="1">
        <f t="array" aca="1" ref="CA4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2" s="35" t="e" cm="1">
        <f t="array" aca="1" ref="CB4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2" t="e" cm="1">
        <f t="array" aca="1" ref="CC4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2" s="35" t="e" cm="1">
        <f t="array" aca="1" ref="CD4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2" s="35" t="e" cm="1">
        <f t="array" aca="1" ref="CE4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2" t="e" cm="1">
        <f t="array" aca="1" ref="CF4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2" s="166"/>
      <c r="CH42" s="375" cm="1">
        <f t="array" aca="1" ref="CH4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2" s="247" cm="1">
        <f t="array" aca="1" ref="CI42" ca="1">(SUMPRODUCT(Delay_emissions_table[Consumption of Diesel (kg) - Secondary Scenario],IF(Delay_emissions_table[Form of Maintenance - Secondary Scenario]="Life Extension",1,0))*INDEX(Indicators,MATCH('Additional Impact Indicators'!$A42,Materials!$D:$D,0),MATCH("diesel combustion",Materials!$1:$1,0))+SUMPRODUCT(Delay_emissions_table[Consumption of Petrol (kg) - Secondary Scenario],IF(Delay_emissions_table[Form of Maintenance - Secondary Scenario]="Life Extension",1,0))*INDEX(Indicators,MATCH('Additional Impact Indicators'!$A42,Materials!$D:$D,0),MATCH("petrol combustion",Materials!$1:$1,0))+IFERROR(SUMPRODUCT(TRANSPOSE(INDEX(elec_project_emissions,MATCH(Elec_scenario&amp;'Additional Impact Indicators'!$B42,INDEX(Electricity_projection,0,3),0)-1,0)),Delay_emissions_table[Consumption of electricity (MJ) - Secondary Scenario],IF(Delay_emissions_table[Form of Maintenance - Secondary Scenario]="Life Extension",1,0)),0))*Area_trans*time_adj_Sec</f>
        <v>0</v>
      </c>
      <c r="CJ42" s="247" cm="1">
        <f t="array" aca="1" ref="CJ42" ca="1">(SUMPRODUCT(Delay_emissions_table[Consumption of Diesel (kg) - Secondary Scenario],IF(Delay_emissions_table[Form of Maintenance - Secondary Scenario]="Replacement",1,0))*INDEX(Indicators,MATCH('Additional Impact Indicators'!$A42,Materials!$D:$D,0),MATCH("diesel combustion",Materials!$1:$1,0))+SUMPRODUCT(Delay_emissions_table[Consumption of Petrol (kg) - Secondary Scenario],IF(Delay_emissions_table[Form of Maintenance - Secondary Scenario]="Replacement",1,0))*INDEX(Indicators,MATCH('Additional Impact Indicators'!$A42,Materials!$D:$D,0),MATCH("petrol combustion",Materials!$1:$1,0))+IFERROR(SUMPRODUCT(TRANSPOSE(INDEX(elec_project_emissions,MATCH(Elec_scenario&amp;'Additional Impact Indicators'!$B42,INDEX(Electricity_projection,0,3),0)-1,0)),Delay_emissions_table[Consumption of electricity (MJ) - Secondary Scenario],IF(Delay_emissions_table[Form of Maintenance - Secondary Scenario]="Replacement",1,0)),0))*Area_trans*time_adj_Sec</f>
        <v>0</v>
      </c>
      <c r="CK42" s="248" t="e" cm="1">
        <f t="array" ref="CK4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2" s="248" t="e" cm="1">
        <f t="array" ref="CL4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2" s="249" t="e" cm="1">
        <f t="array" ref="CM4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2" s="387" t="e" cm="1">
        <f t="array" ref="CN4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2" s="51" t="e">
        <f ca="1">SUMIF(Table3[[#This Row],[Raw-Materials]:[Transport to recycling facility]],"&lt;&gt;#N/A")</f>
        <v>#DIV/0!</v>
      </c>
      <c r="CT42" t="s">
        <v>533</v>
      </c>
      <c r="CU42" t="s">
        <v>534</v>
      </c>
      <c r="CV42" t="str">
        <f t="shared" si="3"/>
        <v>A2</v>
      </c>
      <c r="CW42" t="s">
        <v>485</v>
      </c>
      <c r="CY42">
        <f>MATCH(Table611[[#This Row],[Indicator]],Material_Impacts[Look up],0)</f>
        <v>86</v>
      </c>
      <c r="CZ42" s="246" cm="1">
        <f t="array" aca="1" ref="CZ4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2" s="166" cm="1">
        <f t="array" ref="DA4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2" s="166" t="e">
        <f>Diesel_RawM_Tert*INDEX(Indicators,MATCH(Impacts_Additional[[#This Row],[Indicator]],Materials!$D:$D,0),MATCH("Diesel Combustion",Materials!$1:$1,0))*Diesel_density*Project_Area*Tert_Lays*Area_trans</f>
        <v>#DIV/0!</v>
      </c>
      <c r="DC42" s="35" t="e" cm="1">
        <f t="array" aca="1" ref="DC4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2" s="35" t="e" cm="1">
        <f t="array" aca="1" ref="DD4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2" t="e" cm="1">
        <f t="array" aca="1" ref="DE4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2" s="35" t="e" cm="1">
        <f t="array" aca="1" ref="DF4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2" s="35" t="e" cm="1">
        <f t="array" aca="1" ref="DG4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2" t="e" cm="1">
        <f t="array" aca="1" ref="DH4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2" s="35" t="e" cm="1">
        <f t="array" aca="1" ref="DI4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2" s="35" t="e" cm="1">
        <f t="array" aca="1" ref="DJ4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2" t="e" cm="1">
        <f t="array" aca="1" ref="DK4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2" s="35" t="e" cm="1">
        <f t="array" aca="1" ref="DL4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2" s="35" t="e" cm="1">
        <f t="array" aca="1" ref="DM4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2" t="e" cm="1">
        <f t="array" aca="1" ref="DN4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2" s="35" t="e" cm="1">
        <f t="array" aca="1" ref="DO4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2" s="35" t="e" cm="1">
        <f t="array" aca="1" ref="DP4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2" t="e" cm="1">
        <f t="array" aca="1" ref="DQ4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2" s="35" t="e" cm="1">
        <f t="array" aca="1" ref="DR4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2" s="35" t="e" cm="1">
        <f t="array" aca="1" ref="DS4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2" t="e" cm="1">
        <f t="array" aca="1" ref="DT4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2" s="35" t="e" cm="1">
        <f t="array" aca="1" ref="DU4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2" s="35" t="e" cm="1">
        <f t="array" aca="1" ref="DV4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2" t="e" cm="1">
        <f t="array" aca="1" ref="DW4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2" s="35" t="e" cm="1">
        <f t="array" aca="1" ref="DX4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2" s="35" t="e" cm="1">
        <f t="array" aca="1" ref="DY4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2" t="e" cm="1">
        <f t="array" aca="1" ref="DZ4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2" s="35" t="e" cm="1">
        <f t="array" aca="1" ref="EA4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2" s="35" t="e" cm="1">
        <f t="array" aca="1" ref="EB4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2" t="e" cm="1">
        <f t="array" aca="1" ref="EC4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2" s="166"/>
      <c r="EE42" s="375" cm="1">
        <f t="array" aca="1" ref="EE4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2" s="247" cm="1">
        <f t="array" aca="1" ref="EF42" ca="1">(SUMPRODUCT(Delay_emissions_table[Consumption of Diesel (kg) - Tertiary Scenario],IF(Delay_emissions_table[Form of Maintenance - Tertiary Scenario]="Life Extension",1,0))*INDEX(Indicators,MATCH('Additional Impact Indicators'!$A42,Materials!$D:$D,0),MATCH("diesel combustion",Materials!$1:$1,0))+SUMPRODUCT(Delay_emissions_table[Consumption of Petrol (kg) - Tertiary Scenario],IF(Delay_emissions_table[Form of Maintenance - Tertiary Scenario]="Life Extension",1,0))*INDEX(Indicators,MATCH('Additional Impact Indicators'!$A42,Materials!$D:$D,0),MATCH("petrol combustion",Materials!$1:$1,0))+IFERROR(SUMPRODUCT(TRANSPOSE(INDEX(elec_project_emissions,MATCH(Elec_scenario&amp;'Additional Impact Indicators'!$B42,INDEX(Electricity_projection,0,3),0)-1,0)),Delay_emissions_table[Consumption of electricity (MJ) - Tertiary Scenario],IF(Delay_emissions_table[Form of Maintenance - Tertiary Scenario]="Life Extension",1,0)),0))*Area_trans*Time_adj_Tert</f>
        <v>0</v>
      </c>
      <c r="EG42" s="247" cm="1">
        <f t="array" aca="1" ref="EG42" ca="1">(SUMPRODUCT(Delay_emissions_table[Consumption of Diesel (kg) - Tertiary Scenario],IF(Delay_emissions_table[Form of Maintenance - Tertiary Scenario]="Replacement",1,0))*INDEX(Indicators,MATCH('Additional Impact Indicators'!$A42,Materials!$D:$D,0),MATCH("diesel combustion",Materials!$1:$1,0))+SUMPRODUCT(Delay_emissions_table[Consumption of Petrol (kg) - Tertiary Scenario],IF(Delay_emissions_table[Form of Maintenance - Tertiary Scenario]="Replacement",1,0))*INDEX(Indicators,MATCH('Additional Impact Indicators'!$A42,Materials!$D:$D,0),MATCH("petrol combustion",Materials!$1:$1,0))+IFERROR(SUMPRODUCT(TRANSPOSE(INDEX(elec_project_emissions,MATCH(Elec_scenario&amp;'Additional Impact Indicators'!$B42,INDEX(Electricity_projection,0,3),0)-1,0)),Delay_emissions_table[Consumption of electricity (MJ) - Tertiary Scenario],IF(Delay_emissions_table[Form of Maintenance - Tertiary Scenario]="Replacement",1,0)),0))*Area_trans*Time_adj_Tert</f>
        <v>0</v>
      </c>
      <c r="EH42" s="248" t="e" cm="1">
        <f t="array" ref="EH4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2" s="248" t="e" cm="1">
        <f t="array" ref="EI4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2" s="249" t="e" cm="1">
        <f t="array" ref="EJ4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2" s="249" t="e" cm="1">
        <f t="array" ref="EK4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2" t="e">
        <f ca="1">SUMIF(Table611[[#This Row],[Raw-Materials]:[Transport to recycling facility]],"&lt;&gt;#N/A")</f>
        <v>#DIV/0!</v>
      </c>
    </row>
    <row r="43" spans="1:142" x14ac:dyDescent="0.35">
      <c r="A43" s="155" t="s">
        <v>535</v>
      </c>
      <c r="B43" s="155" t="s">
        <v>499</v>
      </c>
      <c r="C43" s="155" t="str">
        <f t="shared" si="1"/>
        <v>A2</v>
      </c>
      <c r="D43" s="155" t="s">
        <v>485</v>
      </c>
      <c r="E43" s="155"/>
      <c r="F43">
        <f>MATCH(Impacts_Additional[[#This Row],[Indicator]],Material_Impacts[Look up],0)</f>
        <v>87</v>
      </c>
      <c r="G43" s="246" cm="1">
        <f t="array" aca="1" ref="G4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3" s="165" cm="1">
        <f t="array" ref="H4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3" s="165" t="e">
        <f>Diesel_RawM_Prim*INDEX(Indicators,MATCH(Impacts_Additional[[#This Row],[Indicator]],Materials!$D:$D,0),MATCH("Diesel Combustion",Materials!$1:$1,0))*Diesel_density*Project_Area*Prim_Lays*Area_trans</f>
        <v>#DIV/0!</v>
      </c>
      <c r="J43" s="250" t="e" cm="1">
        <f t="array" aca="1" ref="J4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3" s="250" t="e" cm="1">
        <f t="array" aca="1" ref="K4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3" s="250" t="e" cm="1">
        <f t="array" aca="1" ref="L4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3" s="250" t="e" cm="1">
        <f t="array" aca="1" ref="M4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3" s="250" t="e" cm="1">
        <f t="array" aca="1" ref="N4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3" s="250" t="e" cm="1">
        <f t="array" aca="1" ref="O4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3" s="250" t="e" cm="1">
        <f t="array" aca="1" ref="P4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3" s="250" t="e" cm="1">
        <f t="array" aca="1" ref="Q4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3" s="250" t="e" cm="1">
        <f t="array" aca="1" ref="R4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3" s="250" t="e" cm="1">
        <f t="array" aca="1" ref="S4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3" s="250" t="e" cm="1">
        <f t="array" aca="1" ref="T4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3" s="250" t="e" cm="1">
        <f t="array" aca="1" ref="U4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3" s="250" t="e" cm="1">
        <f t="array" aca="1" ref="V4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3" s="250" t="e" cm="1">
        <f t="array" aca="1" ref="W4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3" s="250" t="e" cm="1">
        <f t="array" aca="1" ref="X4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3" s="250" t="e" cm="1">
        <f t="array" aca="1" ref="Y4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3" s="250" t="e" cm="1">
        <f t="array" aca="1" ref="Z4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3" s="250" t="e" cm="1">
        <f t="array" aca="1" ref="AA4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3" s="250" t="e" cm="1">
        <f t="array" aca="1" ref="AB4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3" s="250" t="e" cm="1">
        <f t="array" aca="1" ref="AC4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3" s="250" t="e" cm="1">
        <f t="array" aca="1" ref="AD4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3" s="250" t="e" cm="1">
        <f t="array" aca="1" ref="AE4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3" s="250" t="e" cm="1">
        <f t="array" aca="1" ref="AF4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3" s="250" t="e" cm="1">
        <f t="array" aca="1" ref="AG4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3" s="250" t="e" cm="1">
        <f t="array" aca="1" ref="AH4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3" s="250" t="e" cm="1">
        <f t="array" aca="1" ref="AI4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3" s="250" t="e" cm="1">
        <f t="array" aca="1" ref="AJ4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3" s="165"/>
      <c r="AL43" s="165" cm="1">
        <f t="array" aca="1" ref="AL4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3" s="251" cm="1">
        <f t="array" aca="1" ref="AM43" ca="1">(SUMPRODUCT(Delay_emissions_table[Consumption of Diesel (kg) - Primary Scenario],IF(Delay_emissions_table[Form of Maintenance - Primary Scenario]="Life Extension",1,0))*INDEX(Indicators,MATCH('Additional Impact Indicators'!$A43,Materials!$D:$D,0),MATCH("diesel combustion",Materials!$1:$1,0))+SUMPRODUCT(Delay_emissions_table[Consumption of Petrol (kg) - Primary Scenario],IF(Delay_emissions_table[Form of Maintenance - Primary Scenario]="Life Extension",1,0))*INDEX(Indicators,MATCH('Additional Impact Indicators'!$A43,Materials!$D:$D,0),MATCH("petrol combustion",Materials!$1:$1,0))+IFERROR(SUMPRODUCT(TRANSPOSE(INDEX(elec_project_emissions,MATCH(Elec_scenario&amp;'Additional Impact Indicators'!$B43,INDEX(Electricity_projection,0,3),0)-1,0)),Delay_emissions_table[Consumption of electricity (MJ) - Primary Scenario],IF(Delay_emissions_table[Form of Maintenance - Primary Scenario]="Life Extension",1,0)),0))*Area_trans*Time_adj_Prim</f>
        <v>0</v>
      </c>
      <c r="AN43" s="251" cm="1">
        <f t="array" aca="1" ref="AN43" ca="1">(SUMPRODUCT(Delay_emissions_table[Consumption of Diesel (kg) - Primary Scenario],IF(Delay_emissions_table[Form of Maintenance - Primary Scenario]="Replacement",1,0))*INDEX(Indicators,MATCH('Additional Impact Indicators'!$A43,Materials!$D:$D,0),MATCH("diesel combustion",Materials!$1:$1,0))+SUMPRODUCT(Delay_emissions_table[Consumption of Petrol (kg) - Primary Scenario],IF(Delay_emissions_table[Form of Maintenance - Primary Scenario]="Replacement",1,0))*INDEX(Indicators,MATCH('Additional Impact Indicators'!$A43,Materials!$D:$D,0),MATCH("petrol combustion",Materials!$1:$1,0))+IFERROR(SUMPRODUCT(TRANSPOSE(INDEX(elec_project_emissions,MATCH(Elec_scenario&amp;'Additional Impact Indicators'!$B43,INDEX(Electricity_projection,0,3),0)-1,0)),Delay_emissions_table[Consumption of electricity (MJ) - Primary Scenario],IF(Delay_emissions_table[Form of Maintenance - Primary Scenario]="Replacement",1,0)),0))*Area_trans*Time_adj_Prim</f>
        <v>0</v>
      </c>
      <c r="AO43" s="252" t="e" cm="1">
        <f t="array" ref="AO4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3" s="252" t="e" cm="1">
        <f t="array" ref="AP4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3" s="253" t="e" cm="1">
        <f t="array" ref="AQ4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3" s="385" t="e" cm="1">
        <f t="array" ref="AR4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3" t="e">
        <f ca="1">SUMIF('Additional Impact Indicators'!$G43:$AQ43,"&lt;&gt;#N/A")</f>
        <v>#DIV/0!</v>
      </c>
      <c r="AW43" s="155" t="s">
        <v>535</v>
      </c>
      <c r="AX43" s="155" t="s">
        <v>499</v>
      </c>
      <c r="AY43" s="155" t="str">
        <f t="shared" si="2"/>
        <v>A2</v>
      </c>
      <c r="AZ43" s="155" t="s">
        <v>485</v>
      </c>
      <c r="BA43" s="155"/>
      <c r="BB43" s="155">
        <f>MATCH(Table3[[#This Row],[Indicator]],Material_Impacts[Look up],0)</f>
        <v>87</v>
      </c>
      <c r="BC43" s="246" cm="1">
        <f t="array" aca="1" ref="BC4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3" s="165" cm="1">
        <f t="array" ref="BD4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3" s="165" t="e">
        <f>Diesel_RawM_Sec*INDEX(Indicators,MATCH(Impacts_Additional[[#This Row],[Indicator]],Materials!$D:$D,0),MATCH("Diesel Combustion",Materials!$1:$1,0))*Diesel_density*Project_Area*Sec_Lays*Area_trans</f>
        <v>#DIV/0!</v>
      </c>
      <c r="BF43" s="35" t="e" cm="1">
        <f t="array" aca="1" ref="BF4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3" s="35" t="e" cm="1">
        <f t="array" aca="1" ref="BG4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3" t="e" cm="1">
        <f t="array" aca="1" ref="BH4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3" s="35" t="e" cm="1">
        <f t="array" aca="1" ref="BI4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3" s="35" t="e" cm="1">
        <f t="array" aca="1" ref="BJ4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3" t="e" cm="1">
        <f t="array" aca="1" ref="BK4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3" s="35" t="e" cm="1">
        <f t="array" aca="1" ref="BL4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3" s="35" t="e" cm="1">
        <f t="array" aca="1" ref="BM4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3" t="e" cm="1">
        <f t="array" aca="1" ref="BN4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3" s="35" t="e" cm="1">
        <f t="array" aca="1" ref="BO4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3" s="35" t="e" cm="1">
        <f t="array" aca="1" ref="BP4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3" t="e" cm="1">
        <f t="array" aca="1" ref="BQ4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3" s="35" t="e" cm="1">
        <f t="array" aca="1" ref="BR4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3" s="35" t="e" cm="1">
        <f t="array" aca="1" ref="BS4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3" t="e" cm="1">
        <f t="array" aca="1" ref="BT4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3" s="35" t="e" cm="1">
        <f t="array" aca="1" ref="BU4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3" s="35" t="e" cm="1">
        <f t="array" aca="1" ref="BV4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3" t="e" cm="1">
        <f t="array" aca="1" ref="BW4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3" s="35" t="e" cm="1">
        <f t="array" aca="1" ref="BX4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3" s="35" t="e" cm="1">
        <f t="array" aca="1" ref="BY4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3" t="e" cm="1">
        <f t="array" aca="1" ref="BZ4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3" s="35" t="e" cm="1">
        <f t="array" aca="1" ref="CA4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3" s="35" t="e" cm="1">
        <f t="array" aca="1" ref="CB4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3" t="e" cm="1">
        <f t="array" aca="1" ref="CC4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3" s="35" t="e" cm="1">
        <f t="array" aca="1" ref="CD4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3" s="35" t="e" cm="1">
        <f t="array" aca="1" ref="CE4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3" t="e" cm="1">
        <f t="array" aca="1" ref="CF4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3" s="165"/>
      <c r="CH43" s="375" cm="1">
        <f t="array" aca="1" ref="CH4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3" s="251" cm="1">
        <f t="array" aca="1" ref="CI43" ca="1">(SUMPRODUCT(Delay_emissions_table[Consumption of Diesel (kg) - Secondary Scenario],IF(Delay_emissions_table[Form of Maintenance - Secondary Scenario]="Life Extension",1,0))*INDEX(Indicators,MATCH('Additional Impact Indicators'!$A43,Materials!$D:$D,0),MATCH("diesel combustion",Materials!$1:$1,0))+SUMPRODUCT(Delay_emissions_table[Consumption of Petrol (kg) - Secondary Scenario],IF(Delay_emissions_table[Form of Maintenance - Secondary Scenario]="Life Extension",1,0))*INDEX(Indicators,MATCH('Additional Impact Indicators'!$A43,Materials!$D:$D,0),MATCH("petrol combustion",Materials!$1:$1,0))+IFERROR(SUMPRODUCT(TRANSPOSE(INDEX(elec_project_emissions,MATCH(Elec_scenario&amp;'Additional Impact Indicators'!$B43,INDEX(Electricity_projection,0,3),0)-1,0)),Delay_emissions_table[Consumption of electricity (MJ) - Secondary Scenario],IF(Delay_emissions_table[Form of Maintenance - Secondary Scenario]="Life Extension",1,0)),0))*Area_trans*time_adj_Sec</f>
        <v>0</v>
      </c>
      <c r="CJ43" s="251" cm="1">
        <f t="array" aca="1" ref="CJ43" ca="1">(SUMPRODUCT(Delay_emissions_table[Consumption of Diesel (kg) - Secondary Scenario],IF(Delay_emissions_table[Form of Maintenance - Secondary Scenario]="Replacement",1,0))*INDEX(Indicators,MATCH('Additional Impact Indicators'!$A43,Materials!$D:$D,0),MATCH("diesel combustion",Materials!$1:$1,0))+SUMPRODUCT(Delay_emissions_table[Consumption of Petrol (kg) - Secondary Scenario],IF(Delay_emissions_table[Form of Maintenance - Secondary Scenario]="Replacement",1,0))*INDEX(Indicators,MATCH('Additional Impact Indicators'!$A43,Materials!$D:$D,0),MATCH("petrol combustion",Materials!$1:$1,0))+IFERROR(SUMPRODUCT(TRANSPOSE(INDEX(elec_project_emissions,MATCH(Elec_scenario&amp;'Additional Impact Indicators'!$B43,INDEX(Electricity_projection,0,3),0)-1,0)),Delay_emissions_table[Consumption of electricity (MJ) - Secondary Scenario],IF(Delay_emissions_table[Form of Maintenance - Secondary Scenario]="Replacement",1,0)),0))*Area_trans*time_adj_Sec</f>
        <v>0</v>
      </c>
      <c r="CK43" s="252" t="e" cm="1">
        <f t="array" ref="CK4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3" s="252" t="e" cm="1">
        <f t="array" ref="CL4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3" s="253" t="e" cm="1">
        <f t="array" ref="CM4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3" s="387" t="e" cm="1">
        <f t="array" ref="CN4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3" s="51" t="e">
        <f ca="1">SUMIF(Table3[[#This Row],[Raw-Materials]:[Transport to recycling facility]],"&lt;&gt;#N/A")</f>
        <v>#DIV/0!</v>
      </c>
      <c r="CT43" t="s">
        <v>535</v>
      </c>
      <c r="CU43" t="s">
        <v>499</v>
      </c>
      <c r="CV43" t="str">
        <f t="shared" si="3"/>
        <v>A2</v>
      </c>
      <c r="CW43" t="s">
        <v>485</v>
      </c>
      <c r="CY43">
        <f>MATCH(Table611[[#This Row],[Indicator]],Material_Impacts[Look up],0)</f>
        <v>87</v>
      </c>
      <c r="CZ43" s="246" cm="1">
        <f t="array" aca="1" ref="CZ4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3" s="165" cm="1">
        <f t="array" ref="DA4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3" s="165" t="e">
        <f>Diesel_RawM_Tert*INDEX(Indicators,MATCH(Impacts_Additional[[#This Row],[Indicator]],Materials!$D:$D,0),MATCH("Diesel Combustion",Materials!$1:$1,0))*Diesel_density*Project_Area*Tert_Lays*Area_trans</f>
        <v>#DIV/0!</v>
      </c>
      <c r="DC43" s="35" t="e" cm="1">
        <f t="array" aca="1" ref="DC4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3" s="35" t="e" cm="1">
        <f t="array" aca="1" ref="DD4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3" t="e" cm="1">
        <f t="array" aca="1" ref="DE4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3" s="35" t="e" cm="1">
        <f t="array" aca="1" ref="DF4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3" s="35" t="e" cm="1">
        <f t="array" aca="1" ref="DG4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3" t="e" cm="1">
        <f t="array" aca="1" ref="DH4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3" s="35" t="e" cm="1">
        <f t="array" aca="1" ref="DI4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3" s="35" t="e" cm="1">
        <f t="array" aca="1" ref="DJ4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3" t="e" cm="1">
        <f t="array" aca="1" ref="DK4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3" s="35" t="e" cm="1">
        <f t="array" aca="1" ref="DL4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3" s="35" t="e" cm="1">
        <f t="array" aca="1" ref="DM4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3" t="e" cm="1">
        <f t="array" aca="1" ref="DN4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3" s="35" t="e" cm="1">
        <f t="array" aca="1" ref="DO4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3" s="35" t="e" cm="1">
        <f t="array" aca="1" ref="DP4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3" t="e" cm="1">
        <f t="array" aca="1" ref="DQ4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3" s="35" t="e" cm="1">
        <f t="array" aca="1" ref="DR4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3" s="35" t="e" cm="1">
        <f t="array" aca="1" ref="DS4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3" t="e" cm="1">
        <f t="array" aca="1" ref="DT4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3" s="35" t="e" cm="1">
        <f t="array" aca="1" ref="DU4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3" s="35" t="e" cm="1">
        <f t="array" aca="1" ref="DV4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3" t="e" cm="1">
        <f t="array" aca="1" ref="DW4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3" s="35" t="e" cm="1">
        <f t="array" aca="1" ref="DX4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3" s="35" t="e" cm="1">
        <f t="array" aca="1" ref="DY4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3" t="e" cm="1">
        <f t="array" aca="1" ref="DZ4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3" s="35" t="e" cm="1">
        <f t="array" aca="1" ref="EA4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3" s="35" t="e" cm="1">
        <f t="array" aca="1" ref="EB4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3" t="e" cm="1">
        <f t="array" aca="1" ref="EC4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3" s="165"/>
      <c r="EE43" s="375" cm="1">
        <f t="array" aca="1" ref="EE4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3" s="251" cm="1">
        <f t="array" aca="1" ref="EF43" ca="1">(SUMPRODUCT(Delay_emissions_table[Consumption of Diesel (kg) - Tertiary Scenario],IF(Delay_emissions_table[Form of Maintenance - Tertiary Scenario]="Life Extension",1,0))*INDEX(Indicators,MATCH('Additional Impact Indicators'!$A43,Materials!$D:$D,0),MATCH("diesel combustion",Materials!$1:$1,0))+SUMPRODUCT(Delay_emissions_table[Consumption of Petrol (kg) - Tertiary Scenario],IF(Delay_emissions_table[Form of Maintenance - Tertiary Scenario]="Life Extension",1,0))*INDEX(Indicators,MATCH('Additional Impact Indicators'!$A43,Materials!$D:$D,0),MATCH("petrol combustion",Materials!$1:$1,0))+IFERROR(SUMPRODUCT(TRANSPOSE(INDEX(elec_project_emissions,MATCH(Elec_scenario&amp;'Additional Impact Indicators'!$B43,INDEX(Electricity_projection,0,3),0)-1,0)),Delay_emissions_table[Consumption of electricity (MJ) - Tertiary Scenario],IF(Delay_emissions_table[Form of Maintenance - Tertiary Scenario]="Life Extension",1,0)),0))*Area_trans*Time_adj_Tert</f>
        <v>0</v>
      </c>
      <c r="EG43" s="251" cm="1">
        <f t="array" aca="1" ref="EG43" ca="1">(SUMPRODUCT(Delay_emissions_table[Consumption of Diesel (kg) - Tertiary Scenario],IF(Delay_emissions_table[Form of Maintenance - Tertiary Scenario]="Replacement",1,0))*INDEX(Indicators,MATCH('Additional Impact Indicators'!$A43,Materials!$D:$D,0),MATCH("diesel combustion",Materials!$1:$1,0))+SUMPRODUCT(Delay_emissions_table[Consumption of Petrol (kg) - Tertiary Scenario],IF(Delay_emissions_table[Form of Maintenance - Tertiary Scenario]="Replacement",1,0))*INDEX(Indicators,MATCH('Additional Impact Indicators'!$A43,Materials!$D:$D,0),MATCH("petrol combustion",Materials!$1:$1,0))+IFERROR(SUMPRODUCT(TRANSPOSE(INDEX(elec_project_emissions,MATCH(Elec_scenario&amp;'Additional Impact Indicators'!$B43,INDEX(Electricity_projection,0,3),0)-1,0)),Delay_emissions_table[Consumption of electricity (MJ) - Tertiary Scenario],IF(Delay_emissions_table[Form of Maintenance - Tertiary Scenario]="Replacement",1,0)),0))*Area_trans*Time_adj_Tert</f>
        <v>0</v>
      </c>
      <c r="EH43" s="252" t="e" cm="1">
        <f t="array" ref="EH4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3" s="252" t="e" cm="1">
        <f t="array" ref="EI4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3" s="253" t="e" cm="1">
        <f t="array" ref="EJ4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3" s="253" t="e" cm="1">
        <f t="array" ref="EK4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3" t="e">
        <f ca="1">SUMIF(Table611[[#This Row],[Raw-Materials]:[Transport to recycling facility]],"&lt;&gt;#N/A")</f>
        <v>#DIV/0!</v>
      </c>
    </row>
    <row r="44" spans="1:142" x14ac:dyDescent="0.35">
      <c r="A44" t="s">
        <v>536</v>
      </c>
      <c r="B44" t="s">
        <v>501</v>
      </c>
      <c r="C44" t="str">
        <f t="shared" si="1"/>
        <v>A2</v>
      </c>
      <c r="D44" t="s">
        <v>485</v>
      </c>
      <c r="F44">
        <f>MATCH(Impacts_Additional[[#This Row],[Indicator]],Material_Impacts[Look up],0)</f>
        <v>88</v>
      </c>
      <c r="G44" s="246" cm="1">
        <f t="array" aca="1" ref="G4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4" s="166" cm="1">
        <f t="array" ref="H4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4" s="166" t="e">
        <f>Diesel_RawM_Prim*INDEX(Indicators,MATCH(Impacts_Additional[[#This Row],[Indicator]],Materials!$D:$D,0),MATCH("Diesel Combustion",Materials!$1:$1,0))*Diesel_density*Project_Area*Prim_Lays*Area_trans</f>
        <v>#DIV/0!</v>
      </c>
      <c r="J44" s="20" t="e" cm="1">
        <f t="array" aca="1" ref="J4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4" s="20" t="e" cm="1">
        <f t="array" aca="1" ref="K4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4" s="20" t="e" cm="1">
        <f t="array" aca="1" ref="L4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4" s="20" t="e" cm="1">
        <f t="array" aca="1" ref="M4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4" s="20" t="e" cm="1">
        <f t="array" aca="1" ref="N4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4" s="20" t="e" cm="1">
        <f t="array" aca="1" ref="O4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4" s="20" t="e" cm="1">
        <f t="array" aca="1" ref="P4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4" s="20" t="e" cm="1">
        <f t="array" aca="1" ref="Q4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4" s="20" t="e" cm="1">
        <f t="array" aca="1" ref="R4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4" s="20" t="e" cm="1">
        <f t="array" aca="1" ref="S4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4" s="20" t="e" cm="1">
        <f t="array" aca="1" ref="T4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4" s="20" t="e" cm="1">
        <f t="array" aca="1" ref="U4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4" s="20" t="e" cm="1">
        <f t="array" aca="1" ref="V4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4" s="20" t="e" cm="1">
        <f t="array" aca="1" ref="W4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4" s="20" t="e" cm="1">
        <f t="array" aca="1" ref="X4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4" s="20" t="e" cm="1">
        <f t="array" aca="1" ref="Y4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4" s="20" t="e" cm="1">
        <f t="array" aca="1" ref="Z4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4" s="20" t="e" cm="1">
        <f t="array" aca="1" ref="AA4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4" s="20" t="e" cm="1">
        <f t="array" aca="1" ref="AB4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4" s="20" t="e" cm="1">
        <f t="array" aca="1" ref="AC4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4" s="20" t="e" cm="1">
        <f t="array" aca="1" ref="AD4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4" s="20" t="e" cm="1">
        <f t="array" aca="1" ref="AE4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4" s="20" t="e" cm="1">
        <f t="array" aca="1" ref="AF4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4" s="20" t="e" cm="1">
        <f t="array" aca="1" ref="AG4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4" s="20" t="e" cm="1">
        <f t="array" aca="1" ref="AH4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4" s="20" t="e" cm="1">
        <f t="array" aca="1" ref="AI4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4" s="20" t="e" cm="1">
        <f t="array" aca="1" ref="AJ4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4" s="166"/>
      <c r="AL44" s="166" cm="1">
        <f t="array" aca="1" ref="AL4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4" s="247" cm="1">
        <f t="array" aca="1" ref="AM44" ca="1">(SUMPRODUCT(Delay_emissions_table[Consumption of Diesel (kg) - Primary Scenario],IF(Delay_emissions_table[Form of Maintenance - Primary Scenario]="Life Extension",1,0))*INDEX(Indicators,MATCH('Additional Impact Indicators'!$A44,Materials!$D:$D,0),MATCH("diesel combustion",Materials!$1:$1,0))+SUMPRODUCT(Delay_emissions_table[Consumption of Petrol (kg) - Primary Scenario],IF(Delay_emissions_table[Form of Maintenance - Primary Scenario]="Life Extension",1,0))*INDEX(Indicators,MATCH('Additional Impact Indicators'!$A44,Materials!$D:$D,0),MATCH("petrol combustion",Materials!$1:$1,0))+IFERROR(SUMPRODUCT(TRANSPOSE(INDEX(elec_project_emissions,MATCH(Elec_scenario&amp;'Additional Impact Indicators'!$B44,INDEX(Electricity_projection,0,3),0)-1,0)),Delay_emissions_table[Consumption of electricity (MJ) - Primary Scenario],IF(Delay_emissions_table[Form of Maintenance - Primary Scenario]="Life Extension",1,0)),0))*Area_trans*Time_adj_Prim</f>
        <v>0</v>
      </c>
      <c r="AN44" s="247" cm="1">
        <f t="array" aca="1" ref="AN44" ca="1">(SUMPRODUCT(Delay_emissions_table[Consumption of Diesel (kg) - Primary Scenario],IF(Delay_emissions_table[Form of Maintenance - Primary Scenario]="Replacement",1,0))*INDEX(Indicators,MATCH('Additional Impact Indicators'!$A44,Materials!$D:$D,0),MATCH("diesel combustion",Materials!$1:$1,0))+SUMPRODUCT(Delay_emissions_table[Consumption of Petrol (kg) - Primary Scenario],IF(Delay_emissions_table[Form of Maintenance - Primary Scenario]="Replacement",1,0))*INDEX(Indicators,MATCH('Additional Impact Indicators'!$A44,Materials!$D:$D,0),MATCH("petrol combustion",Materials!$1:$1,0))+IFERROR(SUMPRODUCT(TRANSPOSE(INDEX(elec_project_emissions,MATCH(Elec_scenario&amp;'Additional Impact Indicators'!$B44,INDEX(Electricity_projection,0,3),0)-1,0)),Delay_emissions_table[Consumption of electricity (MJ) - Primary Scenario],IF(Delay_emissions_table[Form of Maintenance - Primary Scenario]="Replacement",1,0)),0))*Area_trans*Time_adj_Prim</f>
        <v>0</v>
      </c>
      <c r="AO44" s="248" t="e" cm="1">
        <f t="array" ref="AO4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4" s="248" t="e" cm="1">
        <f t="array" ref="AP4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4" s="249" t="e" cm="1">
        <f t="array" ref="AQ4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4" s="386" t="e" cm="1">
        <f t="array" ref="AR4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4" t="e">
        <f ca="1">SUMIF('Additional Impact Indicators'!$G44:$AQ44,"&lt;&gt;#N/A")</f>
        <v>#DIV/0!</v>
      </c>
      <c r="AW44" t="s">
        <v>536</v>
      </c>
      <c r="AX44" t="s">
        <v>501</v>
      </c>
      <c r="AY44" t="str">
        <f t="shared" si="2"/>
        <v>A2</v>
      </c>
      <c r="AZ44" t="s">
        <v>485</v>
      </c>
      <c r="BB44">
        <f>MATCH(Table3[[#This Row],[Indicator]],Material_Impacts[Look up],0)</f>
        <v>88</v>
      </c>
      <c r="BC44" s="246" cm="1">
        <f t="array" aca="1" ref="BC4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4" s="166" cm="1">
        <f t="array" ref="BD4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4" s="166" t="e">
        <f>Diesel_RawM_Sec*INDEX(Indicators,MATCH(Impacts_Additional[[#This Row],[Indicator]],Materials!$D:$D,0),MATCH("Diesel Combustion",Materials!$1:$1,0))*Diesel_density*Project_Area*Sec_Lays*Area_trans</f>
        <v>#DIV/0!</v>
      </c>
      <c r="BF44" s="35" t="e" cm="1">
        <f t="array" aca="1" ref="BF4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4" s="35" t="e" cm="1">
        <f t="array" aca="1" ref="BG4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4" t="e" cm="1">
        <f t="array" aca="1" ref="BH4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4" s="35" t="e" cm="1">
        <f t="array" aca="1" ref="BI4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4" s="35" t="e" cm="1">
        <f t="array" aca="1" ref="BJ4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4" t="e" cm="1">
        <f t="array" aca="1" ref="BK4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4" s="35" t="e" cm="1">
        <f t="array" aca="1" ref="BL4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4" s="35" t="e" cm="1">
        <f t="array" aca="1" ref="BM4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4" t="e" cm="1">
        <f t="array" aca="1" ref="BN4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4" s="35" t="e" cm="1">
        <f t="array" aca="1" ref="BO4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4" s="35" t="e" cm="1">
        <f t="array" aca="1" ref="BP4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4" t="e" cm="1">
        <f t="array" aca="1" ref="BQ4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4" s="35" t="e" cm="1">
        <f t="array" aca="1" ref="BR4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4" s="35" t="e" cm="1">
        <f t="array" aca="1" ref="BS4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4" t="e" cm="1">
        <f t="array" aca="1" ref="BT4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4" s="35" t="e" cm="1">
        <f t="array" aca="1" ref="BU4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4" s="35" t="e" cm="1">
        <f t="array" aca="1" ref="BV4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4" t="e" cm="1">
        <f t="array" aca="1" ref="BW4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4" s="35" t="e" cm="1">
        <f t="array" aca="1" ref="BX4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4" s="35" t="e" cm="1">
        <f t="array" aca="1" ref="BY4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4" t="e" cm="1">
        <f t="array" aca="1" ref="BZ4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4" s="35" t="e" cm="1">
        <f t="array" aca="1" ref="CA4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4" s="35" t="e" cm="1">
        <f t="array" aca="1" ref="CB4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4" t="e" cm="1">
        <f t="array" aca="1" ref="CC4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4" s="35" t="e" cm="1">
        <f t="array" aca="1" ref="CD4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4" s="35" t="e" cm="1">
        <f t="array" aca="1" ref="CE4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4" t="e" cm="1">
        <f t="array" aca="1" ref="CF4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4" s="166"/>
      <c r="CH44" s="375" cm="1">
        <f t="array" aca="1" ref="CH4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4" s="247" cm="1">
        <f t="array" aca="1" ref="CI44" ca="1">(SUMPRODUCT(Delay_emissions_table[Consumption of Diesel (kg) - Secondary Scenario],IF(Delay_emissions_table[Form of Maintenance - Secondary Scenario]="Life Extension",1,0))*INDEX(Indicators,MATCH('Additional Impact Indicators'!$A44,Materials!$D:$D,0),MATCH("diesel combustion",Materials!$1:$1,0))+SUMPRODUCT(Delay_emissions_table[Consumption of Petrol (kg) - Secondary Scenario],IF(Delay_emissions_table[Form of Maintenance - Secondary Scenario]="Life Extension",1,0))*INDEX(Indicators,MATCH('Additional Impact Indicators'!$A44,Materials!$D:$D,0),MATCH("petrol combustion",Materials!$1:$1,0))+IFERROR(SUMPRODUCT(TRANSPOSE(INDEX(elec_project_emissions,MATCH(Elec_scenario&amp;'Additional Impact Indicators'!$B44,INDEX(Electricity_projection,0,3),0)-1,0)),Delay_emissions_table[Consumption of electricity (MJ) - Secondary Scenario],IF(Delay_emissions_table[Form of Maintenance - Secondary Scenario]="Life Extension",1,0)),0))*Area_trans*time_adj_Sec</f>
        <v>0</v>
      </c>
      <c r="CJ44" s="247" cm="1">
        <f t="array" aca="1" ref="CJ44" ca="1">(SUMPRODUCT(Delay_emissions_table[Consumption of Diesel (kg) - Secondary Scenario],IF(Delay_emissions_table[Form of Maintenance - Secondary Scenario]="Replacement",1,0))*INDEX(Indicators,MATCH('Additional Impact Indicators'!$A44,Materials!$D:$D,0),MATCH("diesel combustion",Materials!$1:$1,0))+SUMPRODUCT(Delay_emissions_table[Consumption of Petrol (kg) - Secondary Scenario],IF(Delay_emissions_table[Form of Maintenance - Secondary Scenario]="Replacement",1,0))*INDEX(Indicators,MATCH('Additional Impact Indicators'!$A44,Materials!$D:$D,0),MATCH("petrol combustion",Materials!$1:$1,0))+IFERROR(SUMPRODUCT(TRANSPOSE(INDEX(elec_project_emissions,MATCH(Elec_scenario&amp;'Additional Impact Indicators'!$B44,INDEX(Electricity_projection,0,3),0)-1,0)),Delay_emissions_table[Consumption of electricity (MJ) - Secondary Scenario],IF(Delay_emissions_table[Form of Maintenance - Secondary Scenario]="Replacement",1,0)),0))*Area_trans*time_adj_Sec</f>
        <v>0</v>
      </c>
      <c r="CK44" s="248" t="e" cm="1">
        <f t="array" ref="CK4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4" s="248" t="e" cm="1">
        <f t="array" ref="CL4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4" s="249" t="e" cm="1">
        <f t="array" ref="CM4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4" s="387" t="e" cm="1">
        <f t="array" ref="CN4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4" s="51" t="e">
        <f ca="1">SUMIF(Table3[[#This Row],[Raw-Materials]:[Transport to recycling facility]],"&lt;&gt;#N/A")</f>
        <v>#DIV/0!</v>
      </c>
      <c r="CT44" t="s">
        <v>536</v>
      </c>
      <c r="CU44" t="s">
        <v>501</v>
      </c>
      <c r="CV44" t="str">
        <f t="shared" si="3"/>
        <v>A2</v>
      </c>
      <c r="CW44" t="s">
        <v>485</v>
      </c>
      <c r="CY44">
        <f>MATCH(Table611[[#This Row],[Indicator]],Material_Impacts[Look up],0)</f>
        <v>88</v>
      </c>
      <c r="CZ44" s="246" cm="1">
        <f t="array" aca="1" ref="CZ4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4" s="166" cm="1">
        <f t="array" ref="DA4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4" s="166" t="e">
        <f>Diesel_RawM_Tert*INDEX(Indicators,MATCH(Impacts_Additional[[#This Row],[Indicator]],Materials!$D:$D,0),MATCH("Diesel Combustion",Materials!$1:$1,0))*Diesel_density*Project_Area*Tert_Lays*Area_trans</f>
        <v>#DIV/0!</v>
      </c>
      <c r="DC44" s="35" t="e" cm="1">
        <f t="array" aca="1" ref="DC4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4" s="35" t="e" cm="1">
        <f t="array" aca="1" ref="DD4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4" t="e" cm="1">
        <f t="array" aca="1" ref="DE4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4" s="35" t="e" cm="1">
        <f t="array" aca="1" ref="DF4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4" s="35" t="e" cm="1">
        <f t="array" aca="1" ref="DG4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4" t="e" cm="1">
        <f t="array" aca="1" ref="DH4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4" s="35" t="e" cm="1">
        <f t="array" aca="1" ref="DI4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4" s="35" t="e" cm="1">
        <f t="array" aca="1" ref="DJ4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4" t="e" cm="1">
        <f t="array" aca="1" ref="DK4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4" s="35" t="e" cm="1">
        <f t="array" aca="1" ref="DL4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4" s="35" t="e" cm="1">
        <f t="array" aca="1" ref="DM4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4" t="e" cm="1">
        <f t="array" aca="1" ref="DN4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4" s="35" t="e" cm="1">
        <f t="array" aca="1" ref="DO4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4" s="35" t="e" cm="1">
        <f t="array" aca="1" ref="DP4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4" t="e" cm="1">
        <f t="array" aca="1" ref="DQ4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4" s="35" t="e" cm="1">
        <f t="array" aca="1" ref="DR4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4" s="35" t="e" cm="1">
        <f t="array" aca="1" ref="DS4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4" t="e" cm="1">
        <f t="array" aca="1" ref="DT4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4" s="35" t="e" cm="1">
        <f t="array" aca="1" ref="DU4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4" s="35" t="e" cm="1">
        <f t="array" aca="1" ref="DV4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4" t="e" cm="1">
        <f t="array" aca="1" ref="DW4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4" s="35" t="e" cm="1">
        <f t="array" aca="1" ref="DX4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4" s="35" t="e" cm="1">
        <f t="array" aca="1" ref="DY4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4" t="e" cm="1">
        <f t="array" aca="1" ref="DZ4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4" s="35" t="e" cm="1">
        <f t="array" aca="1" ref="EA4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4" s="35" t="e" cm="1">
        <f t="array" aca="1" ref="EB4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4" t="e" cm="1">
        <f t="array" aca="1" ref="EC4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4" s="166"/>
      <c r="EE44" s="375" cm="1">
        <f t="array" aca="1" ref="EE4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4" s="247" cm="1">
        <f t="array" aca="1" ref="EF44" ca="1">(SUMPRODUCT(Delay_emissions_table[Consumption of Diesel (kg) - Tertiary Scenario],IF(Delay_emissions_table[Form of Maintenance - Tertiary Scenario]="Life Extension",1,0))*INDEX(Indicators,MATCH('Additional Impact Indicators'!$A44,Materials!$D:$D,0),MATCH("diesel combustion",Materials!$1:$1,0))+SUMPRODUCT(Delay_emissions_table[Consumption of Petrol (kg) - Tertiary Scenario],IF(Delay_emissions_table[Form of Maintenance - Tertiary Scenario]="Life Extension",1,0))*INDEX(Indicators,MATCH('Additional Impact Indicators'!$A44,Materials!$D:$D,0),MATCH("petrol combustion",Materials!$1:$1,0))+IFERROR(SUMPRODUCT(TRANSPOSE(INDEX(elec_project_emissions,MATCH(Elec_scenario&amp;'Additional Impact Indicators'!$B44,INDEX(Electricity_projection,0,3),0)-1,0)),Delay_emissions_table[Consumption of electricity (MJ) - Tertiary Scenario],IF(Delay_emissions_table[Form of Maintenance - Tertiary Scenario]="Life Extension",1,0)),0))*Area_trans*Time_adj_Tert</f>
        <v>0</v>
      </c>
      <c r="EG44" s="247" cm="1">
        <f t="array" aca="1" ref="EG44" ca="1">(SUMPRODUCT(Delay_emissions_table[Consumption of Diesel (kg) - Tertiary Scenario],IF(Delay_emissions_table[Form of Maintenance - Tertiary Scenario]="Replacement",1,0))*INDEX(Indicators,MATCH('Additional Impact Indicators'!$A44,Materials!$D:$D,0),MATCH("diesel combustion",Materials!$1:$1,0))+SUMPRODUCT(Delay_emissions_table[Consumption of Petrol (kg) - Tertiary Scenario],IF(Delay_emissions_table[Form of Maintenance - Tertiary Scenario]="Replacement",1,0))*INDEX(Indicators,MATCH('Additional Impact Indicators'!$A44,Materials!$D:$D,0),MATCH("petrol combustion",Materials!$1:$1,0))+IFERROR(SUMPRODUCT(TRANSPOSE(INDEX(elec_project_emissions,MATCH(Elec_scenario&amp;'Additional Impact Indicators'!$B44,INDEX(Electricity_projection,0,3),0)-1,0)),Delay_emissions_table[Consumption of electricity (MJ) - Tertiary Scenario],IF(Delay_emissions_table[Form of Maintenance - Tertiary Scenario]="Replacement",1,0)),0))*Area_trans*Time_adj_Tert</f>
        <v>0</v>
      </c>
      <c r="EH44" s="248" t="e" cm="1">
        <f t="array" ref="EH4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4" s="248" t="e" cm="1">
        <f t="array" ref="EI4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4" s="249" t="e" cm="1">
        <f t="array" ref="EJ4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4" s="249" t="e" cm="1">
        <f t="array" ref="EK4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4" t="e">
        <f ca="1">SUMIF(Table611[[#This Row],[Raw-Materials]:[Transport to recycling facility]],"&lt;&gt;#N/A")</f>
        <v>#DIV/0!</v>
      </c>
    </row>
    <row r="45" spans="1:142" x14ac:dyDescent="0.35">
      <c r="A45" s="155" t="s">
        <v>537</v>
      </c>
      <c r="B45" s="155" t="s">
        <v>538</v>
      </c>
      <c r="C45" s="155" t="str">
        <f t="shared" si="1"/>
        <v>A2</v>
      </c>
      <c r="D45" s="155" t="s">
        <v>485</v>
      </c>
      <c r="E45" s="155"/>
      <c r="F45">
        <f>MATCH(Impacts_Additional[[#This Row],[Indicator]],Material_Impacts[Look up],0)</f>
        <v>89</v>
      </c>
      <c r="G45" s="246" cm="1">
        <f t="array" aca="1" ref="G4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5" s="165" cm="1">
        <f t="array" ref="H4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5" s="165" t="e">
        <f>Diesel_RawM_Prim*INDEX(Indicators,MATCH(Impacts_Additional[[#This Row],[Indicator]],Materials!$D:$D,0),MATCH("Diesel Combustion",Materials!$1:$1,0))*Diesel_density*Project_Area*Prim_Lays*Area_trans</f>
        <v>#DIV/0!</v>
      </c>
      <c r="J45" s="250" t="e" cm="1">
        <f t="array" aca="1" ref="J4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5" s="250" t="e" cm="1">
        <f t="array" aca="1" ref="K4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5" s="250" t="e" cm="1">
        <f t="array" aca="1" ref="L4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5" s="250" t="e" cm="1">
        <f t="array" aca="1" ref="M4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5" s="250" t="e" cm="1">
        <f t="array" aca="1" ref="N4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5" s="250" t="e" cm="1">
        <f t="array" aca="1" ref="O4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5" s="250" t="e" cm="1">
        <f t="array" aca="1" ref="P4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5" s="250" t="e" cm="1">
        <f t="array" aca="1" ref="Q4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5" s="250" t="e" cm="1">
        <f t="array" aca="1" ref="R4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5" s="250" t="e" cm="1">
        <f t="array" aca="1" ref="S4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5" s="250" t="e" cm="1">
        <f t="array" aca="1" ref="T4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5" s="250" t="e" cm="1">
        <f t="array" aca="1" ref="U4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5" s="250" t="e" cm="1">
        <f t="array" aca="1" ref="V4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5" s="250" t="e" cm="1">
        <f t="array" aca="1" ref="W4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5" s="250" t="e" cm="1">
        <f t="array" aca="1" ref="X4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5" s="250" t="e" cm="1">
        <f t="array" aca="1" ref="Y4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5" s="250" t="e" cm="1">
        <f t="array" aca="1" ref="Z4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5" s="250" t="e" cm="1">
        <f t="array" aca="1" ref="AA4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5" s="250" t="e" cm="1">
        <f t="array" aca="1" ref="AB4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5" s="250" t="e" cm="1">
        <f t="array" aca="1" ref="AC4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5" s="250" t="e" cm="1">
        <f t="array" aca="1" ref="AD4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5" s="250" t="e" cm="1">
        <f t="array" aca="1" ref="AE4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5" s="250" t="e" cm="1">
        <f t="array" aca="1" ref="AF4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5" s="250" t="e" cm="1">
        <f t="array" aca="1" ref="AG4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5" s="250" t="e" cm="1">
        <f t="array" aca="1" ref="AH4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5" s="250" t="e" cm="1">
        <f t="array" aca="1" ref="AI4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5" s="250" t="e" cm="1">
        <f t="array" aca="1" ref="AJ4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5" s="165"/>
      <c r="AL45" s="165" cm="1">
        <f t="array" aca="1" ref="AL4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5" s="251" cm="1">
        <f t="array" aca="1" ref="AM45" ca="1">(SUMPRODUCT(Delay_emissions_table[Consumption of Diesel (kg) - Primary Scenario],IF(Delay_emissions_table[Form of Maintenance - Primary Scenario]="Life Extension",1,0))*INDEX(Indicators,MATCH('Additional Impact Indicators'!$A45,Materials!$D:$D,0),MATCH("diesel combustion",Materials!$1:$1,0))+SUMPRODUCT(Delay_emissions_table[Consumption of Petrol (kg) - Primary Scenario],IF(Delay_emissions_table[Form of Maintenance - Primary Scenario]="Life Extension",1,0))*INDEX(Indicators,MATCH('Additional Impact Indicators'!$A45,Materials!$D:$D,0),MATCH("petrol combustion",Materials!$1:$1,0))+IFERROR(SUMPRODUCT(TRANSPOSE(INDEX(elec_project_emissions,MATCH(Elec_scenario&amp;'Additional Impact Indicators'!$B45,INDEX(Electricity_projection,0,3),0)-1,0)),Delay_emissions_table[Consumption of electricity (MJ) - Primary Scenario],IF(Delay_emissions_table[Form of Maintenance - Primary Scenario]="Life Extension",1,0)),0))*Area_trans*Time_adj_Prim</f>
        <v>0</v>
      </c>
      <c r="AN45" s="251" cm="1">
        <f t="array" aca="1" ref="AN45" ca="1">(SUMPRODUCT(Delay_emissions_table[Consumption of Diesel (kg) - Primary Scenario],IF(Delay_emissions_table[Form of Maintenance - Primary Scenario]="Replacement",1,0))*INDEX(Indicators,MATCH('Additional Impact Indicators'!$A45,Materials!$D:$D,0),MATCH("diesel combustion",Materials!$1:$1,0))+SUMPRODUCT(Delay_emissions_table[Consumption of Petrol (kg) - Primary Scenario],IF(Delay_emissions_table[Form of Maintenance - Primary Scenario]="Replacement",1,0))*INDEX(Indicators,MATCH('Additional Impact Indicators'!$A45,Materials!$D:$D,0),MATCH("petrol combustion",Materials!$1:$1,0))+IFERROR(SUMPRODUCT(TRANSPOSE(INDEX(elec_project_emissions,MATCH(Elec_scenario&amp;'Additional Impact Indicators'!$B45,INDEX(Electricity_projection,0,3),0)-1,0)),Delay_emissions_table[Consumption of electricity (MJ) - Primary Scenario],IF(Delay_emissions_table[Form of Maintenance - Primary Scenario]="Replacement",1,0)),0))*Area_trans*Time_adj_Prim</f>
        <v>0</v>
      </c>
      <c r="AO45" s="252" t="e" cm="1">
        <f t="array" ref="AO4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5" s="252" t="e" cm="1">
        <f t="array" ref="AP4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5" s="253" t="e" cm="1">
        <f t="array" ref="AQ4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5" s="385" t="e" cm="1">
        <f t="array" ref="AR4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5" t="e">
        <f ca="1">SUMIF('Additional Impact Indicators'!$G45:$AQ45,"&lt;&gt;#N/A")</f>
        <v>#DIV/0!</v>
      </c>
      <c r="AW45" s="155" t="s">
        <v>537</v>
      </c>
      <c r="AX45" s="155" t="s">
        <v>538</v>
      </c>
      <c r="AY45" s="155" t="str">
        <f t="shared" si="2"/>
        <v>A2</v>
      </c>
      <c r="AZ45" s="155" t="s">
        <v>485</v>
      </c>
      <c r="BA45" s="155"/>
      <c r="BB45" s="155">
        <f>MATCH(Table3[[#This Row],[Indicator]],Material_Impacts[Look up],0)</f>
        <v>89</v>
      </c>
      <c r="BC45" s="246" cm="1">
        <f t="array" aca="1" ref="BC4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5" s="165" cm="1">
        <f t="array" ref="BD4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5" s="165" t="e">
        <f>Diesel_RawM_Sec*INDEX(Indicators,MATCH(Impacts_Additional[[#This Row],[Indicator]],Materials!$D:$D,0),MATCH("Diesel Combustion",Materials!$1:$1,0))*Diesel_density*Project_Area*Sec_Lays*Area_trans</f>
        <v>#DIV/0!</v>
      </c>
      <c r="BF45" s="35" t="e" cm="1">
        <f t="array" aca="1" ref="BF4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5" s="35" t="e" cm="1">
        <f t="array" aca="1" ref="BG4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5" t="e" cm="1">
        <f t="array" aca="1" ref="BH4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5" s="35" t="e" cm="1">
        <f t="array" aca="1" ref="BI4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5" s="35" t="e" cm="1">
        <f t="array" aca="1" ref="BJ4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5" t="e" cm="1">
        <f t="array" aca="1" ref="BK4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5" s="35" t="e" cm="1">
        <f t="array" aca="1" ref="BL4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5" s="35" t="e" cm="1">
        <f t="array" aca="1" ref="BM4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5" t="e" cm="1">
        <f t="array" aca="1" ref="BN4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5" s="35" t="e" cm="1">
        <f t="array" aca="1" ref="BO4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5" s="35" t="e" cm="1">
        <f t="array" aca="1" ref="BP4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5" t="e" cm="1">
        <f t="array" aca="1" ref="BQ4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5" s="35" t="e" cm="1">
        <f t="array" aca="1" ref="BR4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5" s="35" t="e" cm="1">
        <f t="array" aca="1" ref="BS4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5" t="e" cm="1">
        <f t="array" aca="1" ref="BT4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5" s="35" t="e" cm="1">
        <f t="array" aca="1" ref="BU4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5" s="35" t="e" cm="1">
        <f t="array" aca="1" ref="BV4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5" t="e" cm="1">
        <f t="array" aca="1" ref="BW4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5" s="35" t="e" cm="1">
        <f t="array" aca="1" ref="BX4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5" s="35" t="e" cm="1">
        <f t="array" aca="1" ref="BY4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5" t="e" cm="1">
        <f t="array" aca="1" ref="BZ4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5" s="35" t="e" cm="1">
        <f t="array" aca="1" ref="CA4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5" s="35" t="e" cm="1">
        <f t="array" aca="1" ref="CB4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5" t="e" cm="1">
        <f t="array" aca="1" ref="CC4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5" s="35" t="e" cm="1">
        <f t="array" aca="1" ref="CD4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5" s="35" t="e" cm="1">
        <f t="array" aca="1" ref="CE4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5" t="e" cm="1">
        <f t="array" aca="1" ref="CF4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5" s="165"/>
      <c r="CH45" s="375" cm="1">
        <f t="array" aca="1" ref="CH4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5" s="251" cm="1">
        <f t="array" aca="1" ref="CI45" ca="1">(SUMPRODUCT(Delay_emissions_table[Consumption of Diesel (kg) - Secondary Scenario],IF(Delay_emissions_table[Form of Maintenance - Secondary Scenario]="Life Extension",1,0))*INDEX(Indicators,MATCH('Additional Impact Indicators'!$A45,Materials!$D:$D,0),MATCH("diesel combustion",Materials!$1:$1,0))+SUMPRODUCT(Delay_emissions_table[Consumption of Petrol (kg) - Secondary Scenario],IF(Delay_emissions_table[Form of Maintenance - Secondary Scenario]="Life Extension",1,0))*INDEX(Indicators,MATCH('Additional Impact Indicators'!$A45,Materials!$D:$D,0),MATCH("petrol combustion",Materials!$1:$1,0))+IFERROR(SUMPRODUCT(TRANSPOSE(INDEX(elec_project_emissions,MATCH(Elec_scenario&amp;'Additional Impact Indicators'!$B45,INDEX(Electricity_projection,0,3),0)-1,0)),Delay_emissions_table[Consumption of electricity (MJ) - Secondary Scenario],IF(Delay_emissions_table[Form of Maintenance - Secondary Scenario]="Life Extension",1,0)),0))*Area_trans*time_adj_Sec</f>
        <v>0</v>
      </c>
      <c r="CJ45" s="251" cm="1">
        <f t="array" aca="1" ref="CJ45" ca="1">(SUMPRODUCT(Delay_emissions_table[Consumption of Diesel (kg) - Secondary Scenario],IF(Delay_emissions_table[Form of Maintenance - Secondary Scenario]="Replacement",1,0))*INDEX(Indicators,MATCH('Additional Impact Indicators'!$A45,Materials!$D:$D,0),MATCH("diesel combustion",Materials!$1:$1,0))+SUMPRODUCT(Delay_emissions_table[Consumption of Petrol (kg) - Secondary Scenario],IF(Delay_emissions_table[Form of Maintenance - Secondary Scenario]="Replacement",1,0))*INDEX(Indicators,MATCH('Additional Impact Indicators'!$A45,Materials!$D:$D,0),MATCH("petrol combustion",Materials!$1:$1,0))+IFERROR(SUMPRODUCT(TRANSPOSE(INDEX(elec_project_emissions,MATCH(Elec_scenario&amp;'Additional Impact Indicators'!$B45,INDEX(Electricity_projection,0,3),0)-1,0)),Delay_emissions_table[Consumption of electricity (MJ) - Secondary Scenario],IF(Delay_emissions_table[Form of Maintenance - Secondary Scenario]="Replacement",1,0)),0))*Area_trans*time_adj_Sec</f>
        <v>0</v>
      </c>
      <c r="CK45" s="252" t="e" cm="1">
        <f t="array" ref="CK4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5" s="252" t="e" cm="1">
        <f t="array" ref="CL4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5" s="253" t="e" cm="1">
        <f t="array" ref="CM4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5" s="387" t="e" cm="1">
        <f t="array" ref="CN4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5" s="51" t="e">
        <f ca="1">SUMIF(Table3[[#This Row],[Raw-Materials]:[Transport to recycling facility]],"&lt;&gt;#N/A")</f>
        <v>#DIV/0!</v>
      </c>
      <c r="CT45" t="s">
        <v>537</v>
      </c>
      <c r="CU45" t="s">
        <v>538</v>
      </c>
      <c r="CV45" t="str">
        <f t="shared" si="3"/>
        <v>A2</v>
      </c>
      <c r="CW45" t="s">
        <v>485</v>
      </c>
      <c r="CY45">
        <f>MATCH(Table611[[#This Row],[Indicator]],Material_Impacts[Look up],0)</f>
        <v>89</v>
      </c>
      <c r="CZ45" s="246" cm="1">
        <f t="array" aca="1" ref="CZ4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5" s="165" cm="1">
        <f t="array" ref="DA4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5" s="165" t="e">
        <f>Diesel_RawM_Tert*INDEX(Indicators,MATCH(Impacts_Additional[[#This Row],[Indicator]],Materials!$D:$D,0),MATCH("Diesel Combustion",Materials!$1:$1,0))*Diesel_density*Project_Area*Tert_Lays*Area_trans</f>
        <v>#DIV/0!</v>
      </c>
      <c r="DC45" s="35" t="e" cm="1">
        <f t="array" aca="1" ref="DC4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5" s="35" t="e" cm="1">
        <f t="array" aca="1" ref="DD4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5" t="e" cm="1">
        <f t="array" aca="1" ref="DE4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5" s="35" t="e" cm="1">
        <f t="array" aca="1" ref="DF4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5" s="35" t="e" cm="1">
        <f t="array" aca="1" ref="DG4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5" t="e" cm="1">
        <f t="array" aca="1" ref="DH4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5" s="35" t="e" cm="1">
        <f t="array" aca="1" ref="DI4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5" s="35" t="e" cm="1">
        <f t="array" aca="1" ref="DJ4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5" t="e" cm="1">
        <f t="array" aca="1" ref="DK4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5" s="35" t="e" cm="1">
        <f t="array" aca="1" ref="DL4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5" s="35" t="e" cm="1">
        <f t="array" aca="1" ref="DM4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5" t="e" cm="1">
        <f t="array" aca="1" ref="DN4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5" s="35" t="e" cm="1">
        <f t="array" aca="1" ref="DO4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5" s="35" t="e" cm="1">
        <f t="array" aca="1" ref="DP4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5" t="e" cm="1">
        <f t="array" aca="1" ref="DQ4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5" s="35" t="e" cm="1">
        <f t="array" aca="1" ref="DR4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5" s="35" t="e" cm="1">
        <f t="array" aca="1" ref="DS4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5" t="e" cm="1">
        <f t="array" aca="1" ref="DT4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5" s="35" t="e" cm="1">
        <f t="array" aca="1" ref="DU4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5" s="35" t="e" cm="1">
        <f t="array" aca="1" ref="DV4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5" t="e" cm="1">
        <f t="array" aca="1" ref="DW4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5" s="35" t="e" cm="1">
        <f t="array" aca="1" ref="DX4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5" s="35" t="e" cm="1">
        <f t="array" aca="1" ref="DY4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5" t="e" cm="1">
        <f t="array" aca="1" ref="DZ4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5" s="35" t="e" cm="1">
        <f t="array" aca="1" ref="EA4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5" s="35" t="e" cm="1">
        <f t="array" aca="1" ref="EB4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5" t="e" cm="1">
        <f t="array" aca="1" ref="EC4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5" s="165"/>
      <c r="EE45" s="375" cm="1">
        <f t="array" aca="1" ref="EE4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5" s="251" cm="1">
        <f t="array" aca="1" ref="EF45" ca="1">(SUMPRODUCT(Delay_emissions_table[Consumption of Diesel (kg) - Tertiary Scenario],IF(Delay_emissions_table[Form of Maintenance - Tertiary Scenario]="Life Extension",1,0))*INDEX(Indicators,MATCH('Additional Impact Indicators'!$A45,Materials!$D:$D,0),MATCH("diesel combustion",Materials!$1:$1,0))+SUMPRODUCT(Delay_emissions_table[Consumption of Petrol (kg) - Tertiary Scenario],IF(Delay_emissions_table[Form of Maintenance - Tertiary Scenario]="Life Extension",1,0))*INDEX(Indicators,MATCH('Additional Impact Indicators'!$A45,Materials!$D:$D,0),MATCH("petrol combustion",Materials!$1:$1,0))+IFERROR(SUMPRODUCT(TRANSPOSE(INDEX(elec_project_emissions,MATCH(Elec_scenario&amp;'Additional Impact Indicators'!$B45,INDEX(Electricity_projection,0,3),0)-1,0)),Delay_emissions_table[Consumption of electricity (MJ) - Tertiary Scenario],IF(Delay_emissions_table[Form of Maintenance - Tertiary Scenario]="Life Extension",1,0)),0))*Area_trans*Time_adj_Tert</f>
        <v>0</v>
      </c>
      <c r="EG45" s="251" cm="1">
        <f t="array" aca="1" ref="EG45" ca="1">(SUMPRODUCT(Delay_emissions_table[Consumption of Diesel (kg) - Tertiary Scenario],IF(Delay_emissions_table[Form of Maintenance - Tertiary Scenario]="Replacement",1,0))*INDEX(Indicators,MATCH('Additional Impact Indicators'!$A45,Materials!$D:$D,0),MATCH("diesel combustion",Materials!$1:$1,0))+SUMPRODUCT(Delay_emissions_table[Consumption of Petrol (kg) - Tertiary Scenario],IF(Delay_emissions_table[Form of Maintenance - Tertiary Scenario]="Replacement",1,0))*INDEX(Indicators,MATCH('Additional Impact Indicators'!$A45,Materials!$D:$D,0),MATCH("petrol combustion",Materials!$1:$1,0))+IFERROR(SUMPRODUCT(TRANSPOSE(INDEX(elec_project_emissions,MATCH(Elec_scenario&amp;'Additional Impact Indicators'!$B45,INDEX(Electricity_projection,0,3),0)-1,0)),Delay_emissions_table[Consumption of electricity (MJ) - Tertiary Scenario],IF(Delay_emissions_table[Form of Maintenance - Tertiary Scenario]="Replacement",1,0)),0))*Area_trans*Time_adj_Tert</f>
        <v>0</v>
      </c>
      <c r="EH45" s="252" t="e" cm="1">
        <f t="array" ref="EH4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5" s="252" t="e" cm="1">
        <f t="array" ref="EI4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5" s="253" t="e" cm="1">
        <f t="array" ref="EJ4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5" s="253" t="e" cm="1">
        <f t="array" ref="EK4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5" t="e">
        <f ca="1">SUMIF(Table611[[#This Row],[Raw-Materials]:[Transport to recycling facility]],"&lt;&gt;#N/A")</f>
        <v>#DIV/0!</v>
      </c>
    </row>
    <row r="46" spans="1:142" x14ac:dyDescent="0.35">
      <c r="A46" t="s">
        <v>539</v>
      </c>
      <c r="B46" t="s">
        <v>409</v>
      </c>
      <c r="C46" t="str">
        <f t="shared" si="1"/>
        <v>A2</v>
      </c>
      <c r="D46" t="s">
        <v>485</v>
      </c>
      <c r="F46">
        <f>MATCH(Impacts_Additional[[#This Row],[Indicator]],Material_Impacts[Look up],0)</f>
        <v>90</v>
      </c>
      <c r="G46" s="246" cm="1">
        <f t="array" aca="1" ref="G4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6" s="166" cm="1">
        <f t="array" ref="H4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6" s="166" t="e">
        <f>Diesel_RawM_Prim*INDEX(Indicators,MATCH(Impacts_Additional[[#This Row],[Indicator]],Materials!$D:$D,0),MATCH("Diesel Combustion",Materials!$1:$1,0))*Diesel_density*Project_Area*Prim_Lays*Area_trans</f>
        <v>#DIV/0!</v>
      </c>
      <c r="J46" s="20" t="e" cm="1">
        <f t="array" aca="1" ref="J4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6" s="20" t="e" cm="1">
        <f t="array" aca="1" ref="K4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6" s="20" t="e" cm="1">
        <f t="array" aca="1" ref="L4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6" s="20" t="e" cm="1">
        <f t="array" aca="1" ref="M4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6" s="20" t="e" cm="1">
        <f t="array" aca="1" ref="N4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6" s="20" t="e" cm="1">
        <f t="array" aca="1" ref="O4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6" s="20" t="e" cm="1">
        <f t="array" aca="1" ref="P4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6" s="20" t="e" cm="1">
        <f t="array" aca="1" ref="Q4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6" s="20" t="e" cm="1">
        <f t="array" aca="1" ref="R4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6" s="20" t="e" cm="1">
        <f t="array" aca="1" ref="S4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6" s="20" t="e" cm="1">
        <f t="array" aca="1" ref="T4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6" s="20" t="e" cm="1">
        <f t="array" aca="1" ref="U4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6" s="20" t="e" cm="1">
        <f t="array" aca="1" ref="V4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6" s="20" t="e" cm="1">
        <f t="array" aca="1" ref="W4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6" s="20" t="e" cm="1">
        <f t="array" aca="1" ref="X4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6" s="20" t="e" cm="1">
        <f t="array" aca="1" ref="Y4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6" s="20" t="e" cm="1">
        <f t="array" aca="1" ref="Z4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6" s="20" t="e" cm="1">
        <f t="array" aca="1" ref="AA4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6" s="20" t="e" cm="1">
        <f t="array" aca="1" ref="AB4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6" s="20" t="e" cm="1">
        <f t="array" aca="1" ref="AC4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6" s="20" t="e" cm="1">
        <f t="array" aca="1" ref="AD4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6" s="20" t="e" cm="1">
        <f t="array" aca="1" ref="AE4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6" s="20" t="e" cm="1">
        <f t="array" aca="1" ref="AF4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6" s="20" t="e" cm="1">
        <f t="array" aca="1" ref="AG4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6" s="20" t="e" cm="1">
        <f t="array" aca="1" ref="AH4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6" s="20" t="e" cm="1">
        <f t="array" aca="1" ref="AI4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6" s="20" t="e" cm="1">
        <f t="array" aca="1" ref="AJ4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6" s="166" cm="1">
        <f t="array" aca="1" ref="AK46" ca="1">((E_modulus_Prim/40114)^-0.25)*((Subgrade_stiffness_Prim/35)^-0.25)*((Surface_thickness_Prim/0.22)^-0.75)*Area_trans*delflec_switch*SUM((INDEX(PVI_vehicle_EFC,1,1)/INDEX(PVI_fuel_energy_density,1,1))*(INDEX(Indicators,MATCH('Additional Impact Indicators'!$A46,Materials!$D:$D,0),MATCH("diesel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Indicators'!$A46,Materials!$D:$D,0),MATCH("petrol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Indicators'!$A46,Materials!$D:$D,0),MATCH("diesel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Indicators'!$A46,Materials!$D:$D,0),MATCH("petrol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Indicators'!$A46,Materials!$D:$D,0),MATCH("bio-diesel combustion",Materials!$1:$1,0))*((1-enviro_disc)^Handle_years)*Handle_electricity_emissions:OFFSET(Handle_electricity_emissions,0,Results_timespan-1)^0)*OFFSET(Handle_traffic_fleet,6,0):OFFSET(Handle_traffic_fleet,6,Results_timespan-1))</f>
        <v>0</v>
      </c>
      <c r="AL46" s="166" cm="1">
        <f t="array" aca="1" ref="AL4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6" s="247" cm="1">
        <f t="array" aca="1" ref="AM46" ca="1">(SUMPRODUCT(Delay_emissions_table[Consumption of Diesel (kg) - Primary Scenario],IF(Delay_emissions_table[Form of Maintenance - Primary Scenario]="Life Extension",1,0))*INDEX(Indicators,MATCH('Additional Impact Indicators'!$A46,Materials!$D:$D,0),MATCH("diesel combustion",Materials!$1:$1,0))+SUMPRODUCT(Delay_emissions_table[Consumption of Petrol (kg) - Primary Scenario],IF(Delay_emissions_table[Form of Maintenance - Primary Scenario]="Life Extension",1,0))*INDEX(Indicators,MATCH('Additional Impact Indicators'!$A46,Materials!$D:$D,0),MATCH("petrol combustion",Materials!$1:$1,0))+IFERROR(SUMPRODUCT(TRANSPOSE(INDEX(elec_project_emissions,MATCH(Elec_scenario&amp;'Additional Impact Indicators'!$B46,INDEX(Electricity_projection,0,3),0)-1,0)),Delay_emissions_table[Consumption of electricity (MJ) - Primary Scenario],IF(Delay_emissions_table[Form of Maintenance - Primary Scenario]="Life Extension",1,0)),0))*Area_trans*Time_adj_Prim</f>
        <v>0</v>
      </c>
      <c r="AN46" s="247" cm="1">
        <f t="array" aca="1" ref="AN46" ca="1">(SUMPRODUCT(Delay_emissions_table[Consumption of Diesel (kg) - Primary Scenario],IF(Delay_emissions_table[Form of Maintenance - Primary Scenario]="Replacement",1,0))*INDEX(Indicators,MATCH('Additional Impact Indicators'!$A46,Materials!$D:$D,0),MATCH("diesel combustion",Materials!$1:$1,0))+SUMPRODUCT(Delay_emissions_table[Consumption of Petrol (kg) - Primary Scenario],IF(Delay_emissions_table[Form of Maintenance - Primary Scenario]="Replacement",1,0))*INDEX(Indicators,MATCH('Additional Impact Indicators'!$A46,Materials!$D:$D,0),MATCH("petrol combustion",Materials!$1:$1,0))+IFERROR(SUMPRODUCT(TRANSPOSE(INDEX(elec_project_emissions,MATCH(Elec_scenario&amp;'Additional Impact Indicators'!$B46,INDEX(Electricity_projection,0,3),0)-1,0)),Delay_emissions_table[Consumption of electricity (MJ) - Primary Scenario],IF(Delay_emissions_table[Form of Maintenance - Primary Scenario]="Replacement",1,0)),0))*Area_trans*Time_adj_Prim</f>
        <v>0</v>
      </c>
      <c r="AO46" s="248" t="e" cm="1">
        <f t="array" ref="AO4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6" s="248" t="e" cm="1">
        <f t="array" ref="AP4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6" s="249" t="e" cm="1">
        <f t="array" ref="AQ4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6" s="386" t="e" cm="1">
        <f t="array" ref="AR4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6" t="e">
        <f ca="1">SUMIF('Additional Impact Indicators'!$G46:$AQ46,"&lt;&gt;#N/A")</f>
        <v>#DIV/0!</v>
      </c>
      <c r="AW46" t="s">
        <v>539</v>
      </c>
      <c r="AX46" t="s">
        <v>409</v>
      </c>
      <c r="AY46" t="str">
        <f t="shared" si="2"/>
        <v>A2</v>
      </c>
      <c r="AZ46" t="s">
        <v>485</v>
      </c>
      <c r="BB46">
        <f>MATCH(Table3[[#This Row],[Indicator]],Material_Impacts[Look up],0)</f>
        <v>90</v>
      </c>
      <c r="BC46" s="246" cm="1">
        <f t="array" aca="1" ref="BC4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6" s="166" cm="1">
        <f t="array" ref="BD4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6" s="166" t="e">
        <f>Diesel_RawM_Sec*INDEX(Indicators,MATCH(Impacts_Additional[[#This Row],[Indicator]],Materials!$D:$D,0),MATCH("Diesel Combustion",Materials!$1:$1,0))*Diesel_density*Project_Area*Sec_Lays*Area_trans</f>
        <v>#DIV/0!</v>
      </c>
      <c r="BF46" s="35" t="e" cm="1">
        <f t="array" aca="1" ref="BF4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6" s="35" t="e" cm="1">
        <f t="array" aca="1" ref="BG4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6" t="e" cm="1">
        <f t="array" aca="1" ref="BH4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6" s="35" t="e" cm="1">
        <f t="array" aca="1" ref="BI4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6" s="35" t="e" cm="1">
        <f t="array" aca="1" ref="BJ4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6" t="e" cm="1">
        <f t="array" aca="1" ref="BK4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6" s="35" t="e" cm="1">
        <f t="array" aca="1" ref="BL4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6" s="35" t="e" cm="1">
        <f t="array" aca="1" ref="BM4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6" t="e" cm="1">
        <f t="array" aca="1" ref="BN4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6" s="35" t="e" cm="1">
        <f t="array" aca="1" ref="BO4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6" s="35" t="e" cm="1">
        <f t="array" aca="1" ref="BP4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6" t="e" cm="1">
        <f t="array" aca="1" ref="BQ4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6" s="35" t="e" cm="1">
        <f t="array" aca="1" ref="BR4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6" s="35" t="e" cm="1">
        <f t="array" aca="1" ref="BS4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6" t="e" cm="1">
        <f t="array" aca="1" ref="BT4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6" s="35" t="e" cm="1">
        <f t="array" aca="1" ref="BU4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6" s="35" t="e" cm="1">
        <f t="array" aca="1" ref="BV4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6" t="e" cm="1">
        <f t="array" aca="1" ref="BW4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6" s="35" t="e" cm="1">
        <f t="array" aca="1" ref="BX4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6" s="35" t="e" cm="1">
        <f t="array" aca="1" ref="BY4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6" t="e" cm="1">
        <f t="array" aca="1" ref="BZ4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6" s="35" t="e" cm="1">
        <f t="array" aca="1" ref="CA4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6" s="35" t="e" cm="1">
        <f t="array" aca="1" ref="CB4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6" t="e" cm="1">
        <f t="array" aca="1" ref="CC4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6" s="35" t="e" cm="1">
        <f t="array" aca="1" ref="CD4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6" s="35" t="e" cm="1">
        <f t="array" aca="1" ref="CE4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6" t="e" cm="1">
        <f t="array" aca="1" ref="CF4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6" s="166" cm="1">
        <f t="array" aca="1" ref="CG46" ca="1">((E_modulus_Sec/40114)^-0.25)*((Subgrade_stiffness_Sec/35)^-0.25)*((Surface_thickness_Sec/0.22)^-0.75)*Area_trans*delflec_switch*SUM((INDEX(PVI_vehicle_EFC,1,1)/INDEX(PVI_fuel_energy_density,1,1))*(INDEX(Indicators,MATCH('Additional Impact Indicators'!$A46,Materials!$D:$D,0),MATCH("diesel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Indicators'!$A46,Materials!$D:$D,0),MATCH("petrol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Indicators'!$A46,Materials!$D:$D,0),MATCH("diesel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Indicators'!$A46,Materials!$D:$D,0),MATCH("petrol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Indicators'!$A46,Materials!$D:$D,0),MATCH("bio-diesel combustion",Materials!$1:$1,0))*((1-enviro_disc)^Handle_years)*Handle_electricity_emissions:OFFSET(Handle_electricity_emissions,0,Results_timespan-1)^0)*OFFSET(Handle_traffic_fleet,6,0):OFFSET(Handle_traffic_fleet,6,Results_timespan-1))</f>
        <v>0</v>
      </c>
      <c r="CH46" s="375" cm="1">
        <f t="array" aca="1" ref="CH4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6" s="247" cm="1">
        <f t="array" aca="1" ref="CI46" ca="1">(SUMPRODUCT(Delay_emissions_table[Consumption of Diesel (kg) - Secondary Scenario],IF(Delay_emissions_table[Form of Maintenance - Secondary Scenario]="Life Extension",1,0))*INDEX(Indicators,MATCH('Additional Impact Indicators'!$A46,Materials!$D:$D,0),MATCH("diesel combustion",Materials!$1:$1,0))+SUMPRODUCT(Delay_emissions_table[Consumption of Petrol (kg) - Secondary Scenario],IF(Delay_emissions_table[Form of Maintenance - Secondary Scenario]="Life Extension",1,0))*INDEX(Indicators,MATCH('Additional Impact Indicators'!$A46,Materials!$D:$D,0),MATCH("petrol combustion",Materials!$1:$1,0))+IFERROR(SUMPRODUCT(TRANSPOSE(INDEX(elec_project_emissions,MATCH(Elec_scenario&amp;'Additional Impact Indicators'!$B46,INDEX(Electricity_projection,0,3),0)-1,0)),Delay_emissions_table[Consumption of electricity (MJ) - Secondary Scenario],IF(Delay_emissions_table[Form of Maintenance - Secondary Scenario]="Life Extension",1,0)),0))*Area_trans*time_adj_Sec</f>
        <v>0</v>
      </c>
      <c r="CJ46" s="247" cm="1">
        <f t="array" aca="1" ref="CJ46" ca="1">(SUMPRODUCT(Delay_emissions_table[Consumption of Diesel (kg) - Secondary Scenario],IF(Delay_emissions_table[Form of Maintenance - Secondary Scenario]="Replacement",1,0))*INDEX(Indicators,MATCH('Additional Impact Indicators'!$A46,Materials!$D:$D,0),MATCH("diesel combustion",Materials!$1:$1,0))+SUMPRODUCT(Delay_emissions_table[Consumption of Petrol (kg) - Secondary Scenario],IF(Delay_emissions_table[Form of Maintenance - Secondary Scenario]="Replacement",1,0))*INDEX(Indicators,MATCH('Additional Impact Indicators'!$A46,Materials!$D:$D,0),MATCH("petrol combustion",Materials!$1:$1,0))+IFERROR(SUMPRODUCT(TRANSPOSE(INDEX(elec_project_emissions,MATCH(Elec_scenario&amp;'Additional Impact Indicators'!$B46,INDEX(Electricity_projection,0,3),0)-1,0)),Delay_emissions_table[Consumption of electricity (MJ) - Secondary Scenario],IF(Delay_emissions_table[Form of Maintenance - Secondary Scenario]="Replacement",1,0)),0))*Area_trans*time_adj_Sec</f>
        <v>0</v>
      </c>
      <c r="CK46" s="248" t="e" cm="1">
        <f t="array" ref="CK4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6" s="248" t="e" cm="1">
        <f t="array" ref="CL4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6" s="249" t="e" cm="1">
        <f t="array" ref="CM4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6" s="387" t="e" cm="1">
        <f t="array" ref="CN4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6" s="51" t="e">
        <f ca="1">SUMIF(Table3[[#This Row],[Raw-Materials]:[Transport to recycling facility]],"&lt;&gt;#N/A")</f>
        <v>#DIV/0!</v>
      </c>
      <c r="CT46" t="s">
        <v>539</v>
      </c>
      <c r="CU46" t="s">
        <v>409</v>
      </c>
      <c r="CV46" t="str">
        <f t="shared" si="3"/>
        <v>A2</v>
      </c>
      <c r="CW46" t="s">
        <v>485</v>
      </c>
      <c r="CY46">
        <f>MATCH(Table611[[#This Row],[Indicator]],Material_Impacts[Look up],0)</f>
        <v>90</v>
      </c>
      <c r="CZ46" s="246" cm="1">
        <f t="array" aca="1" ref="CZ4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6" s="166" cm="1">
        <f t="array" ref="DA4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6" s="166" t="e">
        <f>Diesel_RawM_Tert*INDEX(Indicators,MATCH(Impacts_Additional[[#This Row],[Indicator]],Materials!$D:$D,0),MATCH("Diesel Combustion",Materials!$1:$1,0))*Diesel_density*Project_Area*Tert_Lays*Area_trans</f>
        <v>#DIV/0!</v>
      </c>
      <c r="DC46" s="35" t="e" cm="1">
        <f t="array" aca="1" ref="DC4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6" s="35" t="e" cm="1">
        <f t="array" aca="1" ref="DD4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6" t="e" cm="1">
        <f t="array" aca="1" ref="DE4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6" s="35" t="e" cm="1">
        <f t="array" aca="1" ref="DF4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6" s="35" t="e" cm="1">
        <f t="array" aca="1" ref="DG4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6" t="e" cm="1">
        <f t="array" aca="1" ref="DH4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6" s="35" t="e" cm="1">
        <f t="array" aca="1" ref="DI4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6" s="35" t="e" cm="1">
        <f t="array" aca="1" ref="DJ4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6" t="e" cm="1">
        <f t="array" aca="1" ref="DK4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6" s="35" t="e" cm="1">
        <f t="array" aca="1" ref="DL4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6" s="35" t="e" cm="1">
        <f t="array" aca="1" ref="DM4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6" t="e" cm="1">
        <f t="array" aca="1" ref="DN4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6" s="35" t="e" cm="1">
        <f t="array" aca="1" ref="DO4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6" s="35" t="e" cm="1">
        <f t="array" aca="1" ref="DP4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6" t="e" cm="1">
        <f t="array" aca="1" ref="DQ4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6" s="35" t="e" cm="1">
        <f t="array" aca="1" ref="DR4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6" s="35" t="e" cm="1">
        <f t="array" aca="1" ref="DS4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6" t="e" cm="1">
        <f t="array" aca="1" ref="DT4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6" s="35" t="e" cm="1">
        <f t="array" aca="1" ref="DU4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6" s="35" t="e" cm="1">
        <f t="array" aca="1" ref="DV4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6" t="e" cm="1">
        <f t="array" aca="1" ref="DW4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6" s="35" t="e" cm="1">
        <f t="array" aca="1" ref="DX4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6" s="35" t="e" cm="1">
        <f t="array" aca="1" ref="DY4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6" t="e" cm="1">
        <f t="array" aca="1" ref="DZ4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6" s="35" t="e" cm="1">
        <f t="array" aca="1" ref="EA4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6" s="35" t="e" cm="1">
        <f t="array" aca="1" ref="EB4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6" t="e" cm="1">
        <f t="array" aca="1" ref="EC4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6" s="166" cm="1">
        <f t="array" aca="1" ref="ED46" ca="1">((E_modulus_Tert/40114)^-0.25)*((Subgrade_stiffness_Tert/35)^-0.25)*((Surface_thickness_Tert/0.22)^-0.75)*Area_trans*delflec_switch*SUM((INDEX(PVI_vehicle_EFC,1,1)/INDEX(PVI_fuel_energy_density,1,1))*(INDEX(Indicators,MATCH('Additional Impact Indicators'!$A46,Materials!$D:$D,0),MATCH("diesel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Indicators'!$A46,Materials!$D:$D,0),MATCH("petrol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Indicators'!$A46,Materials!$D:$D,0),MATCH("diesel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Indicators'!$A46,Materials!$D:$D,0),MATCH("petrol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Indicators'!$A46,Materials!$D:$D,0),MATCH("bio-diesel combustion",Materials!$1:$1,0))*((1-enviro_disc)^Handle_years)*Handle_electricity_emissions:OFFSET(Handle_electricity_emissions,0,Results_timespan-1)^0)*OFFSET(Handle_traffic_fleet,6,0):OFFSET(Handle_traffic_fleet,6,Results_timespan-1))</f>
        <v>0</v>
      </c>
      <c r="EE46" s="375" cm="1">
        <f t="array" aca="1" ref="EE4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6" s="247" cm="1">
        <f t="array" aca="1" ref="EF46" ca="1">(SUMPRODUCT(Delay_emissions_table[Consumption of Diesel (kg) - Tertiary Scenario],IF(Delay_emissions_table[Form of Maintenance - Tertiary Scenario]="Life Extension",1,0))*INDEX(Indicators,MATCH('Additional Impact Indicators'!$A46,Materials!$D:$D,0),MATCH("diesel combustion",Materials!$1:$1,0))+SUMPRODUCT(Delay_emissions_table[Consumption of Petrol (kg) - Tertiary Scenario],IF(Delay_emissions_table[Form of Maintenance - Tertiary Scenario]="Life Extension",1,0))*INDEX(Indicators,MATCH('Additional Impact Indicators'!$A46,Materials!$D:$D,0),MATCH("petrol combustion",Materials!$1:$1,0))+IFERROR(SUMPRODUCT(TRANSPOSE(INDEX(elec_project_emissions,MATCH(Elec_scenario&amp;'Additional Impact Indicators'!$B46,INDEX(Electricity_projection,0,3),0)-1,0)),Delay_emissions_table[Consumption of electricity (MJ) - Tertiary Scenario],IF(Delay_emissions_table[Form of Maintenance - Tertiary Scenario]="Life Extension",1,0)),0))*Area_trans*Time_adj_Tert</f>
        <v>0</v>
      </c>
      <c r="EG46" s="247" cm="1">
        <f t="array" aca="1" ref="EG46" ca="1">(SUMPRODUCT(Delay_emissions_table[Consumption of Diesel (kg) - Tertiary Scenario],IF(Delay_emissions_table[Form of Maintenance - Tertiary Scenario]="Replacement",1,0))*INDEX(Indicators,MATCH('Additional Impact Indicators'!$A46,Materials!$D:$D,0),MATCH("diesel combustion",Materials!$1:$1,0))+SUMPRODUCT(Delay_emissions_table[Consumption of Petrol (kg) - Tertiary Scenario],IF(Delay_emissions_table[Form of Maintenance - Tertiary Scenario]="Replacement",1,0))*INDEX(Indicators,MATCH('Additional Impact Indicators'!$A46,Materials!$D:$D,0),MATCH("petrol combustion",Materials!$1:$1,0))+IFERROR(SUMPRODUCT(TRANSPOSE(INDEX(elec_project_emissions,MATCH(Elec_scenario&amp;'Additional Impact Indicators'!$B46,INDEX(Electricity_projection,0,3),0)-1,0)),Delay_emissions_table[Consumption of electricity (MJ) - Tertiary Scenario],IF(Delay_emissions_table[Form of Maintenance - Tertiary Scenario]="Replacement",1,0)),0))*Area_trans*Time_adj_Tert</f>
        <v>0</v>
      </c>
      <c r="EH46" s="248" t="e" cm="1">
        <f t="array" ref="EH4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6" s="248" t="e" cm="1">
        <f t="array" ref="EI4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6" s="249" t="e" cm="1">
        <f t="array" ref="EJ4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6" s="249" t="e" cm="1">
        <f t="array" ref="EK4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6" t="e">
        <f ca="1">SUMIF(Table611[[#This Row],[Raw-Materials]:[Transport to recycling facility]],"&lt;&gt;#N/A")</f>
        <v>#DIV/0!</v>
      </c>
    </row>
    <row r="47" spans="1:142" x14ac:dyDescent="0.35">
      <c r="A47" s="155" t="s">
        <v>540</v>
      </c>
      <c r="B47" s="155" t="s">
        <v>411</v>
      </c>
      <c r="C47" s="155" t="str">
        <f t="shared" si="1"/>
        <v>A2</v>
      </c>
      <c r="D47" s="155" t="s">
        <v>485</v>
      </c>
      <c r="E47" s="155"/>
      <c r="F47">
        <f>MATCH(Impacts_Additional[[#This Row],[Indicator]],Material_Impacts[Look up],0)</f>
        <v>91</v>
      </c>
      <c r="G47" s="246" cm="1">
        <f t="array" aca="1" ref="G4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7" s="165" cm="1">
        <f t="array" ref="H4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7" s="165" t="e">
        <f>Diesel_RawM_Prim*INDEX(Indicators,MATCH(Impacts_Additional[[#This Row],[Indicator]],Materials!$D:$D,0),MATCH("Diesel Combustion",Materials!$1:$1,0))*Diesel_density*Project_Area*Prim_Lays*Area_trans</f>
        <v>#DIV/0!</v>
      </c>
      <c r="J47" s="250" t="e" cm="1">
        <f t="array" aca="1" ref="J4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7" s="250" t="e" cm="1">
        <f t="array" aca="1" ref="K4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7" s="250" t="e" cm="1">
        <f t="array" aca="1" ref="L4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7" s="250" t="e" cm="1">
        <f t="array" aca="1" ref="M4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7" s="250" t="e" cm="1">
        <f t="array" aca="1" ref="N4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7" s="250" t="e" cm="1">
        <f t="array" aca="1" ref="O4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7" s="250" t="e" cm="1">
        <f t="array" aca="1" ref="P4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7" s="250" t="e" cm="1">
        <f t="array" aca="1" ref="Q4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7" s="250" t="e" cm="1">
        <f t="array" aca="1" ref="R4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7" s="250" t="e" cm="1">
        <f t="array" aca="1" ref="S4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7" s="250" t="e" cm="1">
        <f t="array" aca="1" ref="T4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7" s="250" t="e" cm="1">
        <f t="array" aca="1" ref="U4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7" s="250" t="e" cm="1">
        <f t="array" aca="1" ref="V4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7" s="250" t="e" cm="1">
        <f t="array" aca="1" ref="W4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7" s="250" t="e" cm="1">
        <f t="array" aca="1" ref="X4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7" s="250" t="e" cm="1">
        <f t="array" aca="1" ref="Y4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7" s="250" t="e" cm="1">
        <f t="array" aca="1" ref="Z4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7" s="250" t="e" cm="1">
        <f t="array" aca="1" ref="AA4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7" s="250" t="e" cm="1">
        <f t="array" aca="1" ref="AB4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7" s="250" t="e" cm="1">
        <f t="array" aca="1" ref="AC4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7" s="250" t="e" cm="1">
        <f t="array" aca="1" ref="AD4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7" s="250" t="e" cm="1">
        <f t="array" aca="1" ref="AE4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7" s="250" t="e" cm="1">
        <f t="array" aca="1" ref="AF4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7" s="250" t="e" cm="1">
        <f t="array" aca="1" ref="AG4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7" s="250" t="e" cm="1">
        <f t="array" aca="1" ref="AH4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7" s="250" t="e" cm="1">
        <f t="array" aca="1" ref="AI4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7" s="250" t="e" cm="1">
        <f t="array" aca="1" ref="AJ4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7" s="165" cm="1">
        <f t="array" aca="1" ref="AK47" ca="1">((E_modulus_Prim/40114)^-0.25)*((Subgrade_stiffness_Prim/35)^-0.25)*((Surface_thickness_Prim/0.22)^-0.75)*Area_trans*delflec_switch*SUM((INDEX(PVI_vehicle_EFC,1,1)/INDEX(PVI_fuel_energy_density,1,1))*(INDEX(Indicators,MATCH('Additional Impact Indicators'!$A47,Materials!$D:$D,0),MATCH("diesel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Indicators'!$A47,Materials!$D:$D,0),MATCH("bio-diesel combustion",Materials!$1:$1,0))*((1-enviro_disc)^Handle_years)*Handle_electricity_emissions:OFFSET(Handle_electricity_emissions,0,Results_timespan-1)^0)*OFFSET(Handle_traffic_fleet,6,0):OFFSET(Handle_traffic_fleet,6,Results_timespan-1))</f>
        <v>0</v>
      </c>
      <c r="AL47" s="165" cm="1">
        <f t="array" aca="1" ref="AL4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7" s="251" cm="1">
        <f t="array" aca="1" ref="AM47" ca="1">(SUMPRODUCT(Delay_emissions_table[Consumption of Diesel (kg) - Primary Scenario],IF(Delay_emissions_table[Form of Maintenance - Primary Scenario]="Life Extension",1,0))*INDEX(Indicators,MATCH('Additional Impact Indicators'!$A47,Materials!$D:$D,0),MATCH("diesel combustion",Materials!$1:$1,0))+SUMPRODUCT(Delay_emissions_table[Consumption of Petrol (kg) - Primary Scenario],IF(Delay_emissions_table[Form of Maintenance - Primary Scenario]="Life Extension",1,0))*INDEX(Indicators,MATCH('Additional Impact Indicators'!$A47,Materials!$D:$D,0),MATCH("petrol combustion",Materials!$1:$1,0))+IFERROR(SUMPRODUCT(TRANSPOSE(INDEX(elec_project_emissions,MATCH(Elec_scenario&amp;'Additional Impact Indicators'!$B47,INDEX(Electricity_projection,0,3),0)-1,0)),Delay_emissions_table[Consumption of electricity (MJ) - Primary Scenario],IF(Delay_emissions_table[Form of Maintenance - Primary Scenario]="Life Extension",1,0)),0))*Area_trans*Time_adj_Prim</f>
        <v>0</v>
      </c>
      <c r="AN47" s="251" cm="1">
        <f t="array" aca="1" ref="AN47" ca="1">(SUMPRODUCT(Delay_emissions_table[Consumption of Diesel (kg) - Primary Scenario],IF(Delay_emissions_table[Form of Maintenance - Primary Scenario]="Replacement",1,0))*INDEX(Indicators,MATCH('Additional Impact Indicators'!$A47,Materials!$D:$D,0),MATCH("diesel combustion",Materials!$1:$1,0))+SUMPRODUCT(Delay_emissions_table[Consumption of Petrol (kg) - Primary Scenario],IF(Delay_emissions_table[Form of Maintenance - Primary Scenario]="Replacement",1,0))*INDEX(Indicators,MATCH('Additional Impact Indicators'!$A47,Materials!$D:$D,0),MATCH("petrol combustion",Materials!$1:$1,0))+IFERROR(SUMPRODUCT(TRANSPOSE(INDEX(elec_project_emissions,MATCH(Elec_scenario&amp;'Additional Impact Indicators'!$B47,INDEX(Electricity_projection,0,3),0)-1,0)),Delay_emissions_table[Consumption of electricity (MJ) - Primary Scenario],IF(Delay_emissions_table[Form of Maintenance - Primary Scenario]="Replacement",1,0)),0))*Area_trans*Time_adj_Prim</f>
        <v>0</v>
      </c>
      <c r="AO47" s="252" t="e" cm="1">
        <f t="array" ref="AO4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7" s="252" t="e" cm="1">
        <f t="array" ref="AP4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7" s="253" t="e" cm="1">
        <f t="array" ref="AQ4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7" s="385" t="e" cm="1">
        <f t="array" ref="AR4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7" t="e">
        <f ca="1">SUMIF('Additional Impact Indicators'!$G47:$AQ47,"&lt;&gt;#N/A")</f>
        <v>#DIV/0!</v>
      </c>
      <c r="AW47" s="155" t="s">
        <v>540</v>
      </c>
      <c r="AX47" s="155" t="s">
        <v>411</v>
      </c>
      <c r="AY47" s="155" t="str">
        <f t="shared" si="2"/>
        <v>A2</v>
      </c>
      <c r="AZ47" s="155" t="s">
        <v>485</v>
      </c>
      <c r="BA47" s="155"/>
      <c r="BB47" s="155">
        <f>MATCH(Table3[[#This Row],[Indicator]],Material_Impacts[Look up],0)</f>
        <v>91</v>
      </c>
      <c r="BC47" s="246" cm="1">
        <f t="array" aca="1" ref="BC4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7" s="165" cm="1">
        <f t="array" ref="BD4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7" s="165" t="e">
        <f>Diesel_RawM_Sec*INDEX(Indicators,MATCH(Impacts_Additional[[#This Row],[Indicator]],Materials!$D:$D,0),MATCH("Diesel Combustion",Materials!$1:$1,0))*Diesel_density*Project_Area*Sec_Lays*Area_trans</f>
        <v>#DIV/0!</v>
      </c>
      <c r="BF47" s="35" t="e" cm="1">
        <f t="array" aca="1" ref="BF4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7" s="35" t="e" cm="1">
        <f t="array" aca="1" ref="BG4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7" t="e" cm="1">
        <f t="array" aca="1" ref="BH4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7" s="35" t="e" cm="1">
        <f t="array" aca="1" ref="BI4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7" s="35" t="e" cm="1">
        <f t="array" aca="1" ref="BJ4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7" t="e" cm="1">
        <f t="array" aca="1" ref="BK4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7" s="35" t="e" cm="1">
        <f t="array" aca="1" ref="BL4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7" s="35" t="e" cm="1">
        <f t="array" aca="1" ref="BM4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7" t="e" cm="1">
        <f t="array" aca="1" ref="BN4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7" s="35" t="e" cm="1">
        <f t="array" aca="1" ref="BO4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7" s="35" t="e" cm="1">
        <f t="array" aca="1" ref="BP4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7" t="e" cm="1">
        <f t="array" aca="1" ref="BQ4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7" s="35" t="e" cm="1">
        <f t="array" aca="1" ref="BR4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7" s="35" t="e" cm="1">
        <f t="array" aca="1" ref="BS4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7" t="e" cm="1">
        <f t="array" aca="1" ref="BT4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7" s="35" t="e" cm="1">
        <f t="array" aca="1" ref="BU4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7" s="35" t="e" cm="1">
        <f t="array" aca="1" ref="BV4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7" t="e" cm="1">
        <f t="array" aca="1" ref="BW4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7" s="35" t="e" cm="1">
        <f t="array" aca="1" ref="BX4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7" s="35" t="e" cm="1">
        <f t="array" aca="1" ref="BY4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7" t="e" cm="1">
        <f t="array" aca="1" ref="BZ4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7" s="35" t="e" cm="1">
        <f t="array" aca="1" ref="CA4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7" s="35" t="e" cm="1">
        <f t="array" aca="1" ref="CB4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7" t="e" cm="1">
        <f t="array" aca="1" ref="CC4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7" s="35" t="e" cm="1">
        <f t="array" aca="1" ref="CD4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7" s="35" t="e" cm="1">
        <f t="array" aca="1" ref="CE4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7" t="e" cm="1">
        <f t="array" aca="1" ref="CF4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7" s="165" cm="1">
        <f t="array" aca="1" ref="CG47" ca="1">((E_modulus_Sec/40114)^-0.25)*((Subgrade_stiffness_Sec/35)^-0.25)*((Surface_thickness_Sec/0.22)^-0.75)*Area_trans*delflec_switch*SUM((INDEX(PVI_vehicle_EFC,1,1)/INDEX(PVI_fuel_energy_density,1,1))*(INDEX(Indicators,MATCH('Additional Impact Indicators'!$A47,Materials!$D:$D,0),MATCH("diesel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Indicators'!$A47,Materials!$D:$D,0),MATCH("bio-diesel combustion",Materials!$1:$1,0))*((1-enviro_disc)^Handle_years)*Handle_electricity_emissions:OFFSET(Handle_electricity_emissions,0,Results_timespan-1)^0)*OFFSET(Handle_traffic_fleet,6,0):OFFSET(Handle_traffic_fleet,6,Results_timespan-1))</f>
        <v>0</v>
      </c>
      <c r="CH47" s="375" cm="1">
        <f t="array" aca="1" ref="CH4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7" s="251" cm="1">
        <f t="array" aca="1" ref="CI47" ca="1">(SUMPRODUCT(Delay_emissions_table[Consumption of Diesel (kg) - Secondary Scenario],IF(Delay_emissions_table[Form of Maintenance - Secondary Scenario]="Life Extension",1,0))*INDEX(Indicators,MATCH('Additional Impact Indicators'!$A47,Materials!$D:$D,0),MATCH("diesel combustion",Materials!$1:$1,0))+SUMPRODUCT(Delay_emissions_table[Consumption of Petrol (kg) - Secondary Scenario],IF(Delay_emissions_table[Form of Maintenance - Secondary Scenario]="Life Extension",1,0))*INDEX(Indicators,MATCH('Additional Impact Indicators'!$A47,Materials!$D:$D,0),MATCH("petrol combustion",Materials!$1:$1,0))+IFERROR(SUMPRODUCT(TRANSPOSE(INDEX(elec_project_emissions,MATCH(Elec_scenario&amp;'Additional Impact Indicators'!$B47,INDEX(Electricity_projection,0,3),0)-1,0)),Delay_emissions_table[Consumption of electricity (MJ) - Secondary Scenario],IF(Delay_emissions_table[Form of Maintenance - Secondary Scenario]="Life Extension",1,0)),0))*Area_trans*time_adj_Sec</f>
        <v>0</v>
      </c>
      <c r="CJ47" s="251" cm="1">
        <f t="array" aca="1" ref="CJ47" ca="1">(SUMPRODUCT(Delay_emissions_table[Consumption of Diesel (kg) - Secondary Scenario],IF(Delay_emissions_table[Form of Maintenance - Secondary Scenario]="Replacement",1,0))*INDEX(Indicators,MATCH('Additional Impact Indicators'!$A47,Materials!$D:$D,0),MATCH("diesel combustion",Materials!$1:$1,0))+SUMPRODUCT(Delay_emissions_table[Consumption of Petrol (kg) - Secondary Scenario],IF(Delay_emissions_table[Form of Maintenance - Secondary Scenario]="Replacement",1,0))*INDEX(Indicators,MATCH('Additional Impact Indicators'!$A47,Materials!$D:$D,0),MATCH("petrol combustion",Materials!$1:$1,0))+IFERROR(SUMPRODUCT(TRANSPOSE(INDEX(elec_project_emissions,MATCH(Elec_scenario&amp;'Additional Impact Indicators'!$B47,INDEX(Electricity_projection,0,3),0)-1,0)),Delay_emissions_table[Consumption of electricity (MJ) - Secondary Scenario],IF(Delay_emissions_table[Form of Maintenance - Secondary Scenario]="Replacement",1,0)),0))*Area_trans*time_adj_Sec</f>
        <v>0</v>
      </c>
      <c r="CK47" s="252" t="e" cm="1">
        <f t="array" ref="CK4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7" s="252" t="e" cm="1">
        <f t="array" ref="CL4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7" s="253" t="e" cm="1">
        <f t="array" ref="CM4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7" s="387" t="e" cm="1">
        <f t="array" ref="CN4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7" s="51" t="e">
        <f ca="1">SUMIF(Table3[[#This Row],[Raw-Materials]:[Transport to recycling facility]],"&lt;&gt;#N/A")</f>
        <v>#DIV/0!</v>
      </c>
      <c r="CT47" t="s">
        <v>540</v>
      </c>
      <c r="CU47" t="s">
        <v>411</v>
      </c>
      <c r="CV47" t="str">
        <f t="shared" si="3"/>
        <v>A2</v>
      </c>
      <c r="CW47" t="s">
        <v>485</v>
      </c>
      <c r="CY47">
        <f>MATCH(Table611[[#This Row],[Indicator]],Material_Impacts[Look up],0)</f>
        <v>91</v>
      </c>
      <c r="CZ47" s="246" cm="1">
        <f t="array" aca="1" ref="CZ4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7" s="165" cm="1">
        <f t="array" ref="DA4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7" s="165" t="e">
        <f>Diesel_RawM_Tert*INDEX(Indicators,MATCH(Impacts_Additional[[#This Row],[Indicator]],Materials!$D:$D,0),MATCH("Diesel Combustion",Materials!$1:$1,0))*Diesel_density*Project_Area*Tert_Lays*Area_trans</f>
        <v>#DIV/0!</v>
      </c>
      <c r="DC47" s="35" t="e" cm="1">
        <f t="array" aca="1" ref="DC4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7" s="35" t="e" cm="1">
        <f t="array" aca="1" ref="DD4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7" t="e" cm="1">
        <f t="array" aca="1" ref="DE4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7" s="35" t="e" cm="1">
        <f t="array" aca="1" ref="DF4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7" s="35" t="e" cm="1">
        <f t="array" aca="1" ref="DG4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7" t="e" cm="1">
        <f t="array" aca="1" ref="DH4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7" s="35" t="e" cm="1">
        <f t="array" aca="1" ref="DI4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7" s="35" t="e" cm="1">
        <f t="array" aca="1" ref="DJ4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7" t="e" cm="1">
        <f t="array" aca="1" ref="DK4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7" s="35" t="e" cm="1">
        <f t="array" aca="1" ref="DL4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7" s="35" t="e" cm="1">
        <f t="array" aca="1" ref="DM4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7" t="e" cm="1">
        <f t="array" aca="1" ref="DN4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7" s="35" t="e" cm="1">
        <f t="array" aca="1" ref="DO4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7" s="35" t="e" cm="1">
        <f t="array" aca="1" ref="DP4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7" t="e" cm="1">
        <f t="array" aca="1" ref="DQ4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7" s="35" t="e" cm="1">
        <f t="array" aca="1" ref="DR4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7" s="35" t="e" cm="1">
        <f t="array" aca="1" ref="DS4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7" t="e" cm="1">
        <f t="array" aca="1" ref="DT4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7" s="35" t="e" cm="1">
        <f t="array" aca="1" ref="DU4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7" s="35" t="e" cm="1">
        <f t="array" aca="1" ref="DV4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7" t="e" cm="1">
        <f t="array" aca="1" ref="DW4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7" s="35" t="e" cm="1">
        <f t="array" aca="1" ref="DX4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7" s="35" t="e" cm="1">
        <f t="array" aca="1" ref="DY4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7" t="e" cm="1">
        <f t="array" aca="1" ref="DZ4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7" s="35" t="e" cm="1">
        <f t="array" aca="1" ref="EA4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7" s="35" t="e" cm="1">
        <f t="array" aca="1" ref="EB4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7" t="e" cm="1">
        <f t="array" aca="1" ref="EC4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7" s="165" cm="1">
        <f t="array" aca="1" ref="ED47" ca="1">((E_modulus_Tert/40114)^-0.25)*((Subgrade_stiffness_Tert/35)^-0.25)*((Surface_thickness_Tert/0.22)^-0.75)*Area_trans*delflec_switch*SUM((INDEX(PVI_vehicle_EFC,1,1)/INDEX(PVI_fuel_energy_density,1,1))*(INDEX(Indicators,MATCH('Additional Impact Indicators'!$A47,Materials!$D:$D,0),MATCH("diesel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Indicators'!$A47,Materials!$D:$D,0),MATCH("petrol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Indicators'!$A47,Materials!$D:$D,0),MATCH("diesel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Indicators'!$A47,Materials!$D:$D,0),MATCH("petrol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Indicators'!$A47,Materials!$D:$D,0),MATCH("bio-diesel combustion",Materials!$1:$1,0))*((1-enviro_disc)^Handle_years)*Handle_electricity_emissions:OFFSET(Handle_electricity_emissions,0,Results_timespan-1)^0)*OFFSET(Handle_traffic_fleet,6,0):OFFSET(Handle_traffic_fleet,6,Results_timespan-1))</f>
        <v>0</v>
      </c>
      <c r="EE47" s="375" cm="1">
        <f t="array" aca="1" ref="EE4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7" s="251" cm="1">
        <f t="array" aca="1" ref="EF47" ca="1">(SUMPRODUCT(Delay_emissions_table[Consumption of Diesel (kg) - Tertiary Scenario],IF(Delay_emissions_table[Form of Maintenance - Tertiary Scenario]="Life Extension",1,0))*INDEX(Indicators,MATCH('Additional Impact Indicators'!$A47,Materials!$D:$D,0),MATCH("diesel combustion",Materials!$1:$1,0))+SUMPRODUCT(Delay_emissions_table[Consumption of Petrol (kg) - Tertiary Scenario],IF(Delay_emissions_table[Form of Maintenance - Tertiary Scenario]="Life Extension",1,0))*INDEX(Indicators,MATCH('Additional Impact Indicators'!$A47,Materials!$D:$D,0),MATCH("petrol combustion",Materials!$1:$1,0))+IFERROR(SUMPRODUCT(TRANSPOSE(INDEX(elec_project_emissions,MATCH(Elec_scenario&amp;'Additional Impact Indicators'!$B47,INDEX(Electricity_projection,0,3),0)-1,0)),Delay_emissions_table[Consumption of electricity (MJ) - Tertiary Scenario],IF(Delay_emissions_table[Form of Maintenance - Tertiary Scenario]="Life Extension",1,0)),0))*Area_trans*Time_adj_Tert</f>
        <v>0</v>
      </c>
      <c r="EG47" s="251" cm="1">
        <f t="array" aca="1" ref="EG47" ca="1">(SUMPRODUCT(Delay_emissions_table[Consumption of Diesel (kg) - Tertiary Scenario],IF(Delay_emissions_table[Form of Maintenance - Tertiary Scenario]="Replacement",1,0))*INDEX(Indicators,MATCH('Additional Impact Indicators'!$A47,Materials!$D:$D,0),MATCH("diesel combustion",Materials!$1:$1,0))+SUMPRODUCT(Delay_emissions_table[Consumption of Petrol (kg) - Tertiary Scenario],IF(Delay_emissions_table[Form of Maintenance - Tertiary Scenario]="Replacement",1,0))*INDEX(Indicators,MATCH('Additional Impact Indicators'!$A47,Materials!$D:$D,0),MATCH("petrol combustion",Materials!$1:$1,0))+IFERROR(SUMPRODUCT(TRANSPOSE(INDEX(elec_project_emissions,MATCH(Elec_scenario&amp;'Additional Impact Indicators'!$B47,INDEX(Electricity_projection,0,3),0)-1,0)),Delay_emissions_table[Consumption of electricity (MJ) - Tertiary Scenario],IF(Delay_emissions_table[Form of Maintenance - Tertiary Scenario]="Replacement",1,0)),0))*Area_trans*Time_adj_Tert</f>
        <v>0</v>
      </c>
      <c r="EH47" s="252" t="e" cm="1">
        <f t="array" ref="EH4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7" s="252" t="e" cm="1">
        <f t="array" ref="EI4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7" s="253" t="e" cm="1">
        <f t="array" ref="EJ4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7" s="253" t="e" cm="1">
        <f t="array" ref="EK4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7" t="e">
        <f ca="1">SUMIF(Table611[[#This Row],[Raw-Materials]:[Transport to recycling facility]],"&lt;&gt;#N/A")</f>
        <v>#DIV/0!</v>
      </c>
    </row>
    <row r="48" spans="1:142" x14ac:dyDescent="0.35">
      <c r="A48" t="s">
        <v>541</v>
      </c>
      <c r="B48" t="s">
        <v>413</v>
      </c>
      <c r="C48" t="str">
        <f t="shared" si="1"/>
        <v>A2</v>
      </c>
      <c r="D48" t="s">
        <v>485</v>
      </c>
      <c r="F48">
        <f>MATCH(Impacts_Additional[[#This Row],[Indicator]],Material_Impacts[Look up],0)</f>
        <v>92</v>
      </c>
      <c r="G48" s="246" cm="1">
        <f t="array" aca="1" ref="G4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8" s="166" cm="1">
        <f t="array" ref="H4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8" s="166" t="e">
        <f>Diesel_RawM_Prim*INDEX(Indicators,MATCH(Impacts_Additional[[#This Row],[Indicator]],Materials!$D:$D,0),MATCH("Diesel Combustion",Materials!$1:$1,0))*Diesel_density*Project_Area*Prim_Lays*Area_trans</f>
        <v>#DIV/0!</v>
      </c>
      <c r="J48" s="20" t="e" cm="1">
        <f t="array" aca="1" ref="J4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8" s="20" t="e" cm="1">
        <f t="array" aca="1" ref="K4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8" s="20" t="e" cm="1">
        <f t="array" aca="1" ref="L4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8" s="20" t="e" cm="1">
        <f t="array" aca="1" ref="M4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8" s="20" t="e" cm="1">
        <f t="array" aca="1" ref="N4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8" s="20" t="e" cm="1">
        <f t="array" aca="1" ref="O4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8" s="20" t="e" cm="1">
        <f t="array" aca="1" ref="P4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8" s="20" t="e" cm="1">
        <f t="array" aca="1" ref="Q4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8" s="20" t="e" cm="1">
        <f t="array" aca="1" ref="R4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8" s="20" t="e" cm="1">
        <f t="array" aca="1" ref="S4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8" s="20" t="e" cm="1">
        <f t="array" aca="1" ref="T4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8" s="20" t="e" cm="1">
        <f t="array" aca="1" ref="U4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8" s="20" t="e" cm="1">
        <f t="array" aca="1" ref="V4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8" s="20" t="e" cm="1">
        <f t="array" aca="1" ref="W4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8" s="20" t="e" cm="1">
        <f t="array" aca="1" ref="X4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8" s="20" t="e" cm="1">
        <f t="array" aca="1" ref="Y4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8" s="20" t="e" cm="1">
        <f t="array" aca="1" ref="Z4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8" s="20" t="e" cm="1">
        <f t="array" aca="1" ref="AA4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8" s="20" t="e" cm="1">
        <f t="array" aca="1" ref="AB4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8" s="20" t="e" cm="1">
        <f t="array" aca="1" ref="AC4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8" s="20" t="e" cm="1">
        <f t="array" aca="1" ref="AD4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8" s="20" t="e" cm="1">
        <f t="array" aca="1" ref="AE4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8" s="20" t="e" cm="1">
        <f t="array" aca="1" ref="AF4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8" s="20" t="e" cm="1">
        <f t="array" aca="1" ref="AG4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8" s="20" t="e" cm="1">
        <f t="array" aca="1" ref="AH4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8" s="20" t="e" cm="1">
        <f t="array" aca="1" ref="AI4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8" s="20" t="e" cm="1">
        <f t="array" aca="1" ref="AJ4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8" s="166"/>
      <c r="AL48" s="166" cm="1">
        <f t="array" aca="1" ref="AL4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8" s="247" cm="1">
        <f t="array" aca="1" ref="AM48" ca="1">(SUMPRODUCT(Delay_emissions_table[Consumption of Diesel (kg) - Primary Scenario],IF(Delay_emissions_table[Form of Maintenance - Primary Scenario]="Life Extension",1,0))*INDEX(Indicators,MATCH('Additional Impact Indicators'!$A48,Materials!$D:$D,0),MATCH("diesel combustion",Materials!$1:$1,0))+SUMPRODUCT(Delay_emissions_table[Consumption of Petrol (kg) - Primary Scenario],IF(Delay_emissions_table[Form of Maintenance - Primary Scenario]="Life Extension",1,0))*INDEX(Indicators,MATCH('Additional Impact Indicators'!$A48,Materials!$D:$D,0),MATCH("petrol combustion",Materials!$1:$1,0))+IFERROR(SUMPRODUCT(TRANSPOSE(INDEX(elec_project_emissions,MATCH(Elec_scenario&amp;'Additional Impact Indicators'!$B48,INDEX(Electricity_projection,0,3),0)-1,0)),Delay_emissions_table[Consumption of electricity (MJ) - Primary Scenario],IF(Delay_emissions_table[Form of Maintenance - Primary Scenario]="Life Extension",1,0)),0))*Area_trans*Time_adj_Prim</f>
        <v>0</v>
      </c>
      <c r="AN48" s="247" cm="1">
        <f t="array" aca="1" ref="AN48" ca="1">(SUMPRODUCT(Delay_emissions_table[Consumption of Diesel (kg) - Primary Scenario],IF(Delay_emissions_table[Form of Maintenance - Primary Scenario]="Replacement",1,0))*INDEX(Indicators,MATCH('Additional Impact Indicators'!$A48,Materials!$D:$D,0),MATCH("diesel combustion",Materials!$1:$1,0))+SUMPRODUCT(Delay_emissions_table[Consumption of Petrol (kg) - Primary Scenario],IF(Delay_emissions_table[Form of Maintenance - Primary Scenario]="Replacement",1,0))*INDEX(Indicators,MATCH('Additional Impact Indicators'!$A48,Materials!$D:$D,0),MATCH("petrol combustion",Materials!$1:$1,0))+IFERROR(SUMPRODUCT(TRANSPOSE(INDEX(elec_project_emissions,MATCH(Elec_scenario&amp;'Additional Impact Indicators'!$B48,INDEX(Electricity_projection,0,3),0)-1,0)),Delay_emissions_table[Consumption of electricity (MJ) - Primary Scenario],IF(Delay_emissions_table[Form of Maintenance - Primary Scenario]="Replacement",1,0)),0))*Area_trans*Time_adj_Prim</f>
        <v>0</v>
      </c>
      <c r="AO48" s="248" t="e" cm="1">
        <f t="array" ref="AO4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8" s="248" t="e" cm="1">
        <f t="array" ref="AP4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8" s="249" t="e" cm="1">
        <f t="array" ref="AQ4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8" s="386" t="e" cm="1">
        <f t="array" ref="AR4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8" t="e">
        <f ca="1">SUMIF('Additional Impact Indicators'!$G48:$AQ48,"&lt;&gt;#N/A")</f>
        <v>#DIV/0!</v>
      </c>
      <c r="AW48" t="s">
        <v>541</v>
      </c>
      <c r="AX48" t="s">
        <v>413</v>
      </c>
      <c r="AY48" t="str">
        <f t="shared" si="2"/>
        <v>A2</v>
      </c>
      <c r="AZ48" t="s">
        <v>485</v>
      </c>
      <c r="BB48">
        <f>MATCH(Table3[[#This Row],[Indicator]],Material_Impacts[Look up],0)</f>
        <v>92</v>
      </c>
      <c r="BC48" s="246" cm="1">
        <f t="array" aca="1" ref="BC4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8" s="166" cm="1">
        <f t="array" ref="BD4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8" s="166" t="e">
        <f>Diesel_RawM_Sec*INDEX(Indicators,MATCH(Impacts_Additional[[#This Row],[Indicator]],Materials!$D:$D,0),MATCH("Diesel Combustion",Materials!$1:$1,0))*Diesel_density*Project_Area*Sec_Lays*Area_trans</f>
        <v>#DIV/0!</v>
      </c>
      <c r="BF48" s="35" t="e" cm="1">
        <f t="array" aca="1" ref="BF4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8" s="35" t="e" cm="1">
        <f t="array" aca="1" ref="BG4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8" t="e" cm="1">
        <f t="array" aca="1" ref="BH4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8" s="35" t="e" cm="1">
        <f t="array" aca="1" ref="BI4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8" s="35" t="e" cm="1">
        <f t="array" aca="1" ref="BJ4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8" t="e" cm="1">
        <f t="array" aca="1" ref="BK4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8" s="35" t="e" cm="1">
        <f t="array" aca="1" ref="BL4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8" s="35" t="e" cm="1">
        <f t="array" aca="1" ref="BM4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8" t="e" cm="1">
        <f t="array" aca="1" ref="BN4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8" s="35" t="e" cm="1">
        <f t="array" aca="1" ref="BO4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8" s="35" t="e" cm="1">
        <f t="array" aca="1" ref="BP4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8" t="e" cm="1">
        <f t="array" aca="1" ref="BQ4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8" s="35" t="e" cm="1">
        <f t="array" aca="1" ref="BR4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8" s="35" t="e" cm="1">
        <f t="array" aca="1" ref="BS4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8" t="e" cm="1">
        <f t="array" aca="1" ref="BT4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8" s="35" t="e" cm="1">
        <f t="array" aca="1" ref="BU4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8" s="35" t="e" cm="1">
        <f t="array" aca="1" ref="BV4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8" t="e" cm="1">
        <f t="array" aca="1" ref="BW4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8" s="35" t="e" cm="1">
        <f t="array" aca="1" ref="BX4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8" s="35" t="e" cm="1">
        <f t="array" aca="1" ref="BY4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8" t="e" cm="1">
        <f t="array" aca="1" ref="BZ4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8" s="35" t="e" cm="1">
        <f t="array" aca="1" ref="CA4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8" s="35" t="e" cm="1">
        <f t="array" aca="1" ref="CB4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8" t="e" cm="1">
        <f t="array" aca="1" ref="CC4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8" s="35" t="e" cm="1">
        <f t="array" aca="1" ref="CD4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8" s="35" t="e" cm="1">
        <f t="array" aca="1" ref="CE4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8" t="e" cm="1">
        <f t="array" aca="1" ref="CF4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8" s="166"/>
      <c r="CH48" s="375" cm="1">
        <f t="array" aca="1" ref="CH4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8" s="247" cm="1">
        <f t="array" aca="1" ref="CI48" ca="1">(SUMPRODUCT(Delay_emissions_table[Consumption of Diesel (kg) - Secondary Scenario],IF(Delay_emissions_table[Form of Maintenance - Secondary Scenario]="Life Extension",1,0))*INDEX(Indicators,MATCH('Additional Impact Indicators'!$A48,Materials!$D:$D,0),MATCH("diesel combustion",Materials!$1:$1,0))+SUMPRODUCT(Delay_emissions_table[Consumption of Petrol (kg) - Secondary Scenario],IF(Delay_emissions_table[Form of Maintenance - Secondary Scenario]="Life Extension",1,0))*INDEX(Indicators,MATCH('Additional Impact Indicators'!$A48,Materials!$D:$D,0),MATCH("petrol combustion",Materials!$1:$1,0))+IFERROR(SUMPRODUCT(TRANSPOSE(INDEX(elec_project_emissions,MATCH(Elec_scenario&amp;'Additional Impact Indicators'!$B48,INDEX(Electricity_projection,0,3),0)-1,0)),Delay_emissions_table[Consumption of electricity (MJ) - Secondary Scenario],IF(Delay_emissions_table[Form of Maintenance - Secondary Scenario]="Life Extension",1,0)),0))*Area_trans*time_adj_Sec</f>
        <v>0</v>
      </c>
      <c r="CJ48" s="247" cm="1">
        <f t="array" aca="1" ref="CJ48" ca="1">(SUMPRODUCT(Delay_emissions_table[Consumption of Diesel (kg) - Secondary Scenario],IF(Delay_emissions_table[Form of Maintenance - Secondary Scenario]="Replacement",1,0))*INDEX(Indicators,MATCH('Additional Impact Indicators'!$A48,Materials!$D:$D,0),MATCH("diesel combustion",Materials!$1:$1,0))+SUMPRODUCT(Delay_emissions_table[Consumption of Petrol (kg) - Secondary Scenario],IF(Delay_emissions_table[Form of Maintenance - Secondary Scenario]="Replacement",1,0))*INDEX(Indicators,MATCH('Additional Impact Indicators'!$A48,Materials!$D:$D,0),MATCH("petrol combustion",Materials!$1:$1,0))+IFERROR(SUMPRODUCT(TRANSPOSE(INDEX(elec_project_emissions,MATCH(Elec_scenario&amp;'Additional Impact Indicators'!$B48,INDEX(Electricity_projection,0,3),0)-1,0)),Delay_emissions_table[Consumption of electricity (MJ) - Secondary Scenario],IF(Delay_emissions_table[Form of Maintenance - Secondary Scenario]="Replacement",1,0)),0))*Area_trans*time_adj_Sec</f>
        <v>0</v>
      </c>
      <c r="CK48" s="248" t="e" cm="1">
        <f t="array" ref="CK4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8" s="248" t="e" cm="1">
        <f t="array" ref="CL4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8" s="249" t="e" cm="1">
        <f t="array" ref="CM4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8" s="387" t="e" cm="1">
        <f t="array" ref="CN4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8" s="51" t="e">
        <f ca="1">SUMIF(Table3[[#This Row],[Raw-Materials]:[Transport to recycling facility]],"&lt;&gt;#N/A")</f>
        <v>#DIV/0!</v>
      </c>
      <c r="CT48" t="s">
        <v>541</v>
      </c>
      <c r="CU48" t="s">
        <v>413</v>
      </c>
      <c r="CV48" t="str">
        <f t="shared" si="3"/>
        <v>A2</v>
      </c>
      <c r="CW48" t="s">
        <v>485</v>
      </c>
      <c r="CY48">
        <f>MATCH(Table611[[#This Row],[Indicator]],Material_Impacts[Look up],0)</f>
        <v>92</v>
      </c>
      <c r="CZ48" s="246" cm="1">
        <f t="array" aca="1" ref="CZ4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8" s="166" cm="1">
        <f t="array" ref="DA4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8" s="166" t="e">
        <f>Diesel_RawM_Tert*INDEX(Indicators,MATCH(Impacts_Additional[[#This Row],[Indicator]],Materials!$D:$D,0),MATCH("Diesel Combustion",Materials!$1:$1,0))*Diesel_density*Project_Area*Tert_Lays*Area_trans</f>
        <v>#DIV/0!</v>
      </c>
      <c r="DC48" s="35" t="e" cm="1">
        <f t="array" aca="1" ref="DC4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8" s="35" t="e" cm="1">
        <f t="array" aca="1" ref="DD4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8" t="e" cm="1">
        <f t="array" aca="1" ref="DE4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8" s="35" t="e" cm="1">
        <f t="array" aca="1" ref="DF4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8" s="35" t="e" cm="1">
        <f t="array" aca="1" ref="DG4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8" t="e" cm="1">
        <f t="array" aca="1" ref="DH4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8" s="35" t="e" cm="1">
        <f t="array" aca="1" ref="DI4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8" s="35" t="e" cm="1">
        <f t="array" aca="1" ref="DJ4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8" t="e" cm="1">
        <f t="array" aca="1" ref="DK4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8" s="35" t="e" cm="1">
        <f t="array" aca="1" ref="DL4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8" s="35" t="e" cm="1">
        <f t="array" aca="1" ref="DM4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8" t="e" cm="1">
        <f t="array" aca="1" ref="DN4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8" s="35" t="e" cm="1">
        <f t="array" aca="1" ref="DO4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8" s="35" t="e" cm="1">
        <f t="array" aca="1" ref="DP4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8" t="e" cm="1">
        <f t="array" aca="1" ref="DQ4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8" s="35" t="e" cm="1">
        <f t="array" aca="1" ref="DR4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8" s="35" t="e" cm="1">
        <f t="array" aca="1" ref="DS4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8" t="e" cm="1">
        <f t="array" aca="1" ref="DT4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8" s="35" t="e" cm="1">
        <f t="array" aca="1" ref="DU4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8" s="35" t="e" cm="1">
        <f t="array" aca="1" ref="DV4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8" t="e" cm="1">
        <f t="array" aca="1" ref="DW4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8" s="35" t="e" cm="1">
        <f t="array" aca="1" ref="DX4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8" s="35" t="e" cm="1">
        <f t="array" aca="1" ref="DY4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8" t="e" cm="1">
        <f t="array" aca="1" ref="DZ4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8" s="35" t="e" cm="1">
        <f t="array" aca="1" ref="EA4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8" s="35" t="e" cm="1">
        <f t="array" aca="1" ref="EB4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8" t="e" cm="1">
        <f t="array" aca="1" ref="EC4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8" s="166"/>
      <c r="EE48" s="375" cm="1">
        <f t="array" aca="1" ref="EE4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8" s="247" cm="1">
        <f t="array" aca="1" ref="EF48" ca="1">(SUMPRODUCT(Delay_emissions_table[Consumption of Diesel (kg) - Tertiary Scenario],IF(Delay_emissions_table[Form of Maintenance - Tertiary Scenario]="Life Extension",1,0))*INDEX(Indicators,MATCH('Additional Impact Indicators'!$A48,Materials!$D:$D,0),MATCH("diesel combustion",Materials!$1:$1,0))+SUMPRODUCT(Delay_emissions_table[Consumption of Petrol (kg) - Tertiary Scenario],IF(Delay_emissions_table[Form of Maintenance - Tertiary Scenario]="Life Extension",1,0))*INDEX(Indicators,MATCH('Additional Impact Indicators'!$A48,Materials!$D:$D,0),MATCH("petrol combustion",Materials!$1:$1,0))+IFERROR(SUMPRODUCT(TRANSPOSE(INDEX(elec_project_emissions,MATCH(Elec_scenario&amp;'Additional Impact Indicators'!$B48,INDEX(Electricity_projection,0,3),0)-1,0)),Delay_emissions_table[Consumption of electricity (MJ) - Tertiary Scenario],IF(Delay_emissions_table[Form of Maintenance - Tertiary Scenario]="Life Extension",1,0)),0))*Area_trans*Time_adj_Tert</f>
        <v>0</v>
      </c>
      <c r="EG48" s="247" cm="1">
        <f t="array" aca="1" ref="EG48" ca="1">(SUMPRODUCT(Delay_emissions_table[Consumption of Diesel (kg) - Tertiary Scenario],IF(Delay_emissions_table[Form of Maintenance - Tertiary Scenario]="Replacement",1,0))*INDEX(Indicators,MATCH('Additional Impact Indicators'!$A48,Materials!$D:$D,0),MATCH("diesel combustion",Materials!$1:$1,0))+SUMPRODUCT(Delay_emissions_table[Consumption of Petrol (kg) - Tertiary Scenario],IF(Delay_emissions_table[Form of Maintenance - Tertiary Scenario]="Replacement",1,0))*INDEX(Indicators,MATCH('Additional Impact Indicators'!$A48,Materials!$D:$D,0),MATCH("petrol combustion",Materials!$1:$1,0))+IFERROR(SUMPRODUCT(TRANSPOSE(INDEX(elec_project_emissions,MATCH(Elec_scenario&amp;'Additional Impact Indicators'!$B48,INDEX(Electricity_projection,0,3),0)-1,0)),Delay_emissions_table[Consumption of electricity (MJ) - Tertiary Scenario],IF(Delay_emissions_table[Form of Maintenance - Tertiary Scenario]="Replacement",1,0)),0))*Area_trans*Time_adj_Tert</f>
        <v>0</v>
      </c>
      <c r="EH48" s="248" t="e" cm="1">
        <f t="array" ref="EH4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8" s="248" t="e" cm="1">
        <f t="array" ref="EI4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8" s="249" t="e" cm="1">
        <f t="array" ref="EJ4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8" s="249" t="e" cm="1">
        <f t="array" ref="EK4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8" t="e">
        <f ca="1">SUMIF(Table611[[#This Row],[Raw-Materials]:[Transport to recycling facility]],"&lt;&gt;#N/A")</f>
        <v>#DIV/0!</v>
      </c>
    </row>
    <row r="49" spans="1:142" x14ac:dyDescent="0.35">
      <c r="A49" s="155" t="s">
        <v>542</v>
      </c>
      <c r="B49" s="155" t="s">
        <v>508</v>
      </c>
      <c r="C49" s="155" t="str">
        <f t="shared" si="1"/>
        <v>A2</v>
      </c>
      <c r="D49" s="155" t="s">
        <v>485</v>
      </c>
      <c r="E49" s="155"/>
      <c r="F49">
        <f>MATCH(Impacts_Additional[[#This Row],[Indicator]],Material_Impacts[Look up],0)</f>
        <v>93</v>
      </c>
      <c r="G49" s="246" cm="1">
        <f t="array" aca="1" ref="G4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49" s="165" cm="1">
        <f t="array" ref="H4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49" s="165" t="e">
        <f>Diesel_RawM_Prim*INDEX(Indicators,MATCH(Impacts_Additional[[#This Row],[Indicator]],Materials!$D:$D,0),MATCH("Diesel Combustion",Materials!$1:$1,0))*Diesel_density*Project_Area*Prim_Lays*Area_trans</f>
        <v>#DIV/0!</v>
      </c>
      <c r="J49" s="250" t="e" cm="1">
        <f t="array" aca="1" ref="J4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49" s="250" t="e" cm="1">
        <f t="array" aca="1" ref="K4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49" s="250" t="e" cm="1">
        <f t="array" aca="1" ref="L4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49" s="250" t="e" cm="1">
        <f t="array" aca="1" ref="M4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49" s="250" t="e" cm="1">
        <f t="array" aca="1" ref="N4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49" s="250" t="e" cm="1">
        <f t="array" aca="1" ref="O4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49" s="250" t="e" cm="1">
        <f t="array" aca="1" ref="P4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49" s="250" t="e" cm="1">
        <f t="array" aca="1" ref="Q4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49" s="250" t="e" cm="1">
        <f t="array" aca="1" ref="R4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49" s="250" t="e" cm="1">
        <f t="array" aca="1" ref="S4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49" s="250" t="e" cm="1">
        <f t="array" aca="1" ref="T4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49" s="250" t="e" cm="1">
        <f t="array" aca="1" ref="U4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49" s="250" t="e" cm="1">
        <f t="array" aca="1" ref="V4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49" s="250" t="e" cm="1">
        <f t="array" aca="1" ref="W4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49" s="250" t="e" cm="1">
        <f t="array" aca="1" ref="X4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49" s="250" t="e" cm="1">
        <f t="array" aca="1" ref="Y4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49" s="250" t="e" cm="1">
        <f t="array" aca="1" ref="Z4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49" s="250" t="e" cm="1">
        <f t="array" aca="1" ref="AA4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49" s="250" t="e" cm="1">
        <f t="array" aca="1" ref="AB4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49" s="250" t="e" cm="1">
        <f t="array" aca="1" ref="AC4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49" s="250" t="e" cm="1">
        <f t="array" aca="1" ref="AD4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49" s="250" t="e" cm="1">
        <f t="array" aca="1" ref="AE4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49" s="250" t="e" cm="1">
        <f t="array" aca="1" ref="AF4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49" s="250" t="e" cm="1">
        <f t="array" aca="1" ref="AG4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49" s="250" t="e" cm="1">
        <f t="array" aca="1" ref="AH4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49" s="250" t="e" cm="1">
        <f t="array" aca="1" ref="AI4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49" s="250" t="e" cm="1">
        <f t="array" aca="1" ref="AJ4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49" s="165"/>
      <c r="AL49" s="165" cm="1">
        <f t="array" aca="1" ref="AL4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49" s="251" cm="1">
        <f t="array" aca="1" ref="AM49" ca="1">(SUMPRODUCT(Delay_emissions_table[Consumption of Diesel (kg) - Primary Scenario],IF(Delay_emissions_table[Form of Maintenance - Primary Scenario]="Life Extension",1,0))*INDEX(Indicators,MATCH('Additional Impact Indicators'!$A49,Materials!$D:$D,0),MATCH("diesel combustion",Materials!$1:$1,0))+SUMPRODUCT(Delay_emissions_table[Consumption of Petrol (kg) - Primary Scenario],IF(Delay_emissions_table[Form of Maintenance - Primary Scenario]="Life Extension",1,0))*INDEX(Indicators,MATCH('Additional Impact Indicators'!$A49,Materials!$D:$D,0),MATCH("petrol combustion",Materials!$1:$1,0))+IFERROR(SUMPRODUCT(TRANSPOSE(INDEX(elec_project_emissions,MATCH(Elec_scenario&amp;'Additional Impact Indicators'!$B49,INDEX(Electricity_projection,0,3),0)-1,0)),Delay_emissions_table[Consumption of electricity (MJ) - Primary Scenario],IF(Delay_emissions_table[Form of Maintenance - Primary Scenario]="Life Extension",1,0)),0))*Area_trans*Time_adj_Prim</f>
        <v>0</v>
      </c>
      <c r="AN49" s="251" cm="1">
        <f t="array" aca="1" ref="AN49" ca="1">(SUMPRODUCT(Delay_emissions_table[Consumption of Diesel (kg) - Primary Scenario],IF(Delay_emissions_table[Form of Maintenance - Primary Scenario]="Replacement",1,0))*INDEX(Indicators,MATCH('Additional Impact Indicators'!$A49,Materials!$D:$D,0),MATCH("diesel combustion",Materials!$1:$1,0))+SUMPRODUCT(Delay_emissions_table[Consumption of Petrol (kg) - Primary Scenario],IF(Delay_emissions_table[Form of Maintenance - Primary Scenario]="Replacement",1,0))*INDEX(Indicators,MATCH('Additional Impact Indicators'!$A49,Materials!$D:$D,0),MATCH("petrol combustion",Materials!$1:$1,0))+IFERROR(SUMPRODUCT(TRANSPOSE(INDEX(elec_project_emissions,MATCH(Elec_scenario&amp;'Additional Impact Indicators'!$B49,INDEX(Electricity_projection,0,3),0)-1,0)),Delay_emissions_table[Consumption of electricity (MJ) - Primary Scenario],IF(Delay_emissions_table[Form of Maintenance - Primary Scenario]="Replacement",1,0)),0))*Area_trans*Time_adj_Prim</f>
        <v>0</v>
      </c>
      <c r="AO49" s="252" t="e" cm="1">
        <f t="array" ref="AO4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49" s="252" t="e" cm="1">
        <f t="array" ref="AP4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49" s="253" t="e" cm="1">
        <f t="array" ref="AQ4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49" s="385" t="e" cm="1">
        <f t="array" ref="AR4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49" t="e">
        <f ca="1">SUMIF('Additional Impact Indicators'!$G49:$AQ49,"&lt;&gt;#N/A")</f>
        <v>#DIV/0!</v>
      </c>
      <c r="AW49" s="155" t="s">
        <v>542</v>
      </c>
      <c r="AX49" s="155" t="s">
        <v>508</v>
      </c>
      <c r="AY49" s="155" t="str">
        <f t="shared" si="2"/>
        <v>A2</v>
      </c>
      <c r="AZ49" s="155" t="s">
        <v>485</v>
      </c>
      <c r="BA49" s="155"/>
      <c r="BB49" s="155">
        <f>MATCH(Table3[[#This Row],[Indicator]],Material_Impacts[Look up],0)</f>
        <v>93</v>
      </c>
      <c r="BC49" s="246" cm="1">
        <f t="array" aca="1" ref="BC4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49" s="165" cm="1">
        <f t="array" ref="BD4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49" s="165" t="e">
        <f>Diesel_RawM_Sec*INDEX(Indicators,MATCH(Impacts_Additional[[#This Row],[Indicator]],Materials!$D:$D,0),MATCH("Diesel Combustion",Materials!$1:$1,0))*Diesel_density*Project_Area*Sec_Lays*Area_trans</f>
        <v>#DIV/0!</v>
      </c>
      <c r="BF49" s="35" t="e" cm="1">
        <f t="array" aca="1" ref="BF4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49" s="35" t="e" cm="1">
        <f t="array" aca="1" ref="BG4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49" t="e" cm="1">
        <f t="array" aca="1" ref="BH4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49" s="35" t="e" cm="1">
        <f t="array" aca="1" ref="BI4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49" s="35" t="e" cm="1">
        <f t="array" aca="1" ref="BJ4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49" t="e" cm="1">
        <f t="array" aca="1" ref="BK4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49" s="35" t="e" cm="1">
        <f t="array" aca="1" ref="BL4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49" s="35" t="e" cm="1">
        <f t="array" aca="1" ref="BM4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49" t="e" cm="1">
        <f t="array" aca="1" ref="BN4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49" s="35" t="e" cm="1">
        <f t="array" aca="1" ref="BO4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49" s="35" t="e" cm="1">
        <f t="array" aca="1" ref="BP4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49" t="e" cm="1">
        <f t="array" aca="1" ref="BQ4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49" s="35" t="e" cm="1">
        <f t="array" aca="1" ref="BR4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49" s="35" t="e" cm="1">
        <f t="array" aca="1" ref="BS4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49" t="e" cm="1">
        <f t="array" aca="1" ref="BT4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49" s="35" t="e" cm="1">
        <f t="array" aca="1" ref="BU4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49" s="35" t="e" cm="1">
        <f t="array" aca="1" ref="BV4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49" t="e" cm="1">
        <f t="array" aca="1" ref="BW4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49" s="35" t="e" cm="1">
        <f t="array" aca="1" ref="BX4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49" s="35" t="e" cm="1">
        <f t="array" aca="1" ref="BY4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49" t="e" cm="1">
        <f t="array" aca="1" ref="BZ4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49" s="35" t="e" cm="1">
        <f t="array" aca="1" ref="CA4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49" s="35" t="e" cm="1">
        <f t="array" aca="1" ref="CB4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49" t="e" cm="1">
        <f t="array" aca="1" ref="CC4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49" s="35" t="e" cm="1">
        <f t="array" aca="1" ref="CD4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49" s="35" t="e" cm="1">
        <f t="array" aca="1" ref="CE4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49" t="e" cm="1">
        <f t="array" aca="1" ref="CF4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49" s="165"/>
      <c r="CH49" s="375" cm="1">
        <f t="array" aca="1" ref="CH4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49" s="251" cm="1">
        <f t="array" aca="1" ref="CI49" ca="1">(SUMPRODUCT(Delay_emissions_table[Consumption of Diesel (kg) - Secondary Scenario],IF(Delay_emissions_table[Form of Maintenance - Secondary Scenario]="Life Extension",1,0))*INDEX(Indicators,MATCH('Additional Impact Indicators'!$A49,Materials!$D:$D,0),MATCH("diesel combustion",Materials!$1:$1,0))+SUMPRODUCT(Delay_emissions_table[Consumption of Petrol (kg) - Secondary Scenario],IF(Delay_emissions_table[Form of Maintenance - Secondary Scenario]="Life Extension",1,0))*INDEX(Indicators,MATCH('Additional Impact Indicators'!$A49,Materials!$D:$D,0),MATCH("petrol combustion",Materials!$1:$1,0))+IFERROR(SUMPRODUCT(TRANSPOSE(INDEX(elec_project_emissions,MATCH(Elec_scenario&amp;'Additional Impact Indicators'!$B49,INDEX(Electricity_projection,0,3),0)-1,0)),Delay_emissions_table[Consumption of electricity (MJ) - Secondary Scenario],IF(Delay_emissions_table[Form of Maintenance - Secondary Scenario]="Life Extension",1,0)),0))*Area_trans*time_adj_Sec</f>
        <v>0</v>
      </c>
      <c r="CJ49" s="251" cm="1">
        <f t="array" aca="1" ref="CJ49" ca="1">(SUMPRODUCT(Delay_emissions_table[Consumption of Diesel (kg) - Secondary Scenario],IF(Delay_emissions_table[Form of Maintenance - Secondary Scenario]="Replacement",1,0))*INDEX(Indicators,MATCH('Additional Impact Indicators'!$A49,Materials!$D:$D,0),MATCH("diesel combustion",Materials!$1:$1,0))+SUMPRODUCT(Delay_emissions_table[Consumption of Petrol (kg) - Secondary Scenario],IF(Delay_emissions_table[Form of Maintenance - Secondary Scenario]="Replacement",1,0))*INDEX(Indicators,MATCH('Additional Impact Indicators'!$A49,Materials!$D:$D,0),MATCH("petrol combustion",Materials!$1:$1,0))+IFERROR(SUMPRODUCT(TRANSPOSE(INDEX(elec_project_emissions,MATCH(Elec_scenario&amp;'Additional Impact Indicators'!$B49,INDEX(Electricity_projection,0,3),0)-1,0)),Delay_emissions_table[Consumption of electricity (MJ) - Secondary Scenario],IF(Delay_emissions_table[Form of Maintenance - Secondary Scenario]="Replacement",1,0)),0))*Area_trans*time_adj_Sec</f>
        <v>0</v>
      </c>
      <c r="CK49" s="252" t="e" cm="1">
        <f t="array" ref="CK4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49" s="252" t="e" cm="1">
        <f t="array" ref="CL4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49" s="253" t="e" cm="1">
        <f t="array" ref="CM4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49" s="387" t="e" cm="1">
        <f t="array" ref="CN4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49" s="51" t="e">
        <f ca="1">SUMIF(Table3[[#This Row],[Raw-Materials]:[Transport to recycling facility]],"&lt;&gt;#N/A")</f>
        <v>#DIV/0!</v>
      </c>
      <c r="CT49" t="s">
        <v>542</v>
      </c>
      <c r="CU49" t="s">
        <v>508</v>
      </c>
      <c r="CV49" t="str">
        <f t="shared" si="3"/>
        <v>A2</v>
      </c>
      <c r="CW49" t="s">
        <v>485</v>
      </c>
      <c r="CY49">
        <f>MATCH(Table611[[#This Row],[Indicator]],Material_Impacts[Look up],0)</f>
        <v>93</v>
      </c>
      <c r="CZ49" s="246" cm="1">
        <f t="array" aca="1" ref="CZ4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49" s="165" cm="1">
        <f t="array" ref="DA4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49" s="165" t="e">
        <f>Diesel_RawM_Tert*INDEX(Indicators,MATCH(Impacts_Additional[[#This Row],[Indicator]],Materials!$D:$D,0),MATCH("Diesel Combustion",Materials!$1:$1,0))*Diesel_density*Project_Area*Tert_Lays*Area_trans</f>
        <v>#DIV/0!</v>
      </c>
      <c r="DC49" s="35" t="e" cm="1">
        <f t="array" aca="1" ref="DC4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49" s="35" t="e" cm="1">
        <f t="array" aca="1" ref="DD4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49" t="e" cm="1">
        <f t="array" aca="1" ref="DE4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49" s="35" t="e" cm="1">
        <f t="array" aca="1" ref="DF4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49" s="35" t="e" cm="1">
        <f t="array" aca="1" ref="DG4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49" t="e" cm="1">
        <f t="array" aca="1" ref="DH4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49" s="35" t="e" cm="1">
        <f t="array" aca="1" ref="DI4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49" s="35" t="e" cm="1">
        <f t="array" aca="1" ref="DJ4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49" t="e" cm="1">
        <f t="array" aca="1" ref="DK4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49" s="35" t="e" cm="1">
        <f t="array" aca="1" ref="DL4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49" s="35" t="e" cm="1">
        <f t="array" aca="1" ref="DM4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49" t="e" cm="1">
        <f t="array" aca="1" ref="DN4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49" s="35" t="e" cm="1">
        <f t="array" aca="1" ref="DO4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49" s="35" t="e" cm="1">
        <f t="array" aca="1" ref="DP4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49" t="e" cm="1">
        <f t="array" aca="1" ref="DQ4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49" s="35" t="e" cm="1">
        <f t="array" aca="1" ref="DR4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49" s="35" t="e" cm="1">
        <f t="array" aca="1" ref="DS4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49" t="e" cm="1">
        <f t="array" aca="1" ref="DT4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49" s="35" t="e" cm="1">
        <f t="array" aca="1" ref="DU4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49" s="35" t="e" cm="1">
        <f t="array" aca="1" ref="DV4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49" t="e" cm="1">
        <f t="array" aca="1" ref="DW4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49" s="35" t="e" cm="1">
        <f t="array" aca="1" ref="DX4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49" s="35" t="e" cm="1">
        <f t="array" aca="1" ref="DY4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49" t="e" cm="1">
        <f t="array" aca="1" ref="DZ4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49" s="35" t="e" cm="1">
        <f t="array" aca="1" ref="EA4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49" s="35" t="e" cm="1">
        <f t="array" aca="1" ref="EB4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49" t="e" cm="1">
        <f t="array" aca="1" ref="EC4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49" s="165"/>
      <c r="EE49" s="375" cm="1">
        <f t="array" aca="1" ref="EE4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49" s="251" cm="1">
        <f t="array" aca="1" ref="EF49" ca="1">(SUMPRODUCT(Delay_emissions_table[Consumption of Diesel (kg) - Tertiary Scenario],IF(Delay_emissions_table[Form of Maintenance - Tertiary Scenario]="Life Extension",1,0))*INDEX(Indicators,MATCH('Additional Impact Indicators'!$A49,Materials!$D:$D,0),MATCH("diesel combustion",Materials!$1:$1,0))+SUMPRODUCT(Delay_emissions_table[Consumption of Petrol (kg) - Tertiary Scenario],IF(Delay_emissions_table[Form of Maintenance - Tertiary Scenario]="Life Extension",1,0))*INDEX(Indicators,MATCH('Additional Impact Indicators'!$A49,Materials!$D:$D,0),MATCH("petrol combustion",Materials!$1:$1,0))+IFERROR(SUMPRODUCT(TRANSPOSE(INDEX(elec_project_emissions,MATCH(Elec_scenario&amp;'Additional Impact Indicators'!$B49,INDEX(Electricity_projection,0,3),0)-1,0)),Delay_emissions_table[Consumption of electricity (MJ) - Tertiary Scenario],IF(Delay_emissions_table[Form of Maintenance - Tertiary Scenario]="Life Extension",1,0)),0))*Area_trans*Time_adj_Tert</f>
        <v>0</v>
      </c>
      <c r="EG49" s="251" cm="1">
        <f t="array" aca="1" ref="EG49" ca="1">(SUMPRODUCT(Delay_emissions_table[Consumption of Diesel (kg) - Tertiary Scenario],IF(Delay_emissions_table[Form of Maintenance - Tertiary Scenario]="Replacement",1,0))*INDEX(Indicators,MATCH('Additional Impact Indicators'!$A49,Materials!$D:$D,0),MATCH("diesel combustion",Materials!$1:$1,0))+SUMPRODUCT(Delay_emissions_table[Consumption of Petrol (kg) - Tertiary Scenario],IF(Delay_emissions_table[Form of Maintenance - Tertiary Scenario]="Replacement",1,0))*INDEX(Indicators,MATCH('Additional Impact Indicators'!$A49,Materials!$D:$D,0),MATCH("petrol combustion",Materials!$1:$1,0))+IFERROR(SUMPRODUCT(TRANSPOSE(INDEX(elec_project_emissions,MATCH(Elec_scenario&amp;'Additional Impact Indicators'!$B49,INDEX(Electricity_projection,0,3),0)-1,0)),Delay_emissions_table[Consumption of electricity (MJ) - Tertiary Scenario],IF(Delay_emissions_table[Form of Maintenance - Tertiary Scenario]="Replacement",1,0)),0))*Area_trans*Time_adj_Tert</f>
        <v>0</v>
      </c>
      <c r="EH49" s="252" t="e" cm="1">
        <f t="array" ref="EH4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49" s="252" t="e" cm="1">
        <f t="array" ref="EI4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49" s="253" t="e" cm="1">
        <f t="array" ref="EJ4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49" s="253" t="e" cm="1">
        <f t="array" ref="EK4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49" t="e">
        <f ca="1">SUMIF(Table611[[#This Row],[Raw-Materials]:[Transport to recycling facility]],"&lt;&gt;#N/A")</f>
        <v>#DIV/0!</v>
      </c>
    </row>
    <row r="50" spans="1:142" x14ac:dyDescent="0.35">
      <c r="A50" t="s">
        <v>543</v>
      </c>
      <c r="B50" t="s">
        <v>510</v>
      </c>
      <c r="C50" t="str">
        <f t="shared" si="1"/>
        <v>A2</v>
      </c>
      <c r="D50" t="s">
        <v>485</v>
      </c>
      <c r="F50">
        <f>MATCH(Impacts_Additional[[#This Row],[Indicator]],Material_Impacts[Look up],0)</f>
        <v>94</v>
      </c>
      <c r="G50" s="246" cm="1">
        <f t="array" aca="1" ref="G5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0" s="166" cm="1">
        <f t="array" ref="H5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0" s="166" t="e">
        <f>Diesel_RawM_Prim*INDEX(Indicators,MATCH(Impacts_Additional[[#This Row],[Indicator]],Materials!$D:$D,0),MATCH("Diesel Combustion",Materials!$1:$1,0))*Diesel_density*Project_Area*Prim_Lays*Area_trans</f>
        <v>#DIV/0!</v>
      </c>
      <c r="J50" s="20" t="e" cm="1">
        <f t="array" aca="1" ref="J5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0" s="20" t="e" cm="1">
        <f t="array" aca="1" ref="K5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0" s="20" t="e" cm="1">
        <f t="array" aca="1" ref="L5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0" s="20" t="e" cm="1">
        <f t="array" aca="1" ref="M5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0" s="20" t="e" cm="1">
        <f t="array" aca="1" ref="N5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0" s="20" t="e" cm="1">
        <f t="array" aca="1" ref="O5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0" s="20" t="e" cm="1">
        <f t="array" aca="1" ref="P5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0" s="20" t="e" cm="1">
        <f t="array" aca="1" ref="Q5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0" s="20" t="e" cm="1">
        <f t="array" aca="1" ref="R5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0" s="20" t="e" cm="1">
        <f t="array" aca="1" ref="S5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0" s="20" t="e" cm="1">
        <f t="array" aca="1" ref="T5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0" s="20" t="e" cm="1">
        <f t="array" aca="1" ref="U5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0" s="20" t="e" cm="1">
        <f t="array" aca="1" ref="V5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0" s="20" t="e" cm="1">
        <f t="array" aca="1" ref="W5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0" s="20" t="e" cm="1">
        <f t="array" aca="1" ref="X5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0" s="20" t="e" cm="1">
        <f t="array" aca="1" ref="Y5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0" s="20" t="e" cm="1">
        <f t="array" aca="1" ref="Z5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0" s="20" t="e" cm="1">
        <f t="array" aca="1" ref="AA5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0" s="20" t="e" cm="1">
        <f t="array" aca="1" ref="AB5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0" s="20" t="e" cm="1">
        <f t="array" aca="1" ref="AC5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0" s="20" t="e" cm="1">
        <f t="array" aca="1" ref="AD5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0" s="20" t="e" cm="1">
        <f t="array" aca="1" ref="AE5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0" s="20" t="e" cm="1">
        <f t="array" aca="1" ref="AF5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0" s="20" t="e" cm="1">
        <f t="array" aca="1" ref="AG5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0" s="20" t="e" cm="1">
        <f t="array" aca="1" ref="AH5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0" s="20" t="e" cm="1">
        <f t="array" aca="1" ref="AI5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0" s="20" t="e" cm="1">
        <f t="array" aca="1" ref="AJ5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0" s="166"/>
      <c r="AL50" s="166" cm="1">
        <f t="array" aca="1" ref="AL5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0" s="247" cm="1">
        <f t="array" aca="1" ref="AM50" ca="1">(SUMPRODUCT(Delay_emissions_table[Consumption of Diesel (kg) - Primary Scenario],IF(Delay_emissions_table[Form of Maintenance - Primary Scenario]="Life Extension",1,0))*INDEX(Indicators,MATCH('Additional Impact Indicators'!$A50,Materials!$D:$D,0),MATCH("diesel combustion",Materials!$1:$1,0))+SUMPRODUCT(Delay_emissions_table[Consumption of Petrol (kg) - Primary Scenario],IF(Delay_emissions_table[Form of Maintenance - Primary Scenario]="Life Extension",1,0))*INDEX(Indicators,MATCH('Additional Impact Indicators'!$A50,Materials!$D:$D,0),MATCH("petrol combustion",Materials!$1:$1,0))+IFERROR(SUMPRODUCT(TRANSPOSE(INDEX(elec_project_emissions,MATCH(Elec_scenario&amp;'Additional Impact Indicators'!$B50,INDEX(Electricity_projection,0,3),0)-1,0)),Delay_emissions_table[Consumption of electricity (MJ) - Primary Scenario],IF(Delay_emissions_table[Form of Maintenance - Primary Scenario]="Life Extension",1,0)),0))*Area_trans*Time_adj_Prim</f>
        <v>0</v>
      </c>
      <c r="AN50" s="247" cm="1">
        <f t="array" aca="1" ref="AN50" ca="1">(SUMPRODUCT(Delay_emissions_table[Consumption of Diesel (kg) - Primary Scenario],IF(Delay_emissions_table[Form of Maintenance - Primary Scenario]="Replacement",1,0))*INDEX(Indicators,MATCH('Additional Impact Indicators'!$A50,Materials!$D:$D,0),MATCH("diesel combustion",Materials!$1:$1,0))+SUMPRODUCT(Delay_emissions_table[Consumption of Petrol (kg) - Primary Scenario],IF(Delay_emissions_table[Form of Maintenance - Primary Scenario]="Replacement",1,0))*INDEX(Indicators,MATCH('Additional Impact Indicators'!$A50,Materials!$D:$D,0),MATCH("petrol combustion",Materials!$1:$1,0))+IFERROR(SUMPRODUCT(TRANSPOSE(INDEX(elec_project_emissions,MATCH(Elec_scenario&amp;'Additional Impact Indicators'!$B50,INDEX(Electricity_projection,0,3),0)-1,0)),Delay_emissions_table[Consumption of electricity (MJ) - Primary Scenario],IF(Delay_emissions_table[Form of Maintenance - Primary Scenario]="Replacement",1,0)),0))*Area_trans*Time_adj_Prim</f>
        <v>0</v>
      </c>
      <c r="AO50" s="248" t="e" cm="1">
        <f t="array" ref="AO5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0" s="248" t="e" cm="1">
        <f t="array" ref="AP5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0" s="249" t="e" cm="1">
        <f t="array" ref="AQ5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0" s="386" t="e" cm="1">
        <f t="array" ref="AR5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0" t="e">
        <f ca="1">SUMIF('Additional Impact Indicators'!$G50:$AQ50,"&lt;&gt;#N/A")</f>
        <v>#DIV/0!</v>
      </c>
      <c r="AW50" t="s">
        <v>543</v>
      </c>
      <c r="AX50" t="s">
        <v>510</v>
      </c>
      <c r="AY50" t="str">
        <f t="shared" si="2"/>
        <v>A2</v>
      </c>
      <c r="AZ50" t="s">
        <v>485</v>
      </c>
      <c r="BB50">
        <f>MATCH(Table3[[#This Row],[Indicator]],Material_Impacts[Look up],0)</f>
        <v>94</v>
      </c>
      <c r="BC50" s="246" cm="1">
        <f t="array" aca="1" ref="BC5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0" s="166" cm="1">
        <f t="array" ref="BD5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0" s="166" t="e">
        <f>Diesel_RawM_Sec*INDEX(Indicators,MATCH(Impacts_Additional[[#This Row],[Indicator]],Materials!$D:$D,0),MATCH("Diesel Combustion",Materials!$1:$1,0))*Diesel_density*Project_Area*Sec_Lays*Area_trans</f>
        <v>#DIV/0!</v>
      </c>
      <c r="BF50" s="35" t="e" cm="1">
        <f t="array" aca="1" ref="BF5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0" s="35" t="e" cm="1">
        <f t="array" aca="1" ref="BG5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0" t="e" cm="1">
        <f t="array" aca="1" ref="BH5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0" s="35" t="e" cm="1">
        <f t="array" aca="1" ref="BI5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0" s="35" t="e" cm="1">
        <f t="array" aca="1" ref="BJ5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0" t="e" cm="1">
        <f t="array" aca="1" ref="BK5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0" s="35" t="e" cm="1">
        <f t="array" aca="1" ref="BL5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0" s="35" t="e" cm="1">
        <f t="array" aca="1" ref="BM5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0" t="e" cm="1">
        <f t="array" aca="1" ref="BN5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0" s="35" t="e" cm="1">
        <f t="array" aca="1" ref="BO5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0" s="35" t="e" cm="1">
        <f t="array" aca="1" ref="BP5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0" t="e" cm="1">
        <f t="array" aca="1" ref="BQ5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0" s="35" t="e" cm="1">
        <f t="array" aca="1" ref="BR5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0" s="35" t="e" cm="1">
        <f t="array" aca="1" ref="BS5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0" t="e" cm="1">
        <f t="array" aca="1" ref="BT5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0" s="35" t="e" cm="1">
        <f t="array" aca="1" ref="BU5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0" s="35" t="e" cm="1">
        <f t="array" aca="1" ref="BV5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0" t="e" cm="1">
        <f t="array" aca="1" ref="BW5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0" s="35" t="e" cm="1">
        <f t="array" aca="1" ref="BX5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0" s="35" t="e" cm="1">
        <f t="array" aca="1" ref="BY5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0" t="e" cm="1">
        <f t="array" aca="1" ref="BZ5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0" s="35" t="e" cm="1">
        <f t="array" aca="1" ref="CA5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0" s="35" t="e" cm="1">
        <f t="array" aca="1" ref="CB5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0" t="e" cm="1">
        <f t="array" aca="1" ref="CC5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0" s="35" t="e" cm="1">
        <f t="array" aca="1" ref="CD5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0" s="35" t="e" cm="1">
        <f t="array" aca="1" ref="CE5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0" t="e" cm="1">
        <f t="array" aca="1" ref="CF5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0" s="166"/>
      <c r="CH50" s="375" cm="1">
        <f t="array" aca="1" ref="CH5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0" s="247" cm="1">
        <f t="array" aca="1" ref="CI50" ca="1">(SUMPRODUCT(Delay_emissions_table[Consumption of Diesel (kg) - Secondary Scenario],IF(Delay_emissions_table[Form of Maintenance - Secondary Scenario]="Life Extension",1,0))*INDEX(Indicators,MATCH('Additional Impact Indicators'!$A50,Materials!$D:$D,0),MATCH("diesel combustion",Materials!$1:$1,0))+SUMPRODUCT(Delay_emissions_table[Consumption of Petrol (kg) - Secondary Scenario],IF(Delay_emissions_table[Form of Maintenance - Secondary Scenario]="Life Extension",1,0))*INDEX(Indicators,MATCH('Additional Impact Indicators'!$A50,Materials!$D:$D,0),MATCH("petrol combustion",Materials!$1:$1,0))+IFERROR(SUMPRODUCT(TRANSPOSE(INDEX(elec_project_emissions,MATCH(Elec_scenario&amp;'Additional Impact Indicators'!$B50,INDEX(Electricity_projection,0,3),0)-1,0)),Delay_emissions_table[Consumption of electricity (MJ) - Secondary Scenario],IF(Delay_emissions_table[Form of Maintenance - Secondary Scenario]="Life Extension",1,0)),0))*Area_trans*time_adj_Sec</f>
        <v>0</v>
      </c>
      <c r="CJ50" s="247" cm="1">
        <f t="array" aca="1" ref="CJ50" ca="1">(SUMPRODUCT(Delay_emissions_table[Consumption of Diesel (kg) - Secondary Scenario],IF(Delay_emissions_table[Form of Maintenance - Secondary Scenario]="Replacement",1,0))*INDEX(Indicators,MATCH('Additional Impact Indicators'!$A50,Materials!$D:$D,0),MATCH("diesel combustion",Materials!$1:$1,0))+SUMPRODUCT(Delay_emissions_table[Consumption of Petrol (kg) - Secondary Scenario],IF(Delay_emissions_table[Form of Maintenance - Secondary Scenario]="Replacement",1,0))*INDEX(Indicators,MATCH('Additional Impact Indicators'!$A50,Materials!$D:$D,0),MATCH("petrol combustion",Materials!$1:$1,0))+IFERROR(SUMPRODUCT(TRANSPOSE(INDEX(elec_project_emissions,MATCH(Elec_scenario&amp;'Additional Impact Indicators'!$B50,INDEX(Electricity_projection,0,3),0)-1,0)),Delay_emissions_table[Consumption of electricity (MJ) - Secondary Scenario],IF(Delay_emissions_table[Form of Maintenance - Secondary Scenario]="Replacement",1,0)),0))*Area_trans*time_adj_Sec</f>
        <v>0</v>
      </c>
      <c r="CK50" s="248" t="e" cm="1">
        <f t="array" ref="CK5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0" s="248" t="e" cm="1">
        <f t="array" ref="CL5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0" s="249" t="e" cm="1">
        <f t="array" ref="CM5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0" s="387" t="e" cm="1">
        <f t="array" ref="CN5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0" s="51" t="e">
        <f ca="1">SUMIF(Table3[[#This Row],[Raw-Materials]:[Transport to recycling facility]],"&lt;&gt;#N/A")</f>
        <v>#DIV/0!</v>
      </c>
      <c r="CT50" t="s">
        <v>543</v>
      </c>
      <c r="CU50" t="s">
        <v>510</v>
      </c>
      <c r="CV50" t="str">
        <f t="shared" si="3"/>
        <v>A2</v>
      </c>
      <c r="CW50" t="s">
        <v>485</v>
      </c>
      <c r="CY50">
        <f>MATCH(Table611[[#This Row],[Indicator]],Material_Impacts[Look up],0)</f>
        <v>94</v>
      </c>
      <c r="CZ50" s="246" cm="1">
        <f t="array" aca="1" ref="CZ5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0" s="166" cm="1">
        <f t="array" ref="DA5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0" s="166" t="e">
        <f>Diesel_RawM_Tert*INDEX(Indicators,MATCH(Impacts_Additional[[#This Row],[Indicator]],Materials!$D:$D,0),MATCH("Diesel Combustion",Materials!$1:$1,0))*Diesel_density*Project_Area*Tert_Lays*Area_trans</f>
        <v>#DIV/0!</v>
      </c>
      <c r="DC50" s="35" t="e" cm="1">
        <f t="array" aca="1" ref="DC5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0" s="35" t="e" cm="1">
        <f t="array" aca="1" ref="DD5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0" t="e" cm="1">
        <f t="array" aca="1" ref="DE5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0" s="35" t="e" cm="1">
        <f t="array" aca="1" ref="DF5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0" s="35" t="e" cm="1">
        <f t="array" aca="1" ref="DG5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0" t="e" cm="1">
        <f t="array" aca="1" ref="DH5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0" s="35" t="e" cm="1">
        <f t="array" aca="1" ref="DI5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0" s="35" t="e" cm="1">
        <f t="array" aca="1" ref="DJ5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0" t="e" cm="1">
        <f t="array" aca="1" ref="DK5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0" s="35" t="e" cm="1">
        <f t="array" aca="1" ref="DL5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0" s="35" t="e" cm="1">
        <f t="array" aca="1" ref="DM5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0" t="e" cm="1">
        <f t="array" aca="1" ref="DN5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0" s="35" t="e" cm="1">
        <f t="array" aca="1" ref="DO5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0" s="35" t="e" cm="1">
        <f t="array" aca="1" ref="DP5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0" t="e" cm="1">
        <f t="array" aca="1" ref="DQ5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0" s="35" t="e" cm="1">
        <f t="array" aca="1" ref="DR5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0" s="35" t="e" cm="1">
        <f t="array" aca="1" ref="DS5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0" t="e" cm="1">
        <f t="array" aca="1" ref="DT5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0" s="35" t="e" cm="1">
        <f t="array" aca="1" ref="DU5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0" s="35" t="e" cm="1">
        <f t="array" aca="1" ref="DV5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0" t="e" cm="1">
        <f t="array" aca="1" ref="DW5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0" s="35" t="e" cm="1">
        <f t="array" aca="1" ref="DX5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0" s="35" t="e" cm="1">
        <f t="array" aca="1" ref="DY5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0" t="e" cm="1">
        <f t="array" aca="1" ref="DZ5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0" s="35" t="e" cm="1">
        <f t="array" aca="1" ref="EA5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0" s="35" t="e" cm="1">
        <f t="array" aca="1" ref="EB5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0" t="e" cm="1">
        <f t="array" aca="1" ref="EC5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0" s="166"/>
      <c r="EE50" s="375" cm="1">
        <f t="array" aca="1" ref="EE5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0" s="247" cm="1">
        <f t="array" aca="1" ref="EF50" ca="1">(SUMPRODUCT(Delay_emissions_table[Consumption of Diesel (kg) - Tertiary Scenario],IF(Delay_emissions_table[Form of Maintenance - Tertiary Scenario]="Life Extension",1,0))*INDEX(Indicators,MATCH('Additional Impact Indicators'!$A50,Materials!$D:$D,0),MATCH("diesel combustion",Materials!$1:$1,0))+SUMPRODUCT(Delay_emissions_table[Consumption of Petrol (kg) - Tertiary Scenario],IF(Delay_emissions_table[Form of Maintenance - Tertiary Scenario]="Life Extension",1,0))*INDEX(Indicators,MATCH('Additional Impact Indicators'!$A50,Materials!$D:$D,0),MATCH("petrol combustion",Materials!$1:$1,0))+IFERROR(SUMPRODUCT(TRANSPOSE(INDEX(elec_project_emissions,MATCH(Elec_scenario&amp;'Additional Impact Indicators'!$B50,INDEX(Electricity_projection,0,3),0)-1,0)),Delay_emissions_table[Consumption of electricity (MJ) - Tertiary Scenario],IF(Delay_emissions_table[Form of Maintenance - Tertiary Scenario]="Life Extension",1,0)),0))*Area_trans*Time_adj_Tert</f>
        <v>0</v>
      </c>
      <c r="EG50" s="247" cm="1">
        <f t="array" aca="1" ref="EG50" ca="1">(SUMPRODUCT(Delay_emissions_table[Consumption of Diesel (kg) - Tertiary Scenario],IF(Delay_emissions_table[Form of Maintenance - Tertiary Scenario]="Replacement",1,0))*INDEX(Indicators,MATCH('Additional Impact Indicators'!$A50,Materials!$D:$D,0),MATCH("diesel combustion",Materials!$1:$1,0))+SUMPRODUCT(Delay_emissions_table[Consumption of Petrol (kg) - Tertiary Scenario],IF(Delay_emissions_table[Form of Maintenance - Tertiary Scenario]="Replacement",1,0))*INDEX(Indicators,MATCH('Additional Impact Indicators'!$A50,Materials!$D:$D,0),MATCH("petrol combustion",Materials!$1:$1,0))+IFERROR(SUMPRODUCT(TRANSPOSE(INDEX(elec_project_emissions,MATCH(Elec_scenario&amp;'Additional Impact Indicators'!$B50,INDEX(Electricity_projection,0,3),0)-1,0)),Delay_emissions_table[Consumption of electricity (MJ) - Tertiary Scenario],IF(Delay_emissions_table[Form of Maintenance - Tertiary Scenario]="Replacement",1,0)),0))*Area_trans*Time_adj_Tert</f>
        <v>0</v>
      </c>
      <c r="EH50" s="248" t="e" cm="1">
        <f t="array" ref="EH5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0" s="248" t="e" cm="1">
        <f t="array" ref="EI5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0" s="249" t="e" cm="1">
        <f t="array" ref="EJ5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0" s="249" t="e" cm="1">
        <f t="array" ref="EK5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0" t="e">
        <f ca="1">SUMIF(Table611[[#This Row],[Raw-Materials]:[Transport to recycling facility]],"&lt;&gt;#N/A")</f>
        <v>#DIV/0!</v>
      </c>
    </row>
    <row r="51" spans="1:142" x14ac:dyDescent="0.35">
      <c r="A51" s="155" t="s">
        <v>544</v>
      </c>
      <c r="B51" s="155" t="s">
        <v>512</v>
      </c>
      <c r="C51" s="155" t="str">
        <f t="shared" si="1"/>
        <v>A2</v>
      </c>
      <c r="D51" s="155" t="s">
        <v>485</v>
      </c>
      <c r="E51" s="155"/>
      <c r="F51">
        <f>MATCH(Impacts_Additional[[#This Row],[Indicator]],Material_Impacts[Look up],0)</f>
        <v>95</v>
      </c>
      <c r="G51" s="246" cm="1">
        <f t="array" aca="1" ref="G5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1" s="165" cm="1">
        <f t="array" ref="H5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1" s="165" t="e">
        <f>Diesel_RawM_Prim*INDEX(Indicators,MATCH(Impacts_Additional[[#This Row],[Indicator]],Materials!$D:$D,0),MATCH("Diesel Combustion",Materials!$1:$1,0))*Diesel_density*Project_Area*Prim_Lays*Area_trans</f>
        <v>#DIV/0!</v>
      </c>
      <c r="J51" s="250" t="e" cm="1">
        <f t="array" aca="1" ref="J5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1" s="250" t="e" cm="1">
        <f t="array" aca="1" ref="K5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1" s="250" t="e" cm="1">
        <f t="array" aca="1" ref="L5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1" s="250" t="e" cm="1">
        <f t="array" aca="1" ref="M5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1" s="250" t="e" cm="1">
        <f t="array" aca="1" ref="N5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1" s="250" t="e" cm="1">
        <f t="array" aca="1" ref="O5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1" s="250" t="e" cm="1">
        <f t="array" aca="1" ref="P5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1" s="250" t="e" cm="1">
        <f t="array" aca="1" ref="Q5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1" s="250" t="e" cm="1">
        <f t="array" aca="1" ref="R5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1" s="250" t="e" cm="1">
        <f t="array" aca="1" ref="S5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1" s="250" t="e" cm="1">
        <f t="array" aca="1" ref="T5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1" s="250" t="e" cm="1">
        <f t="array" aca="1" ref="U5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1" s="250" t="e" cm="1">
        <f t="array" aca="1" ref="V5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1" s="250" t="e" cm="1">
        <f t="array" aca="1" ref="W5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1" s="250" t="e" cm="1">
        <f t="array" aca="1" ref="X5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1" s="250" t="e" cm="1">
        <f t="array" aca="1" ref="Y5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1" s="250" t="e" cm="1">
        <f t="array" aca="1" ref="Z5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1" s="250" t="e" cm="1">
        <f t="array" aca="1" ref="AA5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1" s="250" t="e" cm="1">
        <f t="array" aca="1" ref="AB5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1" s="250" t="e" cm="1">
        <f t="array" aca="1" ref="AC5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1" s="250" t="e" cm="1">
        <f t="array" aca="1" ref="AD5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1" s="250" t="e" cm="1">
        <f t="array" aca="1" ref="AE5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1" s="250" t="e" cm="1">
        <f t="array" aca="1" ref="AF5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1" s="250" t="e" cm="1">
        <f t="array" aca="1" ref="AG5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1" s="250" t="e" cm="1">
        <f t="array" aca="1" ref="AH5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1" s="250" t="e" cm="1">
        <f t="array" aca="1" ref="AI5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1" s="250" t="e" cm="1">
        <f t="array" aca="1" ref="AJ5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1" s="165"/>
      <c r="AL51" s="165" cm="1">
        <f t="array" aca="1" ref="AL5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1" s="251" cm="1">
        <f t="array" aca="1" ref="AM51" ca="1">(SUMPRODUCT(Delay_emissions_table[Consumption of Diesel (kg) - Primary Scenario],IF(Delay_emissions_table[Form of Maintenance - Primary Scenario]="Life Extension",1,0))*INDEX(Indicators,MATCH('Additional Impact Indicators'!$A51,Materials!$D:$D,0),MATCH("diesel combustion",Materials!$1:$1,0))+SUMPRODUCT(Delay_emissions_table[Consumption of Petrol (kg) - Primary Scenario],IF(Delay_emissions_table[Form of Maintenance - Primary Scenario]="Life Extension",1,0))*INDEX(Indicators,MATCH('Additional Impact Indicators'!$A51,Materials!$D:$D,0),MATCH("petrol combustion",Materials!$1:$1,0))+IFERROR(SUMPRODUCT(TRANSPOSE(INDEX(elec_project_emissions,MATCH(Elec_scenario&amp;'Additional Impact Indicators'!$B51,INDEX(Electricity_projection,0,3),0)-1,0)),Delay_emissions_table[Consumption of electricity (MJ) - Primary Scenario],IF(Delay_emissions_table[Form of Maintenance - Primary Scenario]="Life Extension",1,0)),0))*Area_trans*Time_adj_Prim</f>
        <v>0</v>
      </c>
      <c r="AN51" s="251" cm="1">
        <f t="array" aca="1" ref="AN51" ca="1">(SUMPRODUCT(Delay_emissions_table[Consumption of Diesel (kg) - Primary Scenario],IF(Delay_emissions_table[Form of Maintenance - Primary Scenario]="Replacement",1,0))*INDEX(Indicators,MATCH('Additional Impact Indicators'!$A51,Materials!$D:$D,0),MATCH("diesel combustion",Materials!$1:$1,0))+SUMPRODUCT(Delay_emissions_table[Consumption of Petrol (kg) - Primary Scenario],IF(Delay_emissions_table[Form of Maintenance - Primary Scenario]="Replacement",1,0))*INDEX(Indicators,MATCH('Additional Impact Indicators'!$A51,Materials!$D:$D,0),MATCH("petrol combustion",Materials!$1:$1,0))+IFERROR(SUMPRODUCT(TRANSPOSE(INDEX(elec_project_emissions,MATCH(Elec_scenario&amp;'Additional Impact Indicators'!$B51,INDEX(Electricity_projection,0,3),0)-1,0)),Delay_emissions_table[Consumption of electricity (MJ) - Primary Scenario],IF(Delay_emissions_table[Form of Maintenance - Primary Scenario]="Replacement",1,0)),0))*Area_trans*Time_adj_Prim</f>
        <v>0</v>
      </c>
      <c r="AO51" s="252" t="e" cm="1">
        <f t="array" ref="AO5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1" s="252" t="e" cm="1">
        <f t="array" ref="AP5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1" s="253" t="e" cm="1">
        <f t="array" ref="AQ5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1" s="385" t="e" cm="1">
        <f t="array" ref="AR5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1" t="e">
        <f ca="1">SUMIF('Additional Impact Indicators'!$G51:$AQ51,"&lt;&gt;#N/A")</f>
        <v>#DIV/0!</v>
      </c>
      <c r="AW51" s="155" t="s">
        <v>544</v>
      </c>
      <c r="AX51" s="155" t="s">
        <v>512</v>
      </c>
      <c r="AY51" s="155" t="str">
        <f t="shared" si="2"/>
        <v>A2</v>
      </c>
      <c r="AZ51" s="155" t="s">
        <v>485</v>
      </c>
      <c r="BA51" s="155"/>
      <c r="BB51" s="155">
        <f>MATCH(Table3[[#This Row],[Indicator]],Material_Impacts[Look up],0)</f>
        <v>95</v>
      </c>
      <c r="BC51" s="246" cm="1">
        <f t="array" aca="1" ref="BC5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1" s="165" cm="1">
        <f t="array" ref="BD5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1" s="165" t="e">
        <f>Diesel_RawM_Sec*INDEX(Indicators,MATCH(Impacts_Additional[[#This Row],[Indicator]],Materials!$D:$D,0),MATCH("Diesel Combustion",Materials!$1:$1,0))*Diesel_density*Project_Area*Sec_Lays*Area_trans</f>
        <v>#DIV/0!</v>
      </c>
      <c r="BF51" s="35" t="e" cm="1">
        <f t="array" aca="1" ref="BF5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1" s="35" t="e" cm="1">
        <f t="array" aca="1" ref="BG5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1" t="e" cm="1">
        <f t="array" aca="1" ref="BH5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1" s="35" t="e" cm="1">
        <f t="array" aca="1" ref="BI5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1" s="35" t="e" cm="1">
        <f t="array" aca="1" ref="BJ5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1" t="e" cm="1">
        <f t="array" aca="1" ref="BK5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1" s="35" t="e" cm="1">
        <f t="array" aca="1" ref="BL5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1" s="35" t="e" cm="1">
        <f t="array" aca="1" ref="BM5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1" t="e" cm="1">
        <f t="array" aca="1" ref="BN5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1" s="35" t="e" cm="1">
        <f t="array" aca="1" ref="BO5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1" s="35" t="e" cm="1">
        <f t="array" aca="1" ref="BP5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1" t="e" cm="1">
        <f t="array" aca="1" ref="BQ5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1" s="35" t="e" cm="1">
        <f t="array" aca="1" ref="BR5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1" s="35" t="e" cm="1">
        <f t="array" aca="1" ref="BS5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1" t="e" cm="1">
        <f t="array" aca="1" ref="BT5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1" s="35" t="e" cm="1">
        <f t="array" aca="1" ref="BU5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1" s="35" t="e" cm="1">
        <f t="array" aca="1" ref="BV5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1" t="e" cm="1">
        <f t="array" aca="1" ref="BW5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1" s="35" t="e" cm="1">
        <f t="array" aca="1" ref="BX5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1" s="35" t="e" cm="1">
        <f t="array" aca="1" ref="BY5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1" t="e" cm="1">
        <f t="array" aca="1" ref="BZ5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1" s="35" t="e" cm="1">
        <f t="array" aca="1" ref="CA5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1" s="35" t="e" cm="1">
        <f t="array" aca="1" ref="CB5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1" t="e" cm="1">
        <f t="array" aca="1" ref="CC5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1" s="35" t="e" cm="1">
        <f t="array" aca="1" ref="CD5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1" s="35" t="e" cm="1">
        <f t="array" aca="1" ref="CE5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1" t="e" cm="1">
        <f t="array" aca="1" ref="CF5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1" s="165"/>
      <c r="CH51" s="375" cm="1">
        <f t="array" aca="1" ref="CH5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1" s="251" cm="1">
        <f t="array" aca="1" ref="CI51" ca="1">(SUMPRODUCT(Delay_emissions_table[Consumption of Diesel (kg) - Secondary Scenario],IF(Delay_emissions_table[Form of Maintenance - Secondary Scenario]="Life Extension",1,0))*INDEX(Indicators,MATCH('Additional Impact Indicators'!$A51,Materials!$D:$D,0),MATCH("diesel combustion",Materials!$1:$1,0))+SUMPRODUCT(Delay_emissions_table[Consumption of Petrol (kg) - Secondary Scenario],IF(Delay_emissions_table[Form of Maintenance - Secondary Scenario]="Life Extension",1,0))*INDEX(Indicators,MATCH('Additional Impact Indicators'!$A51,Materials!$D:$D,0),MATCH("petrol combustion",Materials!$1:$1,0))+IFERROR(SUMPRODUCT(TRANSPOSE(INDEX(elec_project_emissions,MATCH(Elec_scenario&amp;'Additional Impact Indicators'!$B51,INDEX(Electricity_projection,0,3),0)-1,0)),Delay_emissions_table[Consumption of electricity (MJ) - Secondary Scenario],IF(Delay_emissions_table[Form of Maintenance - Secondary Scenario]="Life Extension",1,0)),0))*Area_trans*time_adj_Sec</f>
        <v>0</v>
      </c>
      <c r="CJ51" s="251" cm="1">
        <f t="array" aca="1" ref="CJ51" ca="1">(SUMPRODUCT(Delay_emissions_table[Consumption of Diesel (kg) - Secondary Scenario],IF(Delay_emissions_table[Form of Maintenance - Secondary Scenario]="Replacement",1,0))*INDEX(Indicators,MATCH('Additional Impact Indicators'!$A51,Materials!$D:$D,0),MATCH("diesel combustion",Materials!$1:$1,0))+SUMPRODUCT(Delay_emissions_table[Consumption of Petrol (kg) - Secondary Scenario],IF(Delay_emissions_table[Form of Maintenance - Secondary Scenario]="Replacement",1,0))*INDEX(Indicators,MATCH('Additional Impact Indicators'!$A51,Materials!$D:$D,0),MATCH("petrol combustion",Materials!$1:$1,0))+IFERROR(SUMPRODUCT(TRANSPOSE(INDEX(elec_project_emissions,MATCH(Elec_scenario&amp;'Additional Impact Indicators'!$B51,INDEX(Electricity_projection,0,3),0)-1,0)),Delay_emissions_table[Consumption of electricity (MJ) - Secondary Scenario],IF(Delay_emissions_table[Form of Maintenance - Secondary Scenario]="Replacement",1,0)),0))*Area_trans*time_adj_Sec</f>
        <v>0</v>
      </c>
      <c r="CK51" s="252" t="e" cm="1">
        <f t="array" ref="CK5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1" s="252" t="e" cm="1">
        <f t="array" ref="CL5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1" s="253" t="e" cm="1">
        <f t="array" ref="CM5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1" s="387" t="e" cm="1">
        <f t="array" ref="CN5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1" s="51" t="e">
        <f ca="1">SUMIF(Table3[[#This Row],[Raw-Materials]:[Transport to recycling facility]],"&lt;&gt;#N/A")</f>
        <v>#DIV/0!</v>
      </c>
      <c r="CT51" t="s">
        <v>544</v>
      </c>
      <c r="CU51" t="s">
        <v>512</v>
      </c>
      <c r="CV51" t="str">
        <f t="shared" si="3"/>
        <v>A2</v>
      </c>
      <c r="CW51" t="s">
        <v>485</v>
      </c>
      <c r="CY51">
        <f>MATCH(Table611[[#This Row],[Indicator]],Material_Impacts[Look up],0)</f>
        <v>95</v>
      </c>
      <c r="CZ51" s="246" cm="1">
        <f t="array" aca="1" ref="CZ5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1" s="165" cm="1">
        <f t="array" ref="DA5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1" s="165" t="e">
        <f>Diesel_RawM_Tert*INDEX(Indicators,MATCH(Impacts_Additional[[#This Row],[Indicator]],Materials!$D:$D,0),MATCH("Diesel Combustion",Materials!$1:$1,0))*Diesel_density*Project_Area*Tert_Lays*Area_trans</f>
        <v>#DIV/0!</v>
      </c>
      <c r="DC51" s="35" t="e" cm="1">
        <f t="array" aca="1" ref="DC5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1" s="35" t="e" cm="1">
        <f t="array" aca="1" ref="DD5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1" t="e" cm="1">
        <f t="array" aca="1" ref="DE5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1" s="35" t="e" cm="1">
        <f t="array" aca="1" ref="DF5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1" s="35" t="e" cm="1">
        <f t="array" aca="1" ref="DG5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1" t="e" cm="1">
        <f t="array" aca="1" ref="DH5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1" s="35" t="e" cm="1">
        <f t="array" aca="1" ref="DI5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1" s="35" t="e" cm="1">
        <f t="array" aca="1" ref="DJ5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1" t="e" cm="1">
        <f t="array" aca="1" ref="DK5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1" s="35" t="e" cm="1">
        <f t="array" aca="1" ref="DL5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1" s="35" t="e" cm="1">
        <f t="array" aca="1" ref="DM5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1" t="e" cm="1">
        <f t="array" aca="1" ref="DN5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1" s="35" t="e" cm="1">
        <f t="array" aca="1" ref="DO5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1" s="35" t="e" cm="1">
        <f t="array" aca="1" ref="DP5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1" t="e" cm="1">
        <f t="array" aca="1" ref="DQ5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1" s="35" t="e" cm="1">
        <f t="array" aca="1" ref="DR5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1" s="35" t="e" cm="1">
        <f t="array" aca="1" ref="DS5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1" t="e" cm="1">
        <f t="array" aca="1" ref="DT5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1" s="35" t="e" cm="1">
        <f t="array" aca="1" ref="DU5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1" s="35" t="e" cm="1">
        <f t="array" aca="1" ref="DV5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1" t="e" cm="1">
        <f t="array" aca="1" ref="DW5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1" s="35" t="e" cm="1">
        <f t="array" aca="1" ref="DX5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1" s="35" t="e" cm="1">
        <f t="array" aca="1" ref="DY5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1" t="e" cm="1">
        <f t="array" aca="1" ref="DZ5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1" s="35" t="e" cm="1">
        <f t="array" aca="1" ref="EA5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1" s="35" t="e" cm="1">
        <f t="array" aca="1" ref="EB5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1" t="e" cm="1">
        <f t="array" aca="1" ref="EC5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1" s="165"/>
      <c r="EE51" s="375" cm="1">
        <f t="array" aca="1" ref="EE5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1" s="251" cm="1">
        <f t="array" aca="1" ref="EF51" ca="1">(SUMPRODUCT(Delay_emissions_table[Consumption of Diesel (kg) - Tertiary Scenario],IF(Delay_emissions_table[Form of Maintenance - Tertiary Scenario]="Life Extension",1,0))*INDEX(Indicators,MATCH('Additional Impact Indicators'!$A51,Materials!$D:$D,0),MATCH("diesel combustion",Materials!$1:$1,0))+SUMPRODUCT(Delay_emissions_table[Consumption of Petrol (kg) - Tertiary Scenario],IF(Delay_emissions_table[Form of Maintenance - Tertiary Scenario]="Life Extension",1,0))*INDEX(Indicators,MATCH('Additional Impact Indicators'!$A51,Materials!$D:$D,0),MATCH("petrol combustion",Materials!$1:$1,0))+IFERROR(SUMPRODUCT(TRANSPOSE(INDEX(elec_project_emissions,MATCH(Elec_scenario&amp;'Additional Impact Indicators'!$B51,INDEX(Electricity_projection,0,3),0)-1,0)),Delay_emissions_table[Consumption of electricity (MJ) - Tertiary Scenario],IF(Delay_emissions_table[Form of Maintenance - Tertiary Scenario]="Life Extension",1,0)),0))*Area_trans*Time_adj_Tert</f>
        <v>0</v>
      </c>
      <c r="EG51" s="251" cm="1">
        <f t="array" aca="1" ref="EG51" ca="1">(SUMPRODUCT(Delay_emissions_table[Consumption of Diesel (kg) - Tertiary Scenario],IF(Delay_emissions_table[Form of Maintenance - Tertiary Scenario]="Replacement",1,0))*INDEX(Indicators,MATCH('Additional Impact Indicators'!$A51,Materials!$D:$D,0),MATCH("diesel combustion",Materials!$1:$1,0))+SUMPRODUCT(Delay_emissions_table[Consumption of Petrol (kg) - Tertiary Scenario],IF(Delay_emissions_table[Form of Maintenance - Tertiary Scenario]="Replacement",1,0))*INDEX(Indicators,MATCH('Additional Impact Indicators'!$A51,Materials!$D:$D,0),MATCH("petrol combustion",Materials!$1:$1,0))+IFERROR(SUMPRODUCT(TRANSPOSE(INDEX(elec_project_emissions,MATCH(Elec_scenario&amp;'Additional Impact Indicators'!$B51,INDEX(Electricity_projection,0,3),0)-1,0)),Delay_emissions_table[Consumption of electricity (MJ) - Tertiary Scenario],IF(Delay_emissions_table[Form of Maintenance - Tertiary Scenario]="Replacement",1,0)),0))*Area_trans*Time_adj_Tert</f>
        <v>0</v>
      </c>
      <c r="EH51" s="252" t="e" cm="1">
        <f t="array" ref="EH5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1" s="252" t="e" cm="1">
        <f t="array" ref="EI5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1" s="253" t="e" cm="1">
        <f t="array" ref="EJ5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1" s="253" t="e" cm="1">
        <f t="array" ref="EK5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1" t="e">
        <f ca="1">SUMIF(Table611[[#This Row],[Raw-Materials]:[Transport to recycling facility]],"&lt;&gt;#N/A")</f>
        <v>#DIV/0!</v>
      </c>
    </row>
    <row r="52" spans="1:142" x14ac:dyDescent="0.35">
      <c r="A52" t="s">
        <v>545</v>
      </c>
      <c r="B52" t="s">
        <v>546</v>
      </c>
      <c r="C52" t="str">
        <f t="shared" si="1"/>
        <v>A2</v>
      </c>
      <c r="D52" t="s">
        <v>485</v>
      </c>
      <c r="F52">
        <f>MATCH(Impacts_Additional[[#This Row],[Indicator]],Material_Impacts[Look up],0)</f>
        <v>96</v>
      </c>
      <c r="G52" s="246" cm="1">
        <f t="array" aca="1" ref="G5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2" s="166" cm="1">
        <f t="array" ref="H5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2" s="166" t="e">
        <f>Diesel_RawM_Prim*INDEX(Indicators,MATCH(Impacts_Additional[[#This Row],[Indicator]],Materials!$D:$D,0),MATCH("Diesel Combustion",Materials!$1:$1,0))*Diesel_density*Project_Area*Prim_Lays*Area_trans</f>
        <v>#DIV/0!</v>
      </c>
      <c r="J52" s="20" t="e" cm="1">
        <f t="array" aca="1" ref="J5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2" s="20" t="e" cm="1">
        <f t="array" aca="1" ref="K5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2" s="20" t="e" cm="1">
        <f t="array" aca="1" ref="L5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2" s="20" t="e" cm="1">
        <f t="array" aca="1" ref="M5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2" s="20" t="e" cm="1">
        <f t="array" aca="1" ref="N5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2" s="20" t="e" cm="1">
        <f t="array" aca="1" ref="O5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2" s="20" t="e" cm="1">
        <f t="array" aca="1" ref="P5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2" s="20" t="e" cm="1">
        <f t="array" aca="1" ref="Q5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2" s="20" t="e" cm="1">
        <f t="array" aca="1" ref="R5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2" s="20" t="e" cm="1">
        <f t="array" aca="1" ref="S5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2" s="20" t="e" cm="1">
        <f t="array" aca="1" ref="T5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2" s="20" t="e" cm="1">
        <f t="array" aca="1" ref="U5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2" s="20" t="e" cm="1">
        <f t="array" aca="1" ref="V5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2" s="20" t="e" cm="1">
        <f t="array" aca="1" ref="W5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2" s="20" t="e" cm="1">
        <f t="array" aca="1" ref="X5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2" s="20" t="e" cm="1">
        <f t="array" aca="1" ref="Y5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2" s="20" t="e" cm="1">
        <f t="array" aca="1" ref="Z5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2" s="20" t="e" cm="1">
        <f t="array" aca="1" ref="AA5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2" s="20" t="e" cm="1">
        <f t="array" aca="1" ref="AB5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2" s="20" t="e" cm="1">
        <f t="array" aca="1" ref="AC5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2" s="20" t="e" cm="1">
        <f t="array" aca="1" ref="AD5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2" s="20" t="e" cm="1">
        <f t="array" aca="1" ref="AE5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2" s="20" t="e" cm="1">
        <f t="array" aca="1" ref="AF5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2" s="20" t="e" cm="1">
        <f t="array" aca="1" ref="AG5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2" s="20" t="e" cm="1">
        <f t="array" aca="1" ref="AH5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2" s="20" t="e" cm="1">
        <f t="array" aca="1" ref="AI5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2" s="20" t="e" cm="1">
        <f t="array" aca="1" ref="AJ5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2" s="166"/>
      <c r="AL52" s="166" cm="1">
        <f t="array" aca="1" ref="AL5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2" s="247" cm="1">
        <f t="array" aca="1" ref="AM52" ca="1">(SUMPRODUCT(Delay_emissions_table[Consumption of Diesel (kg) - Primary Scenario],IF(Delay_emissions_table[Form of Maintenance - Primary Scenario]="Life Extension",1,0))*INDEX(Indicators,MATCH('Additional Impact Indicators'!$A52,Materials!$D:$D,0),MATCH("diesel combustion",Materials!$1:$1,0))+SUMPRODUCT(Delay_emissions_table[Consumption of Petrol (kg) - Primary Scenario],IF(Delay_emissions_table[Form of Maintenance - Primary Scenario]="Life Extension",1,0))*INDEX(Indicators,MATCH('Additional Impact Indicators'!$A52,Materials!$D:$D,0),MATCH("petrol combustion",Materials!$1:$1,0))+IFERROR(SUMPRODUCT(TRANSPOSE(INDEX(elec_project_emissions,MATCH(Elec_scenario&amp;'Additional Impact Indicators'!$B52,INDEX(Electricity_projection,0,3),0)-1,0)),Delay_emissions_table[Consumption of electricity (MJ) - Primary Scenario],IF(Delay_emissions_table[Form of Maintenance - Primary Scenario]="Life Extension",1,0)),0))*Area_trans*Time_adj_Prim</f>
        <v>0</v>
      </c>
      <c r="AN52" s="247" cm="1">
        <f t="array" aca="1" ref="AN52" ca="1">(SUMPRODUCT(Delay_emissions_table[Consumption of Diesel (kg) - Primary Scenario],IF(Delay_emissions_table[Form of Maintenance - Primary Scenario]="Replacement",1,0))*INDEX(Indicators,MATCH('Additional Impact Indicators'!$A52,Materials!$D:$D,0),MATCH("diesel combustion",Materials!$1:$1,0))+SUMPRODUCT(Delay_emissions_table[Consumption of Petrol (kg) - Primary Scenario],IF(Delay_emissions_table[Form of Maintenance - Primary Scenario]="Replacement",1,0))*INDEX(Indicators,MATCH('Additional Impact Indicators'!$A52,Materials!$D:$D,0),MATCH("petrol combustion",Materials!$1:$1,0))+IFERROR(SUMPRODUCT(TRANSPOSE(INDEX(elec_project_emissions,MATCH(Elec_scenario&amp;'Additional Impact Indicators'!$B52,INDEX(Electricity_projection,0,3),0)-1,0)),Delay_emissions_table[Consumption of electricity (MJ) - Primary Scenario],IF(Delay_emissions_table[Form of Maintenance - Primary Scenario]="Replacement",1,0)),0))*Area_trans*Time_adj_Prim</f>
        <v>0</v>
      </c>
      <c r="AO52" s="248" t="e" cm="1">
        <f t="array" ref="AO5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2" s="248" t="e" cm="1">
        <f t="array" ref="AP5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2" s="249" t="e" cm="1">
        <f t="array" ref="AQ5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2" s="386" t="e" cm="1">
        <f t="array" ref="AR5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2" t="e">
        <f ca="1">SUMIF('Additional Impact Indicators'!$G52:$AQ52,"&lt;&gt;#N/A")</f>
        <v>#DIV/0!</v>
      </c>
      <c r="AW52" t="s">
        <v>545</v>
      </c>
      <c r="AX52" t="s">
        <v>546</v>
      </c>
      <c r="AY52" t="str">
        <f t="shared" si="2"/>
        <v>A2</v>
      </c>
      <c r="AZ52" t="s">
        <v>485</v>
      </c>
      <c r="BB52">
        <f>MATCH(Table3[[#This Row],[Indicator]],Material_Impacts[Look up],0)</f>
        <v>96</v>
      </c>
      <c r="BC52" s="246" cm="1">
        <f t="array" aca="1" ref="BC5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2" s="166" cm="1">
        <f t="array" ref="BD5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2" s="166" t="e">
        <f>Diesel_RawM_Sec*INDEX(Indicators,MATCH(Impacts_Additional[[#This Row],[Indicator]],Materials!$D:$D,0),MATCH("Diesel Combustion",Materials!$1:$1,0))*Diesel_density*Project_Area*Sec_Lays*Area_trans</f>
        <v>#DIV/0!</v>
      </c>
      <c r="BF52" s="35" t="e" cm="1">
        <f t="array" aca="1" ref="BF5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2" s="35" t="e" cm="1">
        <f t="array" aca="1" ref="BG5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2" t="e" cm="1">
        <f t="array" aca="1" ref="BH5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2" s="35" t="e" cm="1">
        <f t="array" aca="1" ref="BI5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2" s="35" t="e" cm="1">
        <f t="array" aca="1" ref="BJ5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2" t="e" cm="1">
        <f t="array" aca="1" ref="BK5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2" s="35" t="e" cm="1">
        <f t="array" aca="1" ref="BL5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2" s="35" t="e" cm="1">
        <f t="array" aca="1" ref="BM5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2" t="e" cm="1">
        <f t="array" aca="1" ref="BN5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2" s="35" t="e" cm="1">
        <f t="array" aca="1" ref="BO5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2" s="35" t="e" cm="1">
        <f t="array" aca="1" ref="BP5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2" t="e" cm="1">
        <f t="array" aca="1" ref="BQ5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2" s="35" t="e" cm="1">
        <f t="array" aca="1" ref="BR5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2" s="35" t="e" cm="1">
        <f t="array" aca="1" ref="BS5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2" t="e" cm="1">
        <f t="array" aca="1" ref="BT5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2" s="35" t="e" cm="1">
        <f t="array" aca="1" ref="BU5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2" s="35" t="e" cm="1">
        <f t="array" aca="1" ref="BV5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2" t="e" cm="1">
        <f t="array" aca="1" ref="BW5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2" s="35" t="e" cm="1">
        <f t="array" aca="1" ref="BX5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2" s="35" t="e" cm="1">
        <f t="array" aca="1" ref="BY5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2" t="e" cm="1">
        <f t="array" aca="1" ref="BZ5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2" s="35" t="e" cm="1">
        <f t="array" aca="1" ref="CA5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2" s="35" t="e" cm="1">
        <f t="array" aca="1" ref="CB5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2" t="e" cm="1">
        <f t="array" aca="1" ref="CC5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2" s="35" t="e" cm="1">
        <f t="array" aca="1" ref="CD5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2" s="35" t="e" cm="1">
        <f t="array" aca="1" ref="CE5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2" t="e" cm="1">
        <f t="array" aca="1" ref="CF5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2" s="166"/>
      <c r="CH52" s="375" cm="1">
        <f t="array" aca="1" ref="CH5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2" s="247" cm="1">
        <f t="array" aca="1" ref="CI52" ca="1">(SUMPRODUCT(Delay_emissions_table[Consumption of Diesel (kg) - Secondary Scenario],IF(Delay_emissions_table[Form of Maintenance - Secondary Scenario]="Life Extension",1,0))*INDEX(Indicators,MATCH('Additional Impact Indicators'!$A52,Materials!$D:$D,0),MATCH("diesel combustion",Materials!$1:$1,0))+SUMPRODUCT(Delay_emissions_table[Consumption of Petrol (kg) - Secondary Scenario],IF(Delay_emissions_table[Form of Maintenance - Secondary Scenario]="Life Extension",1,0))*INDEX(Indicators,MATCH('Additional Impact Indicators'!$A52,Materials!$D:$D,0),MATCH("petrol combustion",Materials!$1:$1,0))+IFERROR(SUMPRODUCT(TRANSPOSE(INDEX(elec_project_emissions,MATCH(Elec_scenario&amp;'Additional Impact Indicators'!$B52,INDEX(Electricity_projection,0,3),0)-1,0)),Delay_emissions_table[Consumption of electricity (MJ) - Secondary Scenario],IF(Delay_emissions_table[Form of Maintenance - Secondary Scenario]="Life Extension",1,0)),0))*Area_trans*time_adj_Sec</f>
        <v>0</v>
      </c>
      <c r="CJ52" s="247" cm="1">
        <f t="array" aca="1" ref="CJ52" ca="1">(SUMPRODUCT(Delay_emissions_table[Consumption of Diesel (kg) - Secondary Scenario],IF(Delay_emissions_table[Form of Maintenance - Secondary Scenario]="Replacement",1,0))*INDEX(Indicators,MATCH('Additional Impact Indicators'!$A52,Materials!$D:$D,0),MATCH("diesel combustion",Materials!$1:$1,0))+SUMPRODUCT(Delay_emissions_table[Consumption of Petrol (kg) - Secondary Scenario],IF(Delay_emissions_table[Form of Maintenance - Secondary Scenario]="Replacement",1,0))*INDEX(Indicators,MATCH('Additional Impact Indicators'!$A52,Materials!$D:$D,0),MATCH("petrol combustion",Materials!$1:$1,0))+IFERROR(SUMPRODUCT(TRANSPOSE(INDEX(elec_project_emissions,MATCH(Elec_scenario&amp;'Additional Impact Indicators'!$B52,INDEX(Electricity_projection,0,3),0)-1,0)),Delay_emissions_table[Consumption of electricity (MJ) - Secondary Scenario],IF(Delay_emissions_table[Form of Maintenance - Secondary Scenario]="Replacement",1,0)),0))*Area_trans*time_adj_Sec</f>
        <v>0</v>
      </c>
      <c r="CK52" s="248" t="e" cm="1">
        <f t="array" ref="CK5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2" s="248" t="e" cm="1">
        <f t="array" ref="CL5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2" s="249" t="e" cm="1">
        <f t="array" ref="CM5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2" s="387" t="e" cm="1">
        <f t="array" ref="CN5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2" s="51" t="e">
        <f ca="1">SUMIF(Table3[[#This Row],[Raw-Materials]:[Transport to recycling facility]],"&lt;&gt;#N/A")</f>
        <v>#DIV/0!</v>
      </c>
      <c r="CT52" t="s">
        <v>545</v>
      </c>
      <c r="CU52" t="s">
        <v>546</v>
      </c>
      <c r="CV52" t="str">
        <f t="shared" si="3"/>
        <v>A2</v>
      </c>
      <c r="CW52" t="s">
        <v>485</v>
      </c>
      <c r="CY52">
        <f>MATCH(Table611[[#This Row],[Indicator]],Material_Impacts[Look up],0)</f>
        <v>96</v>
      </c>
      <c r="CZ52" s="246" cm="1">
        <f t="array" aca="1" ref="CZ5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2" s="166" cm="1">
        <f t="array" ref="DA5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2" s="166" t="e">
        <f>Diesel_RawM_Tert*INDEX(Indicators,MATCH(Impacts_Additional[[#This Row],[Indicator]],Materials!$D:$D,0),MATCH("Diesel Combustion",Materials!$1:$1,0))*Diesel_density*Project_Area*Tert_Lays*Area_trans</f>
        <v>#DIV/0!</v>
      </c>
      <c r="DC52" s="35" t="e" cm="1">
        <f t="array" aca="1" ref="DC5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2" s="35" t="e" cm="1">
        <f t="array" aca="1" ref="DD5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2" t="e" cm="1">
        <f t="array" aca="1" ref="DE5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2" s="35" t="e" cm="1">
        <f t="array" aca="1" ref="DF5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2" s="35" t="e" cm="1">
        <f t="array" aca="1" ref="DG5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2" t="e" cm="1">
        <f t="array" aca="1" ref="DH5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2" s="35" t="e" cm="1">
        <f t="array" aca="1" ref="DI5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2" s="35" t="e" cm="1">
        <f t="array" aca="1" ref="DJ5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2" t="e" cm="1">
        <f t="array" aca="1" ref="DK5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2" s="35" t="e" cm="1">
        <f t="array" aca="1" ref="DL5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2" s="35" t="e" cm="1">
        <f t="array" aca="1" ref="DM5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2" t="e" cm="1">
        <f t="array" aca="1" ref="DN5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2" s="35" t="e" cm="1">
        <f t="array" aca="1" ref="DO5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2" s="35" t="e" cm="1">
        <f t="array" aca="1" ref="DP5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2" t="e" cm="1">
        <f t="array" aca="1" ref="DQ5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2" s="35" t="e" cm="1">
        <f t="array" aca="1" ref="DR5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2" s="35" t="e" cm="1">
        <f t="array" aca="1" ref="DS5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2" t="e" cm="1">
        <f t="array" aca="1" ref="DT5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2" s="35" t="e" cm="1">
        <f t="array" aca="1" ref="DU5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2" s="35" t="e" cm="1">
        <f t="array" aca="1" ref="DV5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2" t="e" cm="1">
        <f t="array" aca="1" ref="DW5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2" s="35" t="e" cm="1">
        <f t="array" aca="1" ref="DX5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2" s="35" t="e" cm="1">
        <f t="array" aca="1" ref="DY5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2" t="e" cm="1">
        <f t="array" aca="1" ref="DZ5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2" s="35" t="e" cm="1">
        <f t="array" aca="1" ref="EA5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2" s="35" t="e" cm="1">
        <f t="array" aca="1" ref="EB5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2" t="e" cm="1">
        <f t="array" aca="1" ref="EC5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2" s="166"/>
      <c r="EE52" s="375" cm="1">
        <f t="array" aca="1" ref="EE5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2" s="247" cm="1">
        <f t="array" aca="1" ref="EF52" ca="1">(SUMPRODUCT(Delay_emissions_table[Consumption of Diesel (kg) - Tertiary Scenario],IF(Delay_emissions_table[Form of Maintenance - Tertiary Scenario]="Life Extension",1,0))*INDEX(Indicators,MATCH('Additional Impact Indicators'!$A52,Materials!$D:$D,0),MATCH("diesel combustion",Materials!$1:$1,0))+SUMPRODUCT(Delay_emissions_table[Consumption of Petrol (kg) - Tertiary Scenario],IF(Delay_emissions_table[Form of Maintenance - Tertiary Scenario]="Life Extension",1,0))*INDEX(Indicators,MATCH('Additional Impact Indicators'!$A52,Materials!$D:$D,0),MATCH("petrol combustion",Materials!$1:$1,0))+IFERROR(SUMPRODUCT(TRANSPOSE(INDEX(elec_project_emissions,MATCH(Elec_scenario&amp;'Additional Impact Indicators'!$B52,INDEX(Electricity_projection,0,3),0)-1,0)),Delay_emissions_table[Consumption of electricity (MJ) - Tertiary Scenario],IF(Delay_emissions_table[Form of Maintenance - Tertiary Scenario]="Life Extension",1,0)),0))*Area_trans*Time_adj_Tert</f>
        <v>0</v>
      </c>
      <c r="EG52" s="247" cm="1">
        <f t="array" aca="1" ref="EG52" ca="1">(SUMPRODUCT(Delay_emissions_table[Consumption of Diesel (kg) - Tertiary Scenario],IF(Delay_emissions_table[Form of Maintenance - Tertiary Scenario]="Replacement",1,0))*INDEX(Indicators,MATCH('Additional Impact Indicators'!$A52,Materials!$D:$D,0),MATCH("diesel combustion",Materials!$1:$1,0))+SUMPRODUCT(Delay_emissions_table[Consumption of Petrol (kg) - Tertiary Scenario],IF(Delay_emissions_table[Form of Maintenance - Tertiary Scenario]="Replacement",1,0))*INDEX(Indicators,MATCH('Additional Impact Indicators'!$A52,Materials!$D:$D,0),MATCH("petrol combustion",Materials!$1:$1,0))+IFERROR(SUMPRODUCT(TRANSPOSE(INDEX(elec_project_emissions,MATCH(Elec_scenario&amp;'Additional Impact Indicators'!$B52,INDEX(Electricity_projection,0,3),0)-1,0)),Delay_emissions_table[Consumption of electricity (MJ) - Tertiary Scenario],IF(Delay_emissions_table[Form of Maintenance - Tertiary Scenario]="Replacement",1,0)),0))*Area_trans*Time_adj_Tert</f>
        <v>0</v>
      </c>
      <c r="EH52" s="248" t="e" cm="1">
        <f t="array" ref="EH5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2" s="248" t="e" cm="1">
        <f t="array" ref="EI5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2" s="249" t="e" cm="1">
        <f t="array" ref="EJ5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2" s="249" t="e" cm="1">
        <f t="array" ref="EK5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2" t="e">
        <f ca="1">SUMIF(Table611[[#This Row],[Raw-Materials]:[Transport to recycling facility]],"&lt;&gt;#N/A")</f>
        <v>#DIV/0!</v>
      </c>
    </row>
    <row r="53" spans="1:142" x14ac:dyDescent="0.35">
      <c r="A53" s="155" t="s">
        <v>547</v>
      </c>
      <c r="B53" s="155" t="s">
        <v>516</v>
      </c>
      <c r="C53" s="155" t="str">
        <f t="shared" si="1"/>
        <v>A2</v>
      </c>
      <c r="D53" s="155" t="s">
        <v>485</v>
      </c>
      <c r="E53" s="155"/>
      <c r="F53">
        <f>MATCH(Impacts_Additional[[#This Row],[Indicator]],Material_Impacts[Look up],0)</f>
        <v>97</v>
      </c>
      <c r="G53" s="246" cm="1">
        <f t="array" aca="1" ref="G5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3" s="165" cm="1">
        <f t="array" ref="H5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3" s="165" t="e">
        <f>Diesel_RawM_Prim*INDEX(Indicators,MATCH(Impacts_Additional[[#This Row],[Indicator]],Materials!$D:$D,0),MATCH("Diesel Combustion",Materials!$1:$1,0))*Diesel_density*Project_Area*Prim_Lays*Area_trans</f>
        <v>#DIV/0!</v>
      </c>
      <c r="J53" s="250" t="e" cm="1">
        <f t="array" aca="1" ref="J5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3" s="250" t="e" cm="1">
        <f t="array" aca="1" ref="K5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3" s="250" t="e" cm="1">
        <f t="array" aca="1" ref="L5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3" s="250" t="e" cm="1">
        <f t="array" aca="1" ref="M5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3" s="250" t="e" cm="1">
        <f t="array" aca="1" ref="N5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3" s="250" t="e" cm="1">
        <f t="array" aca="1" ref="O5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3" s="250" t="e" cm="1">
        <f t="array" aca="1" ref="P5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3" s="250" t="e" cm="1">
        <f t="array" aca="1" ref="Q5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3" s="250" t="e" cm="1">
        <f t="array" aca="1" ref="R5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3" s="250" t="e" cm="1">
        <f t="array" aca="1" ref="S5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3" s="250" t="e" cm="1">
        <f t="array" aca="1" ref="T5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3" s="250" t="e" cm="1">
        <f t="array" aca="1" ref="U5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3" s="250" t="e" cm="1">
        <f t="array" aca="1" ref="V5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3" s="250" t="e" cm="1">
        <f t="array" aca="1" ref="W5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3" s="250" t="e" cm="1">
        <f t="array" aca="1" ref="X5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3" s="250" t="e" cm="1">
        <f t="array" aca="1" ref="Y5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3" s="250" t="e" cm="1">
        <f t="array" aca="1" ref="Z5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3" s="250" t="e" cm="1">
        <f t="array" aca="1" ref="AA5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3" s="250" t="e" cm="1">
        <f t="array" aca="1" ref="AB5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3" s="250" t="e" cm="1">
        <f t="array" aca="1" ref="AC5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3" s="250" t="e" cm="1">
        <f t="array" aca="1" ref="AD5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3" s="250" t="e" cm="1">
        <f t="array" aca="1" ref="AE5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3" s="250" t="e" cm="1">
        <f t="array" aca="1" ref="AF5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3" s="250" t="e" cm="1">
        <f t="array" aca="1" ref="AG5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3" s="250" t="e" cm="1">
        <f t="array" aca="1" ref="AH5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3" s="250" t="e" cm="1">
        <f t="array" aca="1" ref="AI5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3" s="250" t="e" cm="1">
        <f t="array" aca="1" ref="AJ5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3" s="165"/>
      <c r="AL53" s="165" cm="1">
        <f t="array" aca="1" ref="AL5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3" s="251" cm="1">
        <f t="array" aca="1" ref="AM53" ca="1">(SUMPRODUCT(Delay_emissions_table[Consumption of Diesel (kg) - Primary Scenario],IF(Delay_emissions_table[Form of Maintenance - Primary Scenario]="Life Extension",1,0))*INDEX(Indicators,MATCH('Additional Impact Indicators'!$A53,Materials!$D:$D,0),MATCH("diesel combustion",Materials!$1:$1,0))+SUMPRODUCT(Delay_emissions_table[Consumption of Petrol (kg) - Primary Scenario],IF(Delay_emissions_table[Form of Maintenance - Primary Scenario]="Life Extension",1,0))*INDEX(Indicators,MATCH('Additional Impact Indicators'!$A53,Materials!$D:$D,0),MATCH("petrol combustion",Materials!$1:$1,0))+IFERROR(SUMPRODUCT(TRANSPOSE(INDEX(elec_project_emissions,MATCH(Elec_scenario&amp;'Additional Impact Indicators'!$B53,INDEX(Electricity_projection,0,3),0)-1,0)),Delay_emissions_table[Consumption of electricity (MJ) - Primary Scenario],IF(Delay_emissions_table[Form of Maintenance - Primary Scenario]="Life Extension",1,0)),0))*Area_trans*Time_adj_Prim</f>
        <v>0</v>
      </c>
      <c r="AN53" s="251" cm="1">
        <f t="array" aca="1" ref="AN53" ca="1">(SUMPRODUCT(Delay_emissions_table[Consumption of Diesel (kg) - Primary Scenario],IF(Delay_emissions_table[Form of Maintenance - Primary Scenario]="Replacement",1,0))*INDEX(Indicators,MATCH('Additional Impact Indicators'!$A53,Materials!$D:$D,0),MATCH("diesel combustion",Materials!$1:$1,0))+SUMPRODUCT(Delay_emissions_table[Consumption of Petrol (kg) - Primary Scenario],IF(Delay_emissions_table[Form of Maintenance - Primary Scenario]="Replacement",1,0))*INDEX(Indicators,MATCH('Additional Impact Indicators'!$A53,Materials!$D:$D,0),MATCH("petrol combustion",Materials!$1:$1,0))+IFERROR(SUMPRODUCT(TRANSPOSE(INDEX(elec_project_emissions,MATCH(Elec_scenario&amp;'Additional Impact Indicators'!$B53,INDEX(Electricity_projection,0,3),0)-1,0)),Delay_emissions_table[Consumption of electricity (MJ) - Primary Scenario],IF(Delay_emissions_table[Form of Maintenance - Primary Scenario]="Replacement",1,0)),0))*Area_trans*Time_adj_Prim</f>
        <v>0</v>
      </c>
      <c r="AO53" s="252" t="e" cm="1">
        <f t="array" ref="AO5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3" s="252" t="e" cm="1">
        <f t="array" ref="AP5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3" s="253" t="e" cm="1">
        <f t="array" ref="AQ5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3" s="385" t="e" cm="1">
        <f t="array" ref="AR5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3" t="e">
        <f ca="1">SUMIF('Additional Impact Indicators'!$G53:$AQ53,"&lt;&gt;#N/A")</f>
        <v>#DIV/0!</v>
      </c>
      <c r="AW53" s="155" t="s">
        <v>547</v>
      </c>
      <c r="AX53" s="155" t="s">
        <v>516</v>
      </c>
      <c r="AY53" s="155" t="str">
        <f t="shared" si="2"/>
        <v>A2</v>
      </c>
      <c r="AZ53" s="155" t="s">
        <v>485</v>
      </c>
      <c r="BA53" s="155"/>
      <c r="BB53" s="155">
        <f>MATCH(Table3[[#This Row],[Indicator]],Material_Impacts[Look up],0)</f>
        <v>97</v>
      </c>
      <c r="BC53" s="246" cm="1">
        <f t="array" aca="1" ref="BC5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3" s="165" cm="1">
        <f t="array" ref="BD5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3" s="165" t="e">
        <f>Diesel_RawM_Sec*INDEX(Indicators,MATCH(Impacts_Additional[[#This Row],[Indicator]],Materials!$D:$D,0),MATCH("Diesel Combustion",Materials!$1:$1,0))*Diesel_density*Project_Area*Sec_Lays*Area_trans</f>
        <v>#DIV/0!</v>
      </c>
      <c r="BF53" s="35" t="e" cm="1">
        <f t="array" aca="1" ref="BF5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3" s="35" t="e" cm="1">
        <f t="array" aca="1" ref="BG5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3" t="e" cm="1">
        <f t="array" aca="1" ref="BH5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3" s="35" t="e" cm="1">
        <f t="array" aca="1" ref="BI5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3" s="35" t="e" cm="1">
        <f t="array" aca="1" ref="BJ5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3" t="e" cm="1">
        <f t="array" aca="1" ref="BK5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3" s="35" t="e" cm="1">
        <f t="array" aca="1" ref="BL5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3" s="35" t="e" cm="1">
        <f t="array" aca="1" ref="BM5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3" t="e" cm="1">
        <f t="array" aca="1" ref="BN5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3" s="35" t="e" cm="1">
        <f t="array" aca="1" ref="BO5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3" s="35" t="e" cm="1">
        <f t="array" aca="1" ref="BP5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3" t="e" cm="1">
        <f t="array" aca="1" ref="BQ5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3" s="35" t="e" cm="1">
        <f t="array" aca="1" ref="BR5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3" s="35" t="e" cm="1">
        <f t="array" aca="1" ref="BS5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3" t="e" cm="1">
        <f t="array" aca="1" ref="BT5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3" s="35" t="e" cm="1">
        <f t="array" aca="1" ref="BU5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3" s="35" t="e" cm="1">
        <f t="array" aca="1" ref="BV5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3" t="e" cm="1">
        <f t="array" aca="1" ref="BW5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3" s="35" t="e" cm="1">
        <f t="array" aca="1" ref="BX5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3" s="35" t="e" cm="1">
        <f t="array" aca="1" ref="BY5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3" t="e" cm="1">
        <f t="array" aca="1" ref="BZ5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3" s="35" t="e" cm="1">
        <f t="array" aca="1" ref="CA5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3" s="35" t="e" cm="1">
        <f t="array" aca="1" ref="CB5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3" t="e" cm="1">
        <f t="array" aca="1" ref="CC5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3" s="35" t="e" cm="1">
        <f t="array" aca="1" ref="CD5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3" s="35" t="e" cm="1">
        <f t="array" aca="1" ref="CE5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3" t="e" cm="1">
        <f t="array" aca="1" ref="CF5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3" s="165"/>
      <c r="CH53" s="375" cm="1">
        <f t="array" aca="1" ref="CH5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3" s="251" cm="1">
        <f t="array" aca="1" ref="CI53" ca="1">(SUMPRODUCT(Delay_emissions_table[Consumption of Diesel (kg) - Secondary Scenario],IF(Delay_emissions_table[Form of Maintenance - Secondary Scenario]="Life Extension",1,0))*INDEX(Indicators,MATCH('Additional Impact Indicators'!$A53,Materials!$D:$D,0),MATCH("diesel combustion",Materials!$1:$1,0))+SUMPRODUCT(Delay_emissions_table[Consumption of Petrol (kg) - Secondary Scenario],IF(Delay_emissions_table[Form of Maintenance - Secondary Scenario]="Life Extension",1,0))*INDEX(Indicators,MATCH('Additional Impact Indicators'!$A53,Materials!$D:$D,0),MATCH("petrol combustion",Materials!$1:$1,0))+IFERROR(SUMPRODUCT(TRANSPOSE(INDEX(elec_project_emissions,MATCH(Elec_scenario&amp;'Additional Impact Indicators'!$B53,INDEX(Electricity_projection,0,3),0)-1,0)),Delay_emissions_table[Consumption of electricity (MJ) - Secondary Scenario],IF(Delay_emissions_table[Form of Maintenance - Secondary Scenario]="Life Extension",1,0)),0))*Area_trans*time_adj_Sec</f>
        <v>0</v>
      </c>
      <c r="CJ53" s="251" cm="1">
        <f t="array" aca="1" ref="CJ53" ca="1">(SUMPRODUCT(Delay_emissions_table[Consumption of Diesel (kg) - Secondary Scenario],IF(Delay_emissions_table[Form of Maintenance - Secondary Scenario]="Replacement",1,0))*INDEX(Indicators,MATCH('Additional Impact Indicators'!$A53,Materials!$D:$D,0),MATCH("diesel combustion",Materials!$1:$1,0))+SUMPRODUCT(Delay_emissions_table[Consumption of Petrol (kg) - Secondary Scenario],IF(Delay_emissions_table[Form of Maintenance - Secondary Scenario]="Replacement",1,0))*INDEX(Indicators,MATCH('Additional Impact Indicators'!$A53,Materials!$D:$D,0),MATCH("petrol combustion",Materials!$1:$1,0))+IFERROR(SUMPRODUCT(TRANSPOSE(INDEX(elec_project_emissions,MATCH(Elec_scenario&amp;'Additional Impact Indicators'!$B53,INDEX(Electricity_projection,0,3),0)-1,0)),Delay_emissions_table[Consumption of electricity (MJ) - Secondary Scenario],IF(Delay_emissions_table[Form of Maintenance - Secondary Scenario]="Replacement",1,0)),0))*Area_trans*time_adj_Sec</f>
        <v>0</v>
      </c>
      <c r="CK53" s="252" t="e" cm="1">
        <f t="array" ref="CK5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3" s="252" t="e" cm="1">
        <f t="array" ref="CL5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3" s="253" t="e" cm="1">
        <f t="array" ref="CM5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3" s="387" t="e" cm="1">
        <f t="array" ref="CN5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3" s="51" t="e">
        <f ca="1">SUMIF(Table3[[#This Row],[Raw-Materials]:[Transport to recycling facility]],"&lt;&gt;#N/A")</f>
        <v>#DIV/0!</v>
      </c>
      <c r="CT53" t="s">
        <v>547</v>
      </c>
      <c r="CU53" t="s">
        <v>516</v>
      </c>
      <c r="CV53" t="str">
        <f t="shared" si="3"/>
        <v>A2</v>
      </c>
      <c r="CW53" t="s">
        <v>485</v>
      </c>
      <c r="CY53">
        <f>MATCH(Table611[[#This Row],[Indicator]],Material_Impacts[Look up],0)</f>
        <v>97</v>
      </c>
      <c r="CZ53" s="246" cm="1">
        <f t="array" aca="1" ref="CZ5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3" s="165" cm="1">
        <f t="array" ref="DA5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3" s="165" t="e">
        <f>Diesel_RawM_Tert*INDEX(Indicators,MATCH(Impacts_Additional[[#This Row],[Indicator]],Materials!$D:$D,0),MATCH("Diesel Combustion",Materials!$1:$1,0))*Diesel_density*Project_Area*Tert_Lays*Area_trans</f>
        <v>#DIV/0!</v>
      </c>
      <c r="DC53" s="35" t="e" cm="1">
        <f t="array" aca="1" ref="DC5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3" s="35" t="e" cm="1">
        <f t="array" aca="1" ref="DD5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3" t="e" cm="1">
        <f t="array" aca="1" ref="DE5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3" s="35" t="e" cm="1">
        <f t="array" aca="1" ref="DF5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3" s="35" t="e" cm="1">
        <f t="array" aca="1" ref="DG5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3" t="e" cm="1">
        <f t="array" aca="1" ref="DH5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3" s="35" t="e" cm="1">
        <f t="array" aca="1" ref="DI5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3" s="35" t="e" cm="1">
        <f t="array" aca="1" ref="DJ5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3" t="e" cm="1">
        <f t="array" aca="1" ref="DK5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3" s="35" t="e" cm="1">
        <f t="array" aca="1" ref="DL5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3" s="35" t="e" cm="1">
        <f t="array" aca="1" ref="DM5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3" t="e" cm="1">
        <f t="array" aca="1" ref="DN5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3" s="35" t="e" cm="1">
        <f t="array" aca="1" ref="DO5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3" s="35" t="e" cm="1">
        <f t="array" aca="1" ref="DP5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3" t="e" cm="1">
        <f t="array" aca="1" ref="DQ5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3" s="35" t="e" cm="1">
        <f t="array" aca="1" ref="DR5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3" s="35" t="e" cm="1">
        <f t="array" aca="1" ref="DS5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3" t="e" cm="1">
        <f t="array" aca="1" ref="DT5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3" s="35" t="e" cm="1">
        <f t="array" aca="1" ref="DU5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3" s="35" t="e" cm="1">
        <f t="array" aca="1" ref="DV5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3" t="e" cm="1">
        <f t="array" aca="1" ref="DW5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3" s="35" t="e" cm="1">
        <f t="array" aca="1" ref="DX5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3" s="35" t="e" cm="1">
        <f t="array" aca="1" ref="DY5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3" t="e" cm="1">
        <f t="array" aca="1" ref="DZ5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3" s="35" t="e" cm="1">
        <f t="array" aca="1" ref="EA5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3" s="35" t="e" cm="1">
        <f t="array" aca="1" ref="EB5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3" t="e" cm="1">
        <f t="array" aca="1" ref="EC5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3" s="165"/>
      <c r="EE53" s="375" cm="1">
        <f t="array" aca="1" ref="EE5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3" s="251" cm="1">
        <f t="array" aca="1" ref="EF53" ca="1">(SUMPRODUCT(Delay_emissions_table[Consumption of Diesel (kg) - Tertiary Scenario],IF(Delay_emissions_table[Form of Maintenance - Tertiary Scenario]="Life Extension",1,0))*INDEX(Indicators,MATCH('Additional Impact Indicators'!$A53,Materials!$D:$D,0),MATCH("diesel combustion",Materials!$1:$1,0))+SUMPRODUCT(Delay_emissions_table[Consumption of Petrol (kg) - Tertiary Scenario],IF(Delay_emissions_table[Form of Maintenance - Tertiary Scenario]="Life Extension",1,0))*INDEX(Indicators,MATCH('Additional Impact Indicators'!$A53,Materials!$D:$D,0),MATCH("petrol combustion",Materials!$1:$1,0))+IFERROR(SUMPRODUCT(TRANSPOSE(INDEX(elec_project_emissions,MATCH(Elec_scenario&amp;'Additional Impact Indicators'!$B53,INDEX(Electricity_projection,0,3),0)-1,0)),Delay_emissions_table[Consumption of electricity (MJ) - Tertiary Scenario],IF(Delay_emissions_table[Form of Maintenance - Tertiary Scenario]="Life Extension",1,0)),0))*Area_trans*Time_adj_Tert</f>
        <v>0</v>
      </c>
      <c r="EG53" s="251" cm="1">
        <f t="array" aca="1" ref="EG53" ca="1">(SUMPRODUCT(Delay_emissions_table[Consumption of Diesel (kg) - Tertiary Scenario],IF(Delay_emissions_table[Form of Maintenance - Tertiary Scenario]="Replacement",1,0))*INDEX(Indicators,MATCH('Additional Impact Indicators'!$A53,Materials!$D:$D,0),MATCH("diesel combustion",Materials!$1:$1,0))+SUMPRODUCT(Delay_emissions_table[Consumption of Petrol (kg) - Tertiary Scenario],IF(Delay_emissions_table[Form of Maintenance - Tertiary Scenario]="Replacement",1,0))*INDEX(Indicators,MATCH('Additional Impact Indicators'!$A53,Materials!$D:$D,0),MATCH("petrol combustion",Materials!$1:$1,0))+IFERROR(SUMPRODUCT(TRANSPOSE(INDEX(elec_project_emissions,MATCH(Elec_scenario&amp;'Additional Impact Indicators'!$B53,INDEX(Electricity_projection,0,3),0)-1,0)),Delay_emissions_table[Consumption of electricity (MJ) - Tertiary Scenario],IF(Delay_emissions_table[Form of Maintenance - Tertiary Scenario]="Replacement",1,0)),0))*Area_trans*Time_adj_Tert</f>
        <v>0</v>
      </c>
      <c r="EH53" s="252" t="e" cm="1">
        <f t="array" ref="EH5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3" s="252" t="e" cm="1">
        <f t="array" ref="EI5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3" s="253" t="e" cm="1">
        <f t="array" ref="EJ5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3" s="253" t="e" cm="1">
        <f t="array" ref="EK5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3" t="e">
        <f ca="1">SUMIF(Table611[[#This Row],[Raw-Materials]:[Transport to recycling facility]],"&lt;&gt;#N/A")</f>
        <v>#DIV/0!</v>
      </c>
    </row>
    <row r="54" spans="1:142" x14ac:dyDescent="0.35">
      <c r="A54" t="s">
        <v>548</v>
      </c>
      <c r="B54" t="s">
        <v>518</v>
      </c>
      <c r="C54" t="str">
        <f t="shared" si="1"/>
        <v>A2</v>
      </c>
      <c r="D54" t="s">
        <v>485</v>
      </c>
      <c r="F54">
        <f>MATCH(Impacts_Additional[[#This Row],[Indicator]],Material_Impacts[Look up],0)</f>
        <v>98</v>
      </c>
      <c r="G54" s="246" cm="1">
        <f t="array" aca="1" ref="G5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4" s="166" cm="1">
        <f t="array" ref="H5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4" s="166" t="e">
        <f>Diesel_RawM_Prim*INDEX(Indicators,MATCH(Impacts_Additional[[#This Row],[Indicator]],Materials!$D:$D,0),MATCH("Diesel Combustion",Materials!$1:$1,0))*Diesel_density*Project_Area*Prim_Lays*Area_trans</f>
        <v>#DIV/0!</v>
      </c>
      <c r="J54" s="20" t="e" cm="1">
        <f t="array" aca="1" ref="J5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4" s="20" t="e" cm="1">
        <f t="array" aca="1" ref="K5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4" s="20" t="e" cm="1">
        <f t="array" aca="1" ref="L5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4" s="20" t="e" cm="1">
        <f t="array" aca="1" ref="M5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4" s="20" t="e" cm="1">
        <f t="array" aca="1" ref="N5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4" s="20" t="e" cm="1">
        <f t="array" aca="1" ref="O5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4" s="20" t="e" cm="1">
        <f t="array" aca="1" ref="P5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4" s="20" t="e" cm="1">
        <f t="array" aca="1" ref="Q5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4" s="20" t="e" cm="1">
        <f t="array" aca="1" ref="R5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4" s="20" t="e" cm="1">
        <f t="array" aca="1" ref="S5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4" s="20" t="e" cm="1">
        <f t="array" aca="1" ref="T5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4" s="20" t="e" cm="1">
        <f t="array" aca="1" ref="U5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4" s="20" t="e" cm="1">
        <f t="array" aca="1" ref="V5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4" s="20" t="e" cm="1">
        <f t="array" aca="1" ref="W5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4" s="20" t="e" cm="1">
        <f t="array" aca="1" ref="X5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4" s="20" t="e" cm="1">
        <f t="array" aca="1" ref="Y5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4" s="20" t="e" cm="1">
        <f t="array" aca="1" ref="Z5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4" s="20" t="e" cm="1">
        <f t="array" aca="1" ref="AA5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4" s="20" t="e" cm="1">
        <f t="array" aca="1" ref="AB5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4" s="20" t="e" cm="1">
        <f t="array" aca="1" ref="AC5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4" s="20" t="e" cm="1">
        <f t="array" aca="1" ref="AD5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4" s="20" t="e" cm="1">
        <f t="array" aca="1" ref="AE5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4" s="20" t="e" cm="1">
        <f t="array" aca="1" ref="AF5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4" s="20" t="e" cm="1">
        <f t="array" aca="1" ref="AG5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4" s="20" t="e" cm="1">
        <f t="array" aca="1" ref="AH5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4" s="20" t="e" cm="1">
        <f t="array" aca="1" ref="AI5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4" s="20" t="e" cm="1">
        <f t="array" aca="1" ref="AJ5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4" s="166"/>
      <c r="AL54" s="166" cm="1">
        <f t="array" aca="1" ref="AL5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4" s="247" cm="1">
        <f t="array" aca="1" ref="AM54" ca="1">(SUMPRODUCT(Delay_emissions_table[Consumption of Diesel (kg) - Primary Scenario],IF(Delay_emissions_table[Form of Maintenance - Primary Scenario]="Life Extension",1,0))*INDEX(Indicators,MATCH('Additional Impact Indicators'!$A54,Materials!$D:$D,0),MATCH("diesel combustion",Materials!$1:$1,0))+SUMPRODUCT(Delay_emissions_table[Consumption of Petrol (kg) - Primary Scenario],IF(Delay_emissions_table[Form of Maintenance - Primary Scenario]="Life Extension",1,0))*INDEX(Indicators,MATCH('Additional Impact Indicators'!$A54,Materials!$D:$D,0),MATCH("petrol combustion",Materials!$1:$1,0))+IFERROR(SUMPRODUCT(TRANSPOSE(INDEX(elec_project_emissions,MATCH(Elec_scenario&amp;'Additional Impact Indicators'!$B54,INDEX(Electricity_projection,0,3),0)-1,0)),Delay_emissions_table[Consumption of electricity (MJ) - Primary Scenario],IF(Delay_emissions_table[Form of Maintenance - Primary Scenario]="Life Extension",1,0)),0))*Area_trans*Time_adj_Prim</f>
        <v>0</v>
      </c>
      <c r="AN54" s="247" cm="1">
        <f t="array" aca="1" ref="AN54" ca="1">(SUMPRODUCT(Delay_emissions_table[Consumption of Diesel (kg) - Primary Scenario],IF(Delay_emissions_table[Form of Maintenance - Primary Scenario]="Replacement",1,0))*INDEX(Indicators,MATCH('Additional Impact Indicators'!$A54,Materials!$D:$D,0),MATCH("diesel combustion",Materials!$1:$1,0))+SUMPRODUCT(Delay_emissions_table[Consumption of Petrol (kg) - Primary Scenario],IF(Delay_emissions_table[Form of Maintenance - Primary Scenario]="Replacement",1,0))*INDEX(Indicators,MATCH('Additional Impact Indicators'!$A54,Materials!$D:$D,0),MATCH("petrol combustion",Materials!$1:$1,0))+IFERROR(SUMPRODUCT(TRANSPOSE(INDEX(elec_project_emissions,MATCH(Elec_scenario&amp;'Additional Impact Indicators'!$B54,INDEX(Electricity_projection,0,3),0)-1,0)),Delay_emissions_table[Consumption of electricity (MJ) - Primary Scenario],IF(Delay_emissions_table[Form of Maintenance - Primary Scenario]="Replacement",1,0)),0))*Area_trans*Time_adj_Prim</f>
        <v>0</v>
      </c>
      <c r="AO54" s="248" t="e" cm="1">
        <f t="array" ref="AO5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4" s="248" t="e" cm="1">
        <f t="array" ref="AP5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4" s="249" t="e" cm="1">
        <f t="array" ref="AQ5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4" s="386" t="e" cm="1">
        <f t="array" ref="AR5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4" t="e">
        <f ca="1">SUMIF('Additional Impact Indicators'!$G54:$AQ54,"&lt;&gt;#N/A")</f>
        <v>#DIV/0!</v>
      </c>
      <c r="AW54" t="s">
        <v>548</v>
      </c>
      <c r="AX54" t="s">
        <v>518</v>
      </c>
      <c r="AY54" t="str">
        <f t="shared" si="2"/>
        <v>A2</v>
      </c>
      <c r="AZ54" t="s">
        <v>485</v>
      </c>
      <c r="BB54">
        <f>MATCH(Table3[[#This Row],[Indicator]],Material_Impacts[Look up],0)</f>
        <v>98</v>
      </c>
      <c r="BC54" s="246" cm="1">
        <f t="array" aca="1" ref="BC5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4" s="166" cm="1">
        <f t="array" ref="BD5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4" s="166" t="e">
        <f>Diesel_RawM_Sec*INDEX(Indicators,MATCH(Impacts_Additional[[#This Row],[Indicator]],Materials!$D:$D,0),MATCH("Diesel Combustion",Materials!$1:$1,0))*Diesel_density*Project_Area*Sec_Lays*Area_trans</f>
        <v>#DIV/0!</v>
      </c>
      <c r="BF54" s="35" t="e" cm="1">
        <f t="array" aca="1" ref="BF5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4" s="35" t="e" cm="1">
        <f t="array" aca="1" ref="BG5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4" t="e" cm="1">
        <f t="array" aca="1" ref="BH5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4" s="35" t="e" cm="1">
        <f t="array" aca="1" ref="BI5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4" s="35" t="e" cm="1">
        <f t="array" aca="1" ref="BJ5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4" t="e" cm="1">
        <f t="array" aca="1" ref="BK5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4" s="35" t="e" cm="1">
        <f t="array" aca="1" ref="BL5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4" s="35" t="e" cm="1">
        <f t="array" aca="1" ref="BM5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4" t="e" cm="1">
        <f t="array" aca="1" ref="BN5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4" s="35" t="e" cm="1">
        <f t="array" aca="1" ref="BO5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4" s="35" t="e" cm="1">
        <f t="array" aca="1" ref="BP5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4" t="e" cm="1">
        <f t="array" aca="1" ref="BQ5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4" s="35" t="e" cm="1">
        <f t="array" aca="1" ref="BR5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4" s="35" t="e" cm="1">
        <f t="array" aca="1" ref="BS5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4" t="e" cm="1">
        <f t="array" aca="1" ref="BT5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4" s="35" t="e" cm="1">
        <f t="array" aca="1" ref="BU5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4" s="35" t="e" cm="1">
        <f t="array" aca="1" ref="BV5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4" t="e" cm="1">
        <f t="array" aca="1" ref="BW5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4" s="35" t="e" cm="1">
        <f t="array" aca="1" ref="BX5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4" s="35" t="e" cm="1">
        <f t="array" aca="1" ref="BY5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4" t="e" cm="1">
        <f t="array" aca="1" ref="BZ5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4" s="35" t="e" cm="1">
        <f t="array" aca="1" ref="CA5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4" s="35" t="e" cm="1">
        <f t="array" aca="1" ref="CB5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4" t="e" cm="1">
        <f t="array" aca="1" ref="CC5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4" s="35" t="e" cm="1">
        <f t="array" aca="1" ref="CD5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4" s="35" t="e" cm="1">
        <f t="array" aca="1" ref="CE5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4" t="e" cm="1">
        <f t="array" aca="1" ref="CF5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4" s="166"/>
      <c r="CH54" s="375" cm="1">
        <f t="array" aca="1" ref="CH5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4" s="247" cm="1">
        <f t="array" aca="1" ref="CI54" ca="1">(SUMPRODUCT(Delay_emissions_table[Consumption of Diesel (kg) - Secondary Scenario],IF(Delay_emissions_table[Form of Maintenance - Secondary Scenario]="Life Extension",1,0))*INDEX(Indicators,MATCH('Additional Impact Indicators'!$A54,Materials!$D:$D,0),MATCH("diesel combustion",Materials!$1:$1,0))+SUMPRODUCT(Delay_emissions_table[Consumption of Petrol (kg) - Secondary Scenario],IF(Delay_emissions_table[Form of Maintenance - Secondary Scenario]="Life Extension",1,0))*INDEX(Indicators,MATCH('Additional Impact Indicators'!$A54,Materials!$D:$D,0),MATCH("petrol combustion",Materials!$1:$1,0))+IFERROR(SUMPRODUCT(TRANSPOSE(INDEX(elec_project_emissions,MATCH(Elec_scenario&amp;'Additional Impact Indicators'!$B54,INDEX(Electricity_projection,0,3),0)-1,0)),Delay_emissions_table[Consumption of electricity (MJ) - Secondary Scenario],IF(Delay_emissions_table[Form of Maintenance - Secondary Scenario]="Life Extension",1,0)),0))*Area_trans*time_adj_Sec</f>
        <v>0</v>
      </c>
      <c r="CJ54" s="247" cm="1">
        <f t="array" aca="1" ref="CJ54" ca="1">(SUMPRODUCT(Delay_emissions_table[Consumption of Diesel (kg) - Secondary Scenario],IF(Delay_emissions_table[Form of Maintenance - Secondary Scenario]="Replacement",1,0))*INDEX(Indicators,MATCH('Additional Impact Indicators'!$A54,Materials!$D:$D,0),MATCH("diesel combustion",Materials!$1:$1,0))+SUMPRODUCT(Delay_emissions_table[Consumption of Petrol (kg) - Secondary Scenario],IF(Delay_emissions_table[Form of Maintenance - Secondary Scenario]="Replacement",1,0))*INDEX(Indicators,MATCH('Additional Impact Indicators'!$A54,Materials!$D:$D,0),MATCH("petrol combustion",Materials!$1:$1,0))+IFERROR(SUMPRODUCT(TRANSPOSE(INDEX(elec_project_emissions,MATCH(Elec_scenario&amp;'Additional Impact Indicators'!$B54,INDEX(Electricity_projection,0,3),0)-1,0)),Delay_emissions_table[Consumption of electricity (MJ) - Secondary Scenario],IF(Delay_emissions_table[Form of Maintenance - Secondary Scenario]="Replacement",1,0)),0))*Area_trans*time_adj_Sec</f>
        <v>0</v>
      </c>
      <c r="CK54" s="248" t="e" cm="1">
        <f t="array" ref="CK5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4" s="248" t="e" cm="1">
        <f t="array" ref="CL5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4" s="249" t="e" cm="1">
        <f t="array" ref="CM5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4" s="387" t="e" cm="1">
        <f t="array" ref="CN5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4" s="51" t="e">
        <f ca="1">SUMIF(Table3[[#This Row],[Raw-Materials]:[Transport to recycling facility]],"&lt;&gt;#N/A")</f>
        <v>#DIV/0!</v>
      </c>
      <c r="CT54" t="s">
        <v>548</v>
      </c>
      <c r="CU54" t="s">
        <v>518</v>
      </c>
      <c r="CV54" t="str">
        <f t="shared" si="3"/>
        <v>A2</v>
      </c>
      <c r="CW54" t="s">
        <v>485</v>
      </c>
      <c r="CY54">
        <f>MATCH(Table611[[#This Row],[Indicator]],Material_Impacts[Look up],0)</f>
        <v>98</v>
      </c>
      <c r="CZ54" s="246" cm="1">
        <f t="array" aca="1" ref="CZ5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4" s="166" cm="1">
        <f t="array" ref="DA5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4" s="166" t="e">
        <f>Diesel_RawM_Tert*INDEX(Indicators,MATCH(Impacts_Additional[[#This Row],[Indicator]],Materials!$D:$D,0),MATCH("Diesel Combustion",Materials!$1:$1,0))*Diesel_density*Project_Area*Tert_Lays*Area_trans</f>
        <v>#DIV/0!</v>
      </c>
      <c r="DC54" s="35" t="e" cm="1">
        <f t="array" aca="1" ref="DC5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4" s="35" t="e" cm="1">
        <f t="array" aca="1" ref="DD5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4" t="e" cm="1">
        <f t="array" aca="1" ref="DE5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4" s="35" t="e" cm="1">
        <f t="array" aca="1" ref="DF5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4" s="35" t="e" cm="1">
        <f t="array" aca="1" ref="DG5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4" t="e" cm="1">
        <f t="array" aca="1" ref="DH5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4" s="35" t="e" cm="1">
        <f t="array" aca="1" ref="DI5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4" s="35" t="e" cm="1">
        <f t="array" aca="1" ref="DJ5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4" t="e" cm="1">
        <f t="array" aca="1" ref="DK5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4" s="35" t="e" cm="1">
        <f t="array" aca="1" ref="DL5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4" s="35" t="e" cm="1">
        <f t="array" aca="1" ref="DM5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4" t="e" cm="1">
        <f t="array" aca="1" ref="DN5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4" s="35" t="e" cm="1">
        <f t="array" aca="1" ref="DO5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4" s="35" t="e" cm="1">
        <f t="array" aca="1" ref="DP5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4" t="e" cm="1">
        <f t="array" aca="1" ref="DQ5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4" s="35" t="e" cm="1">
        <f t="array" aca="1" ref="DR5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4" s="35" t="e" cm="1">
        <f t="array" aca="1" ref="DS5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4" t="e" cm="1">
        <f t="array" aca="1" ref="DT5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4" s="35" t="e" cm="1">
        <f t="array" aca="1" ref="DU5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4" s="35" t="e" cm="1">
        <f t="array" aca="1" ref="DV5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4" t="e" cm="1">
        <f t="array" aca="1" ref="DW5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4" s="35" t="e" cm="1">
        <f t="array" aca="1" ref="DX5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4" s="35" t="e" cm="1">
        <f t="array" aca="1" ref="DY5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4" t="e" cm="1">
        <f t="array" aca="1" ref="DZ5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4" s="35" t="e" cm="1">
        <f t="array" aca="1" ref="EA5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4" s="35" t="e" cm="1">
        <f t="array" aca="1" ref="EB5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4" t="e" cm="1">
        <f t="array" aca="1" ref="EC5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4" s="166"/>
      <c r="EE54" s="375" cm="1">
        <f t="array" aca="1" ref="EE5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4" s="247" cm="1">
        <f t="array" aca="1" ref="EF54" ca="1">(SUMPRODUCT(Delay_emissions_table[Consumption of Diesel (kg) - Tertiary Scenario],IF(Delay_emissions_table[Form of Maintenance - Tertiary Scenario]="Life Extension",1,0))*INDEX(Indicators,MATCH('Additional Impact Indicators'!$A54,Materials!$D:$D,0),MATCH("diesel combustion",Materials!$1:$1,0))+SUMPRODUCT(Delay_emissions_table[Consumption of Petrol (kg) - Tertiary Scenario],IF(Delay_emissions_table[Form of Maintenance - Tertiary Scenario]="Life Extension",1,0))*INDEX(Indicators,MATCH('Additional Impact Indicators'!$A54,Materials!$D:$D,0),MATCH("petrol combustion",Materials!$1:$1,0))+IFERROR(SUMPRODUCT(TRANSPOSE(INDEX(elec_project_emissions,MATCH(Elec_scenario&amp;'Additional Impact Indicators'!$B54,INDEX(Electricity_projection,0,3),0)-1,0)),Delay_emissions_table[Consumption of electricity (MJ) - Tertiary Scenario],IF(Delay_emissions_table[Form of Maintenance - Tertiary Scenario]="Life Extension",1,0)),0))*Area_trans*Time_adj_Tert</f>
        <v>0</v>
      </c>
      <c r="EG54" s="247" cm="1">
        <f t="array" aca="1" ref="EG54" ca="1">(SUMPRODUCT(Delay_emissions_table[Consumption of Diesel (kg) - Tertiary Scenario],IF(Delay_emissions_table[Form of Maintenance - Tertiary Scenario]="Replacement",1,0))*INDEX(Indicators,MATCH('Additional Impact Indicators'!$A54,Materials!$D:$D,0),MATCH("diesel combustion",Materials!$1:$1,0))+SUMPRODUCT(Delay_emissions_table[Consumption of Petrol (kg) - Tertiary Scenario],IF(Delay_emissions_table[Form of Maintenance - Tertiary Scenario]="Replacement",1,0))*INDEX(Indicators,MATCH('Additional Impact Indicators'!$A54,Materials!$D:$D,0),MATCH("petrol combustion",Materials!$1:$1,0))+IFERROR(SUMPRODUCT(TRANSPOSE(INDEX(elec_project_emissions,MATCH(Elec_scenario&amp;'Additional Impact Indicators'!$B54,INDEX(Electricity_projection,0,3),0)-1,0)),Delay_emissions_table[Consumption of electricity (MJ) - Tertiary Scenario],IF(Delay_emissions_table[Form of Maintenance - Tertiary Scenario]="Replacement",1,0)),0))*Area_trans*Time_adj_Tert</f>
        <v>0</v>
      </c>
      <c r="EH54" s="248" t="e" cm="1">
        <f t="array" ref="EH5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4" s="248" t="e" cm="1">
        <f t="array" ref="EI5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4" s="249" t="e" cm="1">
        <f t="array" ref="EJ5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4" s="249" t="e" cm="1">
        <f t="array" ref="EK5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4" t="e">
        <f ca="1">SUMIF(Table611[[#This Row],[Raw-Materials]:[Transport to recycling facility]],"&lt;&gt;#N/A")</f>
        <v>#DIV/0!</v>
      </c>
    </row>
    <row r="55" spans="1:142" x14ac:dyDescent="0.35">
      <c r="A55" s="155" t="s">
        <v>549</v>
      </c>
      <c r="B55" s="155" t="s">
        <v>416</v>
      </c>
      <c r="C55" s="155" t="str">
        <f t="shared" si="1"/>
        <v>A2</v>
      </c>
      <c r="D55" s="155" t="s">
        <v>485</v>
      </c>
      <c r="E55" s="155"/>
      <c r="F55">
        <f>MATCH(Impacts_Additional[[#This Row],[Indicator]],Material_Impacts[Look up],0)</f>
        <v>99</v>
      </c>
      <c r="G55" s="246" cm="1">
        <f t="array" aca="1" ref="G5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5" s="165" cm="1">
        <f t="array" ref="H5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5" s="165" t="e">
        <f>Diesel_RawM_Prim*INDEX(Indicators,MATCH(Impacts_Additional[[#This Row],[Indicator]],Materials!$D:$D,0),MATCH("Diesel Combustion",Materials!$1:$1,0))*Diesel_density*Project_Area*Prim_Lays*Area_trans</f>
        <v>#DIV/0!</v>
      </c>
      <c r="J55" s="250" t="e" cm="1">
        <f t="array" aca="1" ref="J5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5" s="250" t="e" cm="1">
        <f t="array" aca="1" ref="K5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5" s="250" t="e" cm="1">
        <f t="array" aca="1" ref="L5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5" s="250" t="e" cm="1">
        <f t="array" aca="1" ref="M5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5" s="250" t="e" cm="1">
        <f t="array" aca="1" ref="N5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5" s="250" t="e" cm="1">
        <f t="array" aca="1" ref="O5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5" s="250" t="e" cm="1">
        <f t="array" aca="1" ref="P5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5" s="250" t="e" cm="1">
        <f t="array" aca="1" ref="Q5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5" s="250" t="e" cm="1">
        <f t="array" aca="1" ref="R5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5" s="250" t="e" cm="1">
        <f t="array" aca="1" ref="S5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5" s="250" t="e" cm="1">
        <f t="array" aca="1" ref="T5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5" s="250" t="e" cm="1">
        <f t="array" aca="1" ref="U5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5" s="250" t="e" cm="1">
        <f t="array" aca="1" ref="V5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5" s="250" t="e" cm="1">
        <f t="array" aca="1" ref="W5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5" s="250" t="e" cm="1">
        <f t="array" aca="1" ref="X5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5" s="250" t="e" cm="1">
        <f t="array" aca="1" ref="Y5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5" s="250" t="e" cm="1">
        <f t="array" aca="1" ref="Z5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5" s="250" t="e" cm="1">
        <f t="array" aca="1" ref="AA5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5" s="250" t="e" cm="1">
        <f t="array" aca="1" ref="AB5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5" s="250" t="e" cm="1">
        <f t="array" aca="1" ref="AC5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5" s="250" t="e" cm="1">
        <f t="array" aca="1" ref="AD5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5" s="250" t="e" cm="1">
        <f t="array" aca="1" ref="AE5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5" s="250" t="e" cm="1">
        <f t="array" aca="1" ref="AF5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5" s="250" t="e" cm="1">
        <f t="array" aca="1" ref="AG5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5" s="250" t="e" cm="1">
        <f t="array" aca="1" ref="AH5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5" s="250" t="e" cm="1">
        <f t="array" aca="1" ref="AI5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5" s="250" t="e" cm="1">
        <f t="array" aca="1" ref="AJ5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5" s="165" cm="1">
        <f t="array" aca="1" ref="AK55" ca="1">((E_modulus_Prim/40114)^-0.25)*((Subgrade_stiffness_Prim/35)^-0.25)*((Surface_thickness_Prim/0.22)^-0.75)*Area_trans*delflec_switch*SUM((INDEX(PVI_vehicle_EFC,1,1)/INDEX(PVI_fuel_energy_density,1,1))*(INDEX(Indicators,MATCH('Additional Impact Indicators'!$A55,Materials!$D:$D,0),MATCH("diesel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Indicators'!$A55,Materials!$D:$D,0),MATCH("petrol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Indicators'!$A55,Materials!$D:$D,0),MATCH("diesel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Indicators'!$A55,Materials!$D:$D,0),MATCH("petrol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Indicators'!$A55,Materials!$D:$D,0),MATCH("bio-diesel combustion",Materials!$1:$1,0))*((1-enviro_disc)^Handle_years)*Handle_electricity_emissions:OFFSET(Handle_electricity_emissions,0,Results_timespan-1)^0)*OFFSET(Handle_traffic_fleet,6,0):OFFSET(Handle_traffic_fleet,6,Results_timespan-1))</f>
        <v>0</v>
      </c>
      <c r="AL55" s="165" cm="1">
        <f t="array" aca="1" ref="AL5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5" s="251" cm="1">
        <f t="array" aca="1" ref="AM55" ca="1">(SUMPRODUCT(Delay_emissions_table[Consumption of Diesel (kg) - Primary Scenario],IF(Delay_emissions_table[Form of Maintenance - Primary Scenario]="Life Extension",1,0))*INDEX(Indicators,MATCH('Additional Impact Indicators'!$A55,Materials!$D:$D,0),MATCH("diesel combustion",Materials!$1:$1,0))+SUMPRODUCT(Delay_emissions_table[Consumption of Petrol (kg) - Primary Scenario],IF(Delay_emissions_table[Form of Maintenance - Primary Scenario]="Life Extension",1,0))*INDEX(Indicators,MATCH('Additional Impact Indicators'!$A55,Materials!$D:$D,0),MATCH("petrol combustion",Materials!$1:$1,0))+IFERROR(SUMPRODUCT(TRANSPOSE(INDEX(elec_project_emissions,MATCH(Elec_scenario&amp;'Additional Impact Indicators'!$B55,INDEX(Electricity_projection,0,3),0)-1,0)),Delay_emissions_table[Consumption of electricity (MJ) - Primary Scenario],IF(Delay_emissions_table[Form of Maintenance - Primary Scenario]="Life Extension",1,0)),0))*Area_trans*Time_adj_Prim</f>
        <v>0</v>
      </c>
      <c r="AN55" s="251" cm="1">
        <f t="array" aca="1" ref="AN55" ca="1">(SUMPRODUCT(Delay_emissions_table[Consumption of Diesel (kg) - Primary Scenario],IF(Delay_emissions_table[Form of Maintenance - Primary Scenario]="Replacement",1,0))*INDEX(Indicators,MATCH('Additional Impact Indicators'!$A55,Materials!$D:$D,0),MATCH("diesel combustion",Materials!$1:$1,0))+SUMPRODUCT(Delay_emissions_table[Consumption of Petrol (kg) - Primary Scenario],IF(Delay_emissions_table[Form of Maintenance - Primary Scenario]="Replacement",1,0))*INDEX(Indicators,MATCH('Additional Impact Indicators'!$A55,Materials!$D:$D,0),MATCH("petrol combustion",Materials!$1:$1,0))+IFERROR(SUMPRODUCT(TRANSPOSE(INDEX(elec_project_emissions,MATCH(Elec_scenario&amp;'Additional Impact Indicators'!$B55,INDEX(Electricity_projection,0,3),0)-1,0)),Delay_emissions_table[Consumption of electricity (MJ) - Primary Scenario],IF(Delay_emissions_table[Form of Maintenance - Primary Scenario]="Replacement",1,0)),0))*Area_trans*Time_adj_Prim</f>
        <v>0</v>
      </c>
      <c r="AO55" s="252" t="e" cm="1">
        <f t="array" ref="AO5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5" s="252" t="e" cm="1">
        <f t="array" ref="AP5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5" s="253" t="e" cm="1">
        <f t="array" ref="AQ5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5" s="385" t="e" cm="1">
        <f t="array" ref="AR5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5" t="e">
        <f ca="1">SUMIF('Additional Impact Indicators'!$G55:$AQ55,"&lt;&gt;#N/A")</f>
        <v>#DIV/0!</v>
      </c>
      <c r="AW55" s="155" t="s">
        <v>549</v>
      </c>
      <c r="AX55" s="155" t="s">
        <v>416</v>
      </c>
      <c r="AY55" s="155" t="str">
        <f t="shared" si="2"/>
        <v>A2</v>
      </c>
      <c r="AZ55" s="155" t="s">
        <v>485</v>
      </c>
      <c r="BA55" s="155"/>
      <c r="BB55" s="155">
        <f>MATCH(Table3[[#This Row],[Indicator]],Material_Impacts[Look up],0)</f>
        <v>99</v>
      </c>
      <c r="BC55" s="246" cm="1">
        <f t="array" aca="1" ref="BC5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5" s="165" cm="1">
        <f t="array" ref="BD5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5" s="165" t="e">
        <f>Diesel_RawM_Sec*INDEX(Indicators,MATCH(Impacts_Additional[[#This Row],[Indicator]],Materials!$D:$D,0),MATCH("Diesel Combustion",Materials!$1:$1,0))*Diesel_density*Project_Area*Sec_Lays*Area_trans</f>
        <v>#DIV/0!</v>
      </c>
      <c r="BF55" s="35" t="e" cm="1">
        <f t="array" aca="1" ref="BF5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5" s="35" t="e" cm="1">
        <f t="array" aca="1" ref="BG5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5" t="e" cm="1">
        <f t="array" aca="1" ref="BH5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5" s="35" t="e" cm="1">
        <f t="array" aca="1" ref="BI5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5" s="35" t="e" cm="1">
        <f t="array" aca="1" ref="BJ5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5" t="e" cm="1">
        <f t="array" aca="1" ref="BK5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5" s="35" t="e" cm="1">
        <f t="array" aca="1" ref="BL5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5" s="35" t="e" cm="1">
        <f t="array" aca="1" ref="BM5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5" t="e" cm="1">
        <f t="array" aca="1" ref="BN5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5" s="35" t="e" cm="1">
        <f t="array" aca="1" ref="BO5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5" s="35" t="e" cm="1">
        <f t="array" aca="1" ref="BP5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5" t="e" cm="1">
        <f t="array" aca="1" ref="BQ5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5" s="35" t="e" cm="1">
        <f t="array" aca="1" ref="BR5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5" s="35" t="e" cm="1">
        <f t="array" aca="1" ref="BS5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5" t="e" cm="1">
        <f t="array" aca="1" ref="BT5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5" s="35" t="e" cm="1">
        <f t="array" aca="1" ref="BU5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5" s="35" t="e" cm="1">
        <f t="array" aca="1" ref="BV5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5" t="e" cm="1">
        <f t="array" aca="1" ref="BW5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5" s="35" t="e" cm="1">
        <f t="array" aca="1" ref="BX5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5" s="35" t="e" cm="1">
        <f t="array" aca="1" ref="BY5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5" t="e" cm="1">
        <f t="array" aca="1" ref="BZ5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5" s="35" t="e" cm="1">
        <f t="array" aca="1" ref="CA5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5" s="35" t="e" cm="1">
        <f t="array" aca="1" ref="CB5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5" t="e" cm="1">
        <f t="array" aca="1" ref="CC5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5" s="35" t="e" cm="1">
        <f t="array" aca="1" ref="CD5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5" s="35" t="e" cm="1">
        <f t="array" aca="1" ref="CE5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5" t="e" cm="1">
        <f t="array" aca="1" ref="CF5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5" s="165" cm="1">
        <f t="array" aca="1" ref="CG55" ca="1">((E_modulus_Sec/40114)^-0.25)*((Subgrade_stiffness_Sec/35)^-0.25)*((Surface_thickness_Sec/0.22)^-0.75)*Area_trans*delflec_switch*SUM((INDEX(PVI_vehicle_EFC,1,1)/INDEX(PVI_fuel_energy_density,1,1))*(INDEX(Indicators,MATCH('Additional Impact Indicators'!$A55,Materials!$D:$D,0),MATCH("diesel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Indicators'!$A55,Materials!$D:$D,0),MATCH("petrol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Indicators'!$A55,Materials!$D:$D,0),MATCH("diesel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Indicators'!$A55,Materials!$D:$D,0),MATCH("petrol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Indicators'!$A55,Materials!$D:$D,0),MATCH("bio-diesel combustion",Materials!$1:$1,0))*((1-enviro_disc)^Handle_years)*Handle_electricity_emissions:OFFSET(Handle_electricity_emissions,0,Results_timespan-1)^0)*OFFSET(Handle_traffic_fleet,6,0):OFFSET(Handle_traffic_fleet,6,Results_timespan-1))</f>
        <v>0</v>
      </c>
      <c r="CH55" s="375" cm="1">
        <f t="array" aca="1" ref="CH5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5" s="251" cm="1">
        <f t="array" aca="1" ref="CI55" ca="1">(SUMPRODUCT(Delay_emissions_table[Consumption of Diesel (kg) - Secondary Scenario],IF(Delay_emissions_table[Form of Maintenance - Secondary Scenario]="Life Extension",1,0))*INDEX(Indicators,MATCH('Additional Impact Indicators'!$A55,Materials!$D:$D,0),MATCH("diesel combustion",Materials!$1:$1,0))+SUMPRODUCT(Delay_emissions_table[Consumption of Petrol (kg) - Secondary Scenario],IF(Delay_emissions_table[Form of Maintenance - Secondary Scenario]="Life Extension",1,0))*INDEX(Indicators,MATCH('Additional Impact Indicators'!$A55,Materials!$D:$D,0),MATCH("petrol combustion",Materials!$1:$1,0))+IFERROR(SUMPRODUCT(TRANSPOSE(INDEX(elec_project_emissions,MATCH(Elec_scenario&amp;'Additional Impact Indicators'!$B55,INDEX(Electricity_projection,0,3),0)-1,0)),Delay_emissions_table[Consumption of electricity (MJ) - Secondary Scenario],IF(Delay_emissions_table[Form of Maintenance - Secondary Scenario]="Life Extension",1,0)),0))*Area_trans*time_adj_Sec</f>
        <v>0</v>
      </c>
      <c r="CJ55" s="251" cm="1">
        <f t="array" aca="1" ref="CJ55" ca="1">(SUMPRODUCT(Delay_emissions_table[Consumption of Diesel (kg) - Secondary Scenario],IF(Delay_emissions_table[Form of Maintenance - Secondary Scenario]="Replacement",1,0))*INDEX(Indicators,MATCH('Additional Impact Indicators'!$A55,Materials!$D:$D,0),MATCH("diesel combustion",Materials!$1:$1,0))+SUMPRODUCT(Delay_emissions_table[Consumption of Petrol (kg) - Secondary Scenario],IF(Delay_emissions_table[Form of Maintenance - Secondary Scenario]="Replacement",1,0))*INDEX(Indicators,MATCH('Additional Impact Indicators'!$A55,Materials!$D:$D,0),MATCH("petrol combustion",Materials!$1:$1,0))+IFERROR(SUMPRODUCT(TRANSPOSE(INDEX(elec_project_emissions,MATCH(Elec_scenario&amp;'Additional Impact Indicators'!$B55,INDEX(Electricity_projection,0,3),0)-1,0)),Delay_emissions_table[Consumption of electricity (MJ) - Secondary Scenario],IF(Delay_emissions_table[Form of Maintenance - Secondary Scenario]="Replacement",1,0)),0))*Area_trans*time_adj_Sec</f>
        <v>0</v>
      </c>
      <c r="CK55" s="252" t="e" cm="1">
        <f t="array" ref="CK5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5" s="252" t="e" cm="1">
        <f t="array" ref="CL5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5" s="253" t="e" cm="1">
        <f t="array" ref="CM5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5" s="387" t="e" cm="1">
        <f t="array" ref="CN5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5" s="51" t="e">
        <f ca="1">SUMIF(Table3[[#This Row],[Raw-Materials]:[Transport to recycling facility]],"&lt;&gt;#N/A")</f>
        <v>#DIV/0!</v>
      </c>
      <c r="CT55" t="s">
        <v>549</v>
      </c>
      <c r="CU55" t="s">
        <v>416</v>
      </c>
      <c r="CV55" t="str">
        <f t="shared" si="3"/>
        <v>A2</v>
      </c>
      <c r="CW55" t="s">
        <v>485</v>
      </c>
      <c r="CY55">
        <f>MATCH(Table611[[#This Row],[Indicator]],Material_Impacts[Look up],0)</f>
        <v>99</v>
      </c>
      <c r="CZ55" s="246" cm="1">
        <f t="array" aca="1" ref="CZ5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5" s="165" cm="1">
        <f t="array" ref="DA5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5" s="165" t="e">
        <f>Diesel_RawM_Tert*INDEX(Indicators,MATCH(Impacts_Additional[[#This Row],[Indicator]],Materials!$D:$D,0),MATCH("Diesel Combustion",Materials!$1:$1,0))*Diesel_density*Project_Area*Tert_Lays*Area_trans</f>
        <v>#DIV/0!</v>
      </c>
      <c r="DC55" s="35" t="e" cm="1">
        <f t="array" aca="1" ref="DC5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5" s="35" t="e" cm="1">
        <f t="array" aca="1" ref="DD5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5" t="e" cm="1">
        <f t="array" aca="1" ref="DE5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5" s="35" t="e" cm="1">
        <f t="array" aca="1" ref="DF5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5" s="35" t="e" cm="1">
        <f t="array" aca="1" ref="DG5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5" t="e" cm="1">
        <f t="array" aca="1" ref="DH5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5" s="35" t="e" cm="1">
        <f t="array" aca="1" ref="DI5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5" s="35" t="e" cm="1">
        <f t="array" aca="1" ref="DJ5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5" t="e" cm="1">
        <f t="array" aca="1" ref="DK5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5" s="35" t="e" cm="1">
        <f t="array" aca="1" ref="DL5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5" s="35" t="e" cm="1">
        <f t="array" aca="1" ref="DM5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5" t="e" cm="1">
        <f t="array" aca="1" ref="DN5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5" s="35" t="e" cm="1">
        <f t="array" aca="1" ref="DO5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5" s="35" t="e" cm="1">
        <f t="array" aca="1" ref="DP5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5" t="e" cm="1">
        <f t="array" aca="1" ref="DQ5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5" s="35" t="e" cm="1">
        <f t="array" aca="1" ref="DR5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5" s="35" t="e" cm="1">
        <f t="array" aca="1" ref="DS5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5" t="e" cm="1">
        <f t="array" aca="1" ref="DT5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5" s="35" t="e" cm="1">
        <f t="array" aca="1" ref="DU5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5" s="35" t="e" cm="1">
        <f t="array" aca="1" ref="DV5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5" t="e" cm="1">
        <f t="array" aca="1" ref="DW5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5" s="35" t="e" cm="1">
        <f t="array" aca="1" ref="DX5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5" s="35" t="e" cm="1">
        <f t="array" aca="1" ref="DY5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5" t="e" cm="1">
        <f t="array" aca="1" ref="DZ5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5" s="35" t="e" cm="1">
        <f t="array" aca="1" ref="EA5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5" s="35" t="e" cm="1">
        <f t="array" aca="1" ref="EB5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5" t="e" cm="1">
        <f t="array" aca="1" ref="EC5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5" s="165" cm="1">
        <f t="array" aca="1" ref="ED55" ca="1">((E_modulus_Tert/40114)^-0.25)*((Subgrade_stiffness_Tert/35)^-0.25)*((Surface_thickness_Tert/0.22)^-0.75)*Area_trans*delflec_switch*SUM((INDEX(PVI_vehicle_EFC,1,1)/INDEX(PVI_fuel_energy_density,1,1))*(INDEX(Indicators,MATCH('Additional Impact Indicators'!$A55,Materials!$D:$D,0),MATCH("diesel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Indicators'!$A55,Materials!$D:$D,0),MATCH("petrol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Indicators'!$A55,Materials!$D:$D,0),MATCH("diesel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Indicators'!$A55,Materials!$D:$D,0),MATCH("petrol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Indicators'!$A55,Materials!$D:$D,0),MATCH("bio-diesel combustion",Materials!$1:$1,0))*((1-enviro_disc)^Handle_years)*Handle_electricity_emissions:OFFSET(Handle_electricity_emissions,0,Results_timespan-1)^0)*OFFSET(Handle_traffic_fleet,6,0):OFFSET(Handle_traffic_fleet,6,Results_timespan-1))</f>
        <v>0</v>
      </c>
      <c r="EE55" s="375" cm="1">
        <f t="array" aca="1" ref="EE5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5" s="251" cm="1">
        <f t="array" aca="1" ref="EF55" ca="1">(SUMPRODUCT(Delay_emissions_table[Consumption of Diesel (kg) - Tertiary Scenario],IF(Delay_emissions_table[Form of Maintenance - Tertiary Scenario]="Life Extension",1,0))*INDEX(Indicators,MATCH('Additional Impact Indicators'!$A55,Materials!$D:$D,0),MATCH("diesel combustion",Materials!$1:$1,0))+SUMPRODUCT(Delay_emissions_table[Consumption of Petrol (kg) - Tertiary Scenario],IF(Delay_emissions_table[Form of Maintenance - Tertiary Scenario]="Life Extension",1,0))*INDEX(Indicators,MATCH('Additional Impact Indicators'!$A55,Materials!$D:$D,0),MATCH("petrol combustion",Materials!$1:$1,0))+IFERROR(SUMPRODUCT(TRANSPOSE(INDEX(elec_project_emissions,MATCH(Elec_scenario&amp;'Additional Impact Indicators'!$B55,INDEX(Electricity_projection,0,3),0)-1,0)),Delay_emissions_table[Consumption of electricity (MJ) - Tertiary Scenario],IF(Delay_emissions_table[Form of Maintenance - Tertiary Scenario]="Life Extension",1,0)),0))*Area_trans*Time_adj_Tert</f>
        <v>0</v>
      </c>
      <c r="EG55" s="251" cm="1">
        <f t="array" aca="1" ref="EG55" ca="1">(SUMPRODUCT(Delay_emissions_table[Consumption of Diesel (kg) - Tertiary Scenario],IF(Delay_emissions_table[Form of Maintenance - Tertiary Scenario]="Replacement",1,0))*INDEX(Indicators,MATCH('Additional Impact Indicators'!$A55,Materials!$D:$D,0),MATCH("diesel combustion",Materials!$1:$1,0))+SUMPRODUCT(Delay_emissions_table[Consumption of Petrol (kg) - Tertiary Scenario],IF(Delay_emissions_table[Form of Maintenance - Tertiary Scenario]="Replacement",1,0))*INDEX(Indicators,MATCH('Additional Impact Indicators'!$A55,Materials!$D:$D,0),MATCH("petrol combustion",Materials!$1:$1,0))+IFERROR(SUMPRODUCT(TRANSPOSE(INDEX(elec_project_emissions,MATCH(Elec_scenario&amp;'Additional Impact Indicators'!$B55,INDEX(Electricity_projection,0,3),0)-1,0)),Delay_emissions_table[Consumption of electricity (MJ) - Tertiary Scenario],IF(Delay_emissions_table[Form of Maintenance - Tertiary Scenario]="Replacement",1,0)),0))*Area_trans*Time_adj_Tert</f>
        <v>0</v>
      </c>
      <c r="EH55" s="252" t="e" cm="1">
        <f t="array" ref="EH5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5" s="252" t="e" cm="1">
        <f t="array" ref="EI5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5" s="253" t="e" cm="1">
        <f t="array" ref="EJ5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5" s="253" t="e" cm="1">
        <f t="array" ref="EK5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5" t="e">
        <f ca="1">SUMIF(Table611[[#This Row],[Raw-Materials]:[Transport to recycling facility]],"&lt;&gt;#N/A")</f>
        <v>#DIV/0!</v>
      </c>
    </row>
    <row r="56" spans="1:142" x14ac:dyDescent="0.35">
      <c r="A56" t="s">
        <v>550</v>
      </c>
      <c r="B56" t="s">
        <v>419</v>
      </c>
      <c r="C56" t="str">
        <f t="shared" si="1"/>
        <v>A2</v>
      </c>
      <c r="D56" t="s">
        <v>485</v>
      </c>
      <c r="F56">
        <f>MATCH(Impacts_Additional[[#This Row],[Indicator]],Material_Impacts[Look up],0)</f>
        <v>100</v>
      </c>
      <c r="G56" s="246" cm="1">
        <f t="array" aca="1" ref="G5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6" s="166" cm="1">
        <f t="array" ref="H5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6" s="166" t="e">
        <f>Diesel_RawM_Prim*INDEX(Indicators,MATCH(Impacts_Additional[[#This Row],[Indicator]],Materials!$D:$D,0),MATCH("Diesel Combustion",Materials!$1:$1,0))*Diesel_density*Project_Area*Prim_Lays*Area_trans</f>
        <v>#DIV/0!</v>
      </c>
      <c r="J56" s="20" t="e" cm="1">
        <f t="array" aca="1" ref="J5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6" s="20" t="e" cm="1">
        <f t="array" aca="1" ref="K5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6" s="20" t="e" cm="1">
        <f t="array" aca="1" ref="L5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6" s="20" t="e" cm="1">
        <f t="array" aca="1" ref="M5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6" s="20" t="e" cm="1">
        <f t="array" aca="1" ref="N5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6" s="20" t="e" cm="1">
        <f t="array" aca="1" ref="O5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6" s="20" t="e" cm="1">
        <f t="array" aca="1" ref="P5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6" s="20" t="e" cm="1">
        <f t="array" aca="1" ref="Q5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6" s="20" t="e" cm="1">
        <f t="array" aca="1" ref="R5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6" s="20" t="e" cm="1">
        <f t="array" aca="1" ref="S5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6" s="20" t="e" cm="1">
        <f t="array" aca="1" ref="T5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6" s="20" t="e" cm="1">
        <f t="array" aca="1" ref="U5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6" s="20" t="e" cm="1">
        <f t="array" aca="1" ref="V5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6" s="20" t="e" cm="1">
        <f t="array" aca="1" ref="W5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6" s="20" t="e" cm="1">
        <f t="array" aca="1" ref="X5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6" s="20" t="e" cm="1">
        <f t="array" aca="1" ref="Y5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6" s="20" t="e" cm="1">
        <f t="array" aca="1" ref="Z5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6" s="20" t="e" cm="1">
        <f t="array" aca="1" ref="AA5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6" s="20" t="e" cm="1">
        <f t="array" aca="1" ref="AB5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6" s="20" t="e" cm="1">
        <f t="array" aca="1" ref="AC5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6" s="20" t="e" cm="1">
        <f t="array" aca="1" ref="AD5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6" s="20" t="e" cm="1">
        <f t="array" aca="1" ref="AE5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6" s="20" t="e" cm="1">
        <f t="array" aca="1" ref="AF5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6" s="20" t="e" cm="1">
        <f t="array" aca="1" ref="AG5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6" s="20" t="e" cm="1">
        <f t="array" aca="1" ref="AH5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6" s="20" t="e" cm="1">
        <f t="array" aca="1" ref="AI5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6" s="20" t="e" cm="1">
        <f t="array" aca="1" ref="AJ5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6" s="166"/>
      <c r="AL56" s="166" cm="1">
        <f t="array" aca="1" ref="AL5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6" s="247" cm="1">
        <f t="array" aca="1" ref="AM56" ca="1">(SUMPRODUCT(Delay_emissions_table[Consumption of Diesel (kg) - Primary Scenario],IF(Delay_emissions_table[Form of Maintenance - Primary Scenario]="Life Extension",1,0))*INDEX(Indicators,MATCH('Additional Impact Indicators'!$A56,Materials!$D:$D,0),MATCH("diesel combustion",Materials!$1:$1,0))+SUMPRODUCT(Delay_emissions_table[Consumption of Petrol (kg) - Primary Scenario],IF(Delay_emissions_table[Form of Maintenance - Primary Scenario]="Life Extension",1,0))*INDEX(Indicators,MATCH('Additional Impact Indicators'!$A56,Materials!$D:$D,0),MATCH("petrol combustion",Materials!$1:$1,0))+IFERROR(SUMPRODUCT(TRANSPOSE(INDEX(elec_project_emissions,MATCH(Elec_scenario&amp;'Additional Impact Indicators'!$B56,INDEX(Electricity_projection,0,3),0)-1,0)),Delay_emissions_table[Consumption of electricity (MJ) - Primary Scenario],IF(Delay_emissions_table[Form of Maintenance - Primary Scenario]="Life Extension",1,0)),0))*Area_trans*Time_adj_Prim</f>
        <v>0</v>
      </c>
      <c r="AN56" s="247" cm="1">
        <f t="array" aca="1" ref="AN56" ca="1">(SUMPRODUCT(Delay_emissions_table[Consumption of Diesel (kg) - Primary Scenario],IF(Delay_emissions_table[Form of Maintenance - Primary Scenario]="Replacement",1,0))*INDEX(Indicators,MATCH('Additional Impact Indicators'!$A56,Materials!$D:$D,0),MATCH("diesel combustion",Materials!$1:$1,0))+SUMPRODUCT(Delay_emissions_table[Consumption of Petrol (kg) - Primary Scenario],IF(Delay_emissions_table[Form of Maintenance - Primary Scenario]="Replacement",1,0))*INDEX(Indicators,MATCH('Additional Impact Indicators'!$A56,Materials!$D:$D,0),MATCH("petrol combustion",Materials!$1:$1,0))+IFERROR(SUMPRODUCT(TRANSPOSE(INDEX(elec_project_emissions,MATCH(Elec_scenario&amp;'Additional Impact Indicators'!$B56,INDEX(Electricity_projection,0,3),0)-1,0)),Delay_emissions_table[Consumption of electricity (MJ) - Primary Scenario],IF(Delay_emissions_table[Form of Maintenance - Primary Scenario]="Replacement",1,0)),0))*Area_trans*Time_adj_Prim</f>
        <v>0</v>
      </c>
      <c r="AO56" s="248" t="e" cm="1">
        <f t="array" ref="AO5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6" s="248" t="e" cm="1">
        <f t="array" ref="AP5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6" s="249" t="e" cm="1">
        <f t="array" ref="AQ5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6" s="386" t="e" cm="1">
        <f t="array" ref="AR5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6" t="e">
        <f ca="1">SUMIF('Additional Impact Indicators'!$G56:$AQ56,"&lt;&gt;#N/A")</f>
        <v>#DIV/0!</v>
      </c>
      <c r="AW56" t="s">
        <v>550</v>
      </c>
      <c r="AX56" t="s">
        <v>419</v>
      </c>
      <c r="AY56" t="str">
        <f t="shared" si="2"/>
        <v>A2</v>
      </c>
      <c r="AZ56" t="s">
        <v>485</v>
      </c>
      <c r="BB56">
        <f>MATCH(Table3[[#This Row],[Indicator]],Material_Impacts[Look up],0)</f>
        <v>100</v>
      </c>
      <c r="BC56" s="246" cm="1">
        <f t="array" aca="1" ref="BC5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6" s="166" cm="1">
        <f t="array" ref="BD5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6" s="166" t="e">
        <f>Diesel_RawM_Sec*INDEX(Indicators,MATCH(Impacts_Additional[[#This Row],[Indicator]],Materials!$D:$D,0),MATCH("Diesel Combustion",Materials!$1:$1,0))*Diesel_density*Project_Area*Sec_Lays*Area_trans</f>
        <v>#DIV/0!</v>
      </c>
      <c r="BF56" s="35" t="e" cm="1">
        <f t="array" aca="1" ref="BF5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6" s="35" t="e" cm="1">
        <f t="array" aca="1" ref="BG5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6" t="e" cm="1">
        <f t="array" aca="1" ref="BH5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6" s="35" t="e" cm="1">
        <f t="array" aca="1" ref="BI5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6" s="35" t="e" cm="1">
        <f t="array" aca="1" ref="BJ5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6" t="e" cm="1">
        <f t="array" aca="1" ref="BK5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6" s="35" t="e" cm="1">
        <f t="array" aca="1" ref="BL5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6" s="35" t="e" cm="1">
        <f t="array" aca="1" ref="BM5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6" t="e" cm="1">
        <f t="array" aca="1" ref="BN5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6" s="35" t="e" cm="1">
        <f t="array" aca="1" ref="BO5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6" s="35" t="e" cm="1">
        <f t="array" aca="1" ref="BP5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6" t="e" cm="1">
        <f t="array" aca="1" ref="BQ5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6" s="35" t="e" cm="1">
        <f t="array" aca="1" ref="BR5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6" s="35" t="e" cm="1">
        <f t="array" aca="1" ref="BS5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6" t="e" cm="1">
        <f t="array" aca="1" ref="BT5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6" s="35" t="e" cm="1">
        <f t="array" aca="1" ref="BU5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6" s="35" t="e" cm="1">
        <f t="array" aca="1" ref="BV5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6" t="e" cm="1">
        <f t="array" aca="1" ref="BW5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6" s="35" t="e" cm="1">
        <f t="array" aca="1" ref="BX5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6" s="35" t="e" cm="1">
        <f t="array" aca="1" ref="BY5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6" t="e" cm="1">
        <f t="array" aca="1" ref="BZ5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6" s="35" t="e" cm="1">
        <f t="array" aca="1" ref="CA5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6" s="35" t="e" cm="1">
        <f t="array" aca="1" ref="CB5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6" t="e" cm="1">
        <f t="array" aca="1" ref="CC5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6" s="35" t="e" cm="1">
        <f t="array" aca="1" ref="CD5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6" s="35" t="e" cm="1">
        <f t="array" aca="1" ref="CE5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6" t="e" cm="1">
        <f t="array" aca="1" ref="CF5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6" s="166"/>
      <c r="CH56" s="375" cm="1">
        <f t="array" aca="1" ref="CH5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6" s="247" cm="1">
        <f t="array" aca="1" ref="CI56" ca="1">(SUMPRODUCT(Delay_emissions_table[Consumption of Diesel (kg) - Secondary Scenario],IF(Delay_emissions_table[Form of Maintenance - Secondary Scenario]="Life Extension",1,0))*INDEX(Indicators,MATCH('Additional Impact Indicators'!$A56,Materials!$D:$D,0),MATCH("diesel combustion",Materials!$1:$1,0))+SUMPRODUCT(Delay_emissions_table[Consumption of Petrol (kg) - Secondary Scenario],IF(Delay_emissions_table[Form of Maintenance - Secondary Scenario]="Life Extension",1,0))*INDEX(Indicators,MATCH('Additional Impact Indicators'!$A56,Materials!$D:$D,0),MATCH("petrol combustion",Materials!$1:$1,0))+IFERROR(SUMPRODUCT(TRANSPOSE(INDEX(elec_project_emissions,MATCH(Elec_scenario&amp;'Additional Impact Indicators'!$B56,INDEX(Electricity_projection,0,3),0)-1,0)),Delay_emissions_table[Consumption of electricity (MJ) - Secondary Scenario],IF(Delay_emissions_table[Form of Maintenance - Secondary Scenario]="Life Extension",1,0)),0))*Area_trans*time_adj_Sec</f>
        <v>0</v>
      </c>
      <c r="CJ56" s="247" cm="1">
        <f t="array" aca="1" ref="CJ56" ca="1">(SUMPRODUCT(Delay_emissions_table[Consumption of Diesel (kg) - Secondary Scenario],IF(Delay_emissions_table[Form of Maintenance - Secondary Scenario]="Replacement",1,0))*INDEX(Indicators,MATCH('Additional Impact Indicators'!$A56,Materials!$D:$D,0),MATCH("diesel combustion",Materials!$1:$1,0))+SUMPRODUCT(Delay_emissions_table[Consumption of Petrol (kg) - Secondary Scenario],IF(Delay_emissions_table[Form of Maintenance - Secondary Scenario]="Replacement",1,0))*INDEX(Indicators,MATCH('Additional Impact Indicators'!$A56,Materials!$D:$D,0),MATCH("petrol combustion",Materials!$1:$1,0))+IFERROR(SUMPRODUCT(TRANSPOSE(INDEX(elec_project_emissions,MATCH(Elec_scenario&amp;'Additional Impact Indicators'!$B56,INDEX(Electricity_projection,0,3),0)-1,0)),Delay_emissions_table[Consumption of electricity (MJ) - Secondary Scenario],IF(Delay_emissions_table[Form of Maintenance - Secondary Scenario]="Replacement",1,0)),0))*Area_trans*time_adj_Sec</f>
        <v>0</v>
      </c>
      <c r="CK56" s="248" t="e" cm="1">
        <f t="array" ref="CK5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6" s="248" t="e" cm="1">
        <f t="array" ref="CL5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6" s="249" t="e" cm="1">
        <f t="array" ref="CM5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6" s="387" t="e" cm="1">
        <f t="array" ref="CN5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6" s="51" t="e">
        <f ca="1">SUMIF(Table3[[#This Row],[Raw-Materials]:[Transport to recycling facility]],"&lt;&gt;#N/A")</f>
        <v>#DIV/0!</v>
      </c>
      <c r="CT56" t="s">
        <v>550</v>
      </c>
      <c r="CU56" t="s">
        <v>419</v>
      </c>
      <c r="CV56" t="str">
        <f t="shared" si="3"/>
        <v>A2</v>
      </c>
      <c r="CW56" t="s">
        <v>485</v>
      </c>
      <c r="CY56">
        <f>MATCH(Table611[[#This Row],[Indicator]],Material_Impacts[Look up],0)</f>
        <v>100</v>
      </c>
      <c r="CZ56" s="246" cm="1">
        <f t="array" aca="1" ref="CZ5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6" s="166" cm="1">
        <f t="array" ref="DA5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6" s="166" t="e">
        <f>Diesel_RawM_Tert*INDEX(Indicators,MATCH(Impacts_Additional[[#This Row],[Indicator]],Materials!$D:$D,0),MATCH("Diesel Combustion",Materials!$1:$1,0))*Diesel_density*Project_Area*Tert_Lays*Area_trans</f>
        <v>#DIV/0!</v>
      </c>
      <c r="DC56" s="35" t="e" cm="1">
        <f t="array" aca="1" ref="DC5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6" s="35" t="e" cm="1">
        <f t="array" aca="1" ref="DD5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6" t="e" cm="1">
        <f t="array" aca="1" ref="DE5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6" s="35" t="e" cm="1">
        <f t="array" aca="1" ref="DF5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6" s="35" t="e" cm="1">
        <f t="array" aca="1" ref="DG5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6" t="e" cm="1">
        <f t="array" aca="1" ref="DH5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6" s="35" t="e" cm="1">
        <f t="array" aca="1" ref="DI5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6" s="35" t="e" cm="1">
        <f t="array" aca="1" ref="DJ5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6" t="e" cm="1">
        <f t="array" aca="1" ref="DK5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6" s="35" t="e" cm="1">
        <f t="array" aca="1" ref="DL5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6" s="35" t="e" cm="1">
        <f t="array" aca="1" ref="DM5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6" t="e" cm="1">
        <f t="array" aca="1" ref="DN5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6" s="35" t="e" cm="1">
        <f t="array" aca="1" ref="DO5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6" s="35" t="e" cm="1">
        <f t="array" aca="1" ref="DP5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6" t="e" cm="1">
        <f t="array" aca="1" ref="DQ5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6" s="35" t="e" cm="1">
        <f t="array" aca="1" ref="DR5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6" s="35" t="e" cm="1">
        <f t="array" aca="1" ref="DS5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6" t="e" cm="1">
        <f t="array" aca="1" ref="DT5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6" s="35" t="e" cm="1">
        <f t="array" aca="1" ref="DU5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6" s="35" t="e" cm="1">
        <f t="array" aca="1" ref="DV5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6" t="e" cm="1">
        <f t="array" aca="1" ref="DW5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6" s="35" t="e" cm="1">
        <f t="array" aca="1" ref="DX5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6" s="35" t="e" cm="1">
        <f t="array" aca="1" ref="DY5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6" t="e" cm="1">
        <f t="array" aca="1" ref="DZ5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6" s="35" t="e" cm="1">
        <f t="array" aca="1" ref="EA5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6" s="35" t="e" cm="1">
        <f t="array" aca="1" ref="EB5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6" t="e" cm="1">
        <f t="array" aca="1" ref="EC5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6" s="166"/>
      <c r="EE56" s="375" cm="1">
        <f t="array" aca="1" ref="EE5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6" s="247" cm="1">
        <f t="array" aca="1" ref="EF56" ca="1">(SUMPRODUCT(Delay_emissions_table[Consumption of Diesel (kg) - Tertiary Scenario],IF(Delay_emissions_table[Form of Maintenance - Tertiary Scenario]="Life Extension",1,0))*INDEX(Indicators,MATCH('Additional Impact Indicators'!$A56,Materials!$D:$D,0),MATCH("diesel combustion",Materials!$1:$1,0))+SUMPRODUCT(Delay_emissions_table[Consumption of Petrol (kg) - Tertiary Scenario],IF(Delay_emissions_table[Form of Maintenance - Tertiary Scenario]="Life Extension",1,0))*INDEX(Indicators,MATCH('Additional Impact Indicators'!$A56,Materials!$D:$D,0),MATCH("petrol combustion",Materials!$1:$1,0))+IFERROR(SUMPRODUCT(TRANSPOSE(INDEX(elec_project_emissions,MATCH(Elec_scenario&amp;'Additional Impact Indicators'!$B56,INDEX(Electricity_projection,0,3),0)-1,0)),Delay_emissions_table[Consumption of electricity (MJ) - Tertiary Scenario],IF(Delay_emissions_table[Form of Maintenance - Tertiary Scenario]="Life Extension",1,0)),0))*Area_trans*Time_adj_Tert</f>
        <v>0</v>
      </c>
      <c r="EG56" s="247" cm="1">
        <f t="array" aca="1" ref="EG56" ca="1">(SUMPRODUCT(Delay_emissions_table[Consumption of Diesel (kg) - Tertiary Scenario],IF(Delay_emissions_table[Form of Maintenance - Tertiary Scenario]="Replacement",1,0))*INDEX(Indicators,MATCH('Additional Impact Indicators'!$A56,Materials!$D:$D,0),MATCH("diesel combustion",Materials!$1:$1,0))+SUMPRODUCT(Delay_emissions_table[Consumption of Petrol (kg) - Tertiary Scenario],IF(Delay_emissions_table[Form of Maintenance - Tertiary Scenario]="Replacement",1,0))*INDEX(Indicators,MATCH('Additional Impact Indicators'!$A56,Materials!$D:$D,0),MATCH("petrol combustion",Materials!$1:$1,0))+IFERROR(SUMPRODUCT(TRANSPOSE(INDEX(elec_project_emissions,MATCH(Elec_scenario&amp;'Additional Impact Indicators'!$B56,INDEX(Electricity_projection,0,3),0)-1,0)),Delay_emissions_table[Consumption of electricity (MJ) - Tertiary Scenario],IF(Delay_emissions_table[Form of Maintenance - Tertiary Scenario]="Replacement",1,0)),0))*Area_trans*Time_adj_Tert</f>
        <v>0</v>
      </c>
      <c r="EH56" s="248" t="e" cm="1">
        <f t="array" ref="EH5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6" s="248" t="e" cm="1">
        <f t="array" ref="EI5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6" s="249" t="e" cm="1">
        <f t="array" ref="EJ5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6" s="249" t="e" cm="1">
        <f t="array" ref="EK5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6" t="e">
        <f ca="1">SUMIF(Table611[[#This Row],[Raw-Materials]:[Transport to recycling facility]],"&lt;&gt;#N/A")</f>
        <v>#DIV/0!</v>
      </c>
    </row>
    <row r="57" spans="1:142" x14ac:dyDescent="0.35">
      <c r="A57" s="155" t="s">
        <v>551</v>
      </c>
      <c r="B57" s="155" t="s">
        <v>421</v>
      </c>
      <c r="C57" s="155" t="str">
        <f t="shared" si="1"/>
        <v>A2</v>
      </c>
      <c r="D57" s="155" t="s">
        <v>485</v>
      </c>
      <c r="E57" s="155"/>
      <c r="F57">
        <f>MATCH(Impacts_Additional[[#This Row],[Indicator]],Material_Impacts[Look up],0)</f>
        <v>101</v>
      </c>
      <c r="G57" s="246" cm="1">
        <f t="array" aca="1" ref="G5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7" s="165" cm="1">
        <f t="array" ref="H5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7" s="165" t="e">
        <f>Diesel_RawM_Prim*INDEX(Indicators,MATCH(Impacts_Additional[[#This Row],[Indicator]],Materials!$D:$D,0),MATCH("Diesel Combustion",Materials!$1:$1,0))*Diesel_density*Project_Area*Prim_Lays*Area_trans</f>
        <v>#DIV/0!</v>
      </c>
      <c r="J57" s="250" t="e" cm="1">
        <f t="array" aca="1" ref="J5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7" s="250" t="e" cm="1">
        <f t="array" aca="1" ref="K5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7" s="250" t="e" cm="1">
        <f t="array" aca="1" ref="L5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7" s="250" t="e" cm="1">
        <f t="array" aca="1" ref="M5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7" s="250" t="e" cm="1">
        <f t="array" aca="1" ref="N5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7" s="250" t="e" cm="1">
        <f t="array" aca="1" ref="O5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7" s="250" t="e" cm="1">
        <f t="array" aca="1" ref="P5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7" s="250" t="e" cm="1">
        <f t="array" aca="1" ref="Q5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7" s="250" t="e" cm="1">
        <f t="array" aca="1" ref="R5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7" s="250" t="e" cm="1">
        <f t="array" aca="1" ref="S5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7" s="250" t="e" cm="1">
        <f t="array" aca="1" ref="T5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7" s="250" t="e" cm="1">
        <f t="array" aca="1" ref="U5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7" s="250" t="e" cm="1">
        <f t="array" aca="1" ref="V5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7" s="250" t="e" cm="1">
        <f t="array" aca="1" ref="W5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7" s="250" t="e" cm="1">
        <f t="array" aca="1" ref="X5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7" s="250" t="e" cm="1">
        <f t="array" aca="1" ref="Y5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7" s="250" t="e" cm="1">
        <f t="array" aca="1" ref="Z5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7" s="250" t="e" cm="1">
        <f t="array" aca="1" ref="AA5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7" s="250" t="e" cm="1">
        <f t="array" aca="1" ref="AB5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7" s="250" t="e" cm="1">
        <f t="array" aca="1" ref="AC5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7" s="250" t="e" cm="1">
        <f t="array" aca="1" ref="AD5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7" s="250" t="e" cm="1">
        <f t="array" aca="1" ref="AE5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7" s="250" t="e" cm="1">
        <f t="array" aca="1" ref="AF5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7" s="250" t="e" cm="1">
        <f t="array" aca="1" ref="AG5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7" s="250" t="e" cm="1">
        <f t="array" aca="1" ref="AH5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7" s="250" t="e" cm="1">
        <f t="array" aca="1" ref="AI5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7" s="250" t="e" cm="1">
        <f t="array" aca="1" ref="AJ5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7" s="165"/>
      <c r="AL57" s="165" cm="1">
        <f t="array" aca="1" ref="AL5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7" s="251" cm="1">
        <f t="array" aca="1" ref="AM57" ca="1">(SUMPRODUCT(Delay_emissions_table[Consumption of Diesel (kg) - Primary Scenario],IF(Delay_emissions_table[Form of Maintenance - Primary Scenario]="Life Extension",1,0))*INDEX(Indicators,MATCH('Additional Impact Indicators'!$A57,Materials!$D:$D,0),MATCH("diesel combustion",Materials!$1:$1,0))+SUMPRODUCT(Delay_emissions_table[Consumption of Petrol (kg) - Primary Scenario],IF(Delay_emissions_table[Form of Maintenance - Primary Scenario]="Life Extension",1,0))*INDEX(Indicators,MATCH('Additional Impact Indicators'!$A57,Materials!$D:$D,0),MATCH("petrol combustion",Materials!$1:$1,0))+IFERROR(SUMPRODUCT(TRANSPOSE(INDEX(elec_project_emissions,MATCH(Elec_scenario&amp;'Additional Impact Indicators'!$B57,INDEX(Electricity_projection,0,3),0)-1,0)),Delay_emissions_table[Consumption of electricity (MJ) - Primary Scenario],IF(Delay_emissions_table[Form of Maintenance - Primary Scenario]="Life Extension",1,0)),0))*Area_trans*Time_adj_Prim</f>
        <v>0</v>
      </c>
      <c r="AN57" s="251" cm="1">
        <f t="array" aca="1" ref="AN57" ca="1">(SUMPRODUCT(Delay_emissions_table[Consumption of Diesel (kg) - Primary Scenario],IF(Delay_emissions_table[Form of Maintenance - Primary Scenario]="Replacement",1,0))*INDEX(Indicators,MATCH('Additional Impact Indicators'!$A57,Materials!$D:$D,0),MATCH("diesel combustion",Materials!$1:$1,0))+SUMPRODUCT(Delay_emissions_table[Consumption of Petrol (kg) - Primary Scenario],IF(Delay_emissions_table[Form of Maintenance - Primary Scenario]="Replacement",1,0))*INDEX(Indicators,MATCH('Additional Impact Indicators'!$A57,Materials!$D:$D,0),MATCH("petrol combustion",Materials!$1:$1,0))+IFERROR(SUMPRODUCT(TRANSPOSE(INDEX(elec_project_emissions,MATCH(Elec_scenario&amp;'Additional Impact Indicators'!$B57,INDEX(Electricity_projection,0,3),0)-1,0)),Delay_emissions_table[Consumption of electricity (MJ) - Primary Scenario],IF(Delay_emissions_table[Form of Maintenance - Primary Scenario]="Replacement",1,0)),0))*Area_trans*Time_adj_Prim</f>
        <v>0</v>
      </c>
      <c r="AO57" s="252" t="e" cm="1">
        <f t="array" ref="AO5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7" s="252" t="e" cm="1">
        <f t="array" ref="AP5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7" s="253" t="e" cm="1">
        <f t="array" ref="AQ5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7" s="385" t="e" cm="1">
        <f t="array" ref="AR5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7" t="e">
        <f ca="1">SUMIF('Additional Impact Indicators'!$G57:$AQ57,"&lt;&gt;#N/A")</f>
        <v>#DIV/0!</v>
      </c>
      <c r="AW57" s="155" t="s">
        <v>551</v>
      </c>
      <c r="AX57" s="155" t="s">
        <v>421</v>
      </c>
      <c r="AY57" s="155" t="str">
        <f t="shared" si="2"/>
        <v>A2</v>
      </c>
      <c r="AZ57" s="155" t="s">
        <v>485</v>
      </c>
      <c r="BA57" s="155"/>
      <c r="BB57" s="155">
        <f>MATCH(Table3[[#This Row],[Indicator]],Material_Impacts[Look up],0)</f>
        <v>101</v>
      </c>
      <c r="BC57" s="246" cm="1">
        <f t="array" aca="1" ref="BC5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7" s="165" cm="1">
        <f t="array" ref="BD5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7" s="165" t="e">
        <f>Diesel_RawM_Sec*INDEX(Indicators,MATCH(Impacts_Additional[[#This Row],[Indicator]],Materials!$D:$D,0),MATCH("Diesel Combustion",Materials!$1:$1,0))*Diesel_density*Project_Area*Sec_Lays*Area_trans</f>
        <v>#DIV/0!</v>
      </c>
      <c r="BF57" s="35" t="e" cm="1">
        <f t="array" aca="1" ref="BF5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7" s="35" t="e" cm="1">
        <f t="array" aca="1" ref="BG5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7" t="e" cm="1">
        <f t="array" aca="1" ref="BH5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7" s="35" t="e" cm="1">
        <f t="array" aca="1" ref="BI5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7" s="35" t="e" cm="1">
        <f t="array" aca="1" ref="BJ5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7" t="e" cm="1">
        <f t="array" aca="1" ref="BK5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7" s="35" t="e" cm="1">
        <f t="array" aca="1" ref="BL5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7" s="35" t="e" cm="1">
        <f t="array" aca="1" ref="BM5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7" t="e" cm="1">
        <f t="array" aca="1" ref="BN5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7" s="35" t="e" cm="1">
        <f t="array" aca="1" ref="BO5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7" s="35" t="e" cm="1">
        <f t="array" aca="1" ref="BP5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7" t="e" cm="1">
        <f t="array" aca="1" ref="BQ5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7" s="35" t="e" cm="1">
        <f t="array" aca="1" ref="BR5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7" s="35" t="e" cm="1">
        <f t="array" aca="1" ref="BS5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7" t="e" cm="1">
        <f t="array" aca="1" ref="BT5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7" s="35" t="e" cm="1">
        <f t="array" aca="1" ref="BU5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7" s="35" t="e" cm="1">
        <f t="array" aca="1" ref="BV5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7" t="e" cm="1">
        <f t="array" aca="1" ref="BW5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7" s="35" t="e" cm="1">
        <f t="array" aca="1" ref="BX5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7" s="35" t="e" cm="1">
        <f t="array" aca="1" ref="BY5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7" t="e" cm="1">
        <f t="array" aca="1" ref="BZ5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7" s="35" t="e" cm="1">
        <f t="array" aca="1" ref="CA5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7" s="35" t="e" cm="1">
        <f t="array" aca="1" ref="CB5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7" t="e" cm="1">
        <f t="array" aca="1" ref="CC5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7" s="35" t="e" cm="1">
        <f t="array" aca="1" ref="CD5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7" s="35" t="e" cm="1">
        <f t="array" aca="1" ref="CE5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7" t="e" cm="1">
        <f t="array" aca="1" ref="CF5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7" s="165"/>
      <c r="CH57" s="375" cm="1">
        <f t="array" aca="1" ref="CH5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7" s="251" cm="1">
        <f t="array" aca="1" ref="CI57" ca="1">(SUMPRODUCT(Delay_emissions_table[Consumption of Diesel (kg) - Secondary Scenario],IF(Delay_emissions_table[Form of Maintenance - Secondary Scenario]="Life Extension",1,0))*INDEX(Indicators,MATCH('Additional Impact Indicators'!$A57,Materials!$D:$D,0),MATCH("diesel combustion",Materials!$1:$1,0))+SUMPRODUCT(Delay_emissions_table[Consumption of Petrol (kg) - Secondary Scenario],IF(Delay_emissions_table[Form of Maintenance - Secondary Scenario]="Life Extension",1,0))*INDEX(Indicators,MATCH('Additional Impact Indicators'!$A57,Materials!$D:$D,0),MATCH("petrol combustion",Materials!$1:$1,0))+IFERROR(SUMPRODUCT(TRANSPOSE(INDEX(elec_project_emissions,MATCH(Elec_scenario&amp;'Additional Impact Indicators'!$B57,INDEX(Electricity_projection,0,3),0)-1,0)),Delay_emissions_table[Consumption of electricity (MJ) - Secondary Scenario],IF(Delay_emissions_table[Form of Maintenance - Secondary Scenario]="Life Extension",1,0)),0))*Area_trans*time_adj_Sec</f>
        <v>0</v>
      </c>
      <c r="CJ57" s="251" cm="1">
        <f t="array" aca="1" ref="CJ57" ca="1">(SUMPRODUCT(Delay_emissions_table[Consumption of Diesel (kg) - Secondary Scenario],IF(Delay_emissions_table[Form of Maintenance - Secondary Scenario]="Replacement",1,0))*INDEX(Indicators,MATCH('Additional Impact Indicators'!$A57,Materials!$D:$D,0),MATCH("diesel combustion",Materials!$1:$1,0))+SUMPRODUCT(Delay_emissions_table[Consumption of Petrol (kg) - Secondary Scenario],IF(Delay_emissions_table[Form of Maintenance - Secondary Scenario]="Replacement",1,0))*INDEX(Indicators,MATCH('Additional Impact Indicators'!$A57,Materials!$D:$D,0),MATCH("petrol combustion",Materials!$1:$1,0))+IFERROR(SUMPRODUCT(TRANSPOSE(INDEX(elec_project_emissions,MATCH(Elec_scenario&amp;'Additional Impact Indicators'!$B57,INDEX(Electricity_projection,0,3),0)-1,0)),Delay_emissions_table[Consumption of electricity (MJ) - Secondary Scenario],IF(Delay_emissions_table[Form of Maintenance - Secondary Scenario]="Replacement",1,0)),0))*Area_trans*time_adj_Sec</f>
        <v>0</v>
      </c>
      <c r="CK57" s="252" t="e" cm="1">
        <f t="array" ref="CK5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7" s="252" t="e" cm="1">
        <f t="array" ref="CL5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7" s="253" t="e" cm="1">
        <f t="array" ref="CM5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7" s="387" t="e" cm="1">
        <f t="array" ref="CN5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7" s="51" t="e">
        <f ca="1">SUMIF(Table3[[#This Row],[Raw-Materials]:[Transport to recycling facility]],"&lt;&gt;#N/A")</f>
        <v>#DIV/0!</v>
      </c>
      <c r="CT57" t="s">
        <v>551</v>
      </c>
      <c r="CU57" t="s">
        <v>421</v>
      </c>
      <c r="CV57" t="str">
        <f t="shared" si="3"/>
        <v>A2</v>
      </c>
      <c r="CW57" t="s">
        <v>485</v>
      </c>
      <c r="CY57">
        <f>MATCH(Table611[[#This Row],[Indicator]],Material_Impacts[Look up],0)</f>
        <v>101</v>
      </c>
      <c r="CZ57" s="246" cm="1">
        <f t="array" aca="1" ref="CZ5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7" s="165" cm="1">
        <f t="array" ref="DA5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7" s="165" t="e">
        <f>Diesel_RawM_Tert*INDEX(Indicators,MATCH(Impacts_Additional[[#This Row],[Indicator]],Materials!$D:$D,0),MATCH("Diesel Combustion",Materials!$1:$1,0))*Diesel_density*Project_Area*Tert_Lays*Area_trans</f>
        <v>#DIV/0!</v>
      </c>
      <c r="DC57" s="35" t="e" cm="1">
        <f t="array" aca="1" ref="DC5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7" s="35" t="e" cm="1">
        <f t="array" aca="1" ref="DD5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7" t="e" cm="1">
        <f t="array" aca="1" ref="DE5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7" s="35" t="e" cm="1">
        <f t="array" aca="1" ref="DF5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7" s="35" t="e" cm="1">
        <f t="array" aca="1" ref="DG5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7" t="e" cm="1">
        <f t="array" aca="1" ref="DH5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7" s="35" t="e" cm="1">
        <f t="array" aca="1" ref="DI5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7" s="35" t="e" cm="1">
        <f t="array" aca="1" ref="DJ5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7" t="e" cm="1">
        <f t="array" aca="1" ref="DK5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7" s="35" t="e" cm="1">
        <f t="array" aca="1" ref="DL5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7" s="35" t="e" cm="1">
        <f t="array" aca="1" ref="DM5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7" t="e" cm="1">
        <f t="array" aca="1" ref="DN5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7" s="35" t="e" cm="1">
        <f t="array" aca="1" ref="DO5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7" s="35" t="e" cm="1">
        <f t="array" aca="1" ref="DP5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7" t="e" cm="1">
        <f t="array" aca="1" ref="DQ5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7" s="35" t="e" cm="1">
        <f t="array" aca="1" ref="DR5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7" s="35" t="e" cm="1">
        <f t="array" aca="1" ref="DS5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7" t="e" cm="1">
        <f t="array" aca="1" ref="DT5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7" s="35" t="e" cm="1">
        <f t="array" aca="1" ref="DU5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7" s="35" t="e" cm="1">
        <f t="array" aca="1" ref="DV5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7" t="e" cm="1">
        <f t="array" aca="1" ref="DW5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7" s="35" t="e" cm="1">
        <f t="array" aca="1" ref="DX5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7" s="35" t="e" cm="1">
        <f t="array" aca="1" ref="DY5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7" t="e" cm="1">
        <f t="array" aca="1" ref="DZ5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7" s="35" t="e" cm="1">
        <f t="array" aca="1" ref="EA5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7" s="35" t="e" cm="1">
        <f t="array" aca="1" ref="EB5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7" t="e" cm="1">
        <f t="array" aca="1" ref="EC5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7" s="165"/>
      <c r="EE57" s="375" cm="1">
        <f t="array" aca="1" ref="EE5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7" s="251" cm="1">
        <f t="array" aca="1" ref="EF57" ca="1">(SUMPRODUCT(Delay_emissions_table[Consumption of Diesel (kg) - Tertiary Scenario],IF(Delay_emissions_table[Form of Maintenance - Tertiary Scenario]="Life Extension",1,0))*INDEX(Indicators,MATCH('Additional Impact Indicators'!$A57,Materials!$D:$D,0),MATCH("diesel combustion",Materials!$1:$1,0))+SUMPRODUCT(Delay_emissions_table[Consumption of Petrol (kg) - Tertiary Scenario],IF(Delay_emissions_table[Form of Maintenance - Tertiary Scenario]="Life Extension",1,0))*INDEX(Indicators,MATCH('Additional Impact Indicators'!$A57,Materials!$D:$D,0),MATCH("petrol combustion",Materials!$1:$1,0))+IFERROR(SUMPRODUCT(TRANSPOSE(INDEX(elec_project_emissions,MATCH(Elec_scenario&amp;'Additional Impact Indicators'!$B57,INDEX(Electricity_projection,0,3),0)-1,0)),Delay_emissions_table[Consumption of electricity (MJ) - Tertiary Scenario],IF(Delay_emissions_table[Form of Maintenance - Tertiary Scenario]="Life Extension",1,0)),0))*Area_trans*Time_adj_Tert</f>
        <v>0</v>
      </c>
      <c r="EG57" s="251" cm="1">
        <f t="array" aca="1" ref="EG57" ca="1">(SUMPRODUCT(Delay_emissions_table[Consumption of Diesel (kg) - Tertiary Scenario],IF(Delay_emissions_table[Form of Maintenance - Tertiary Scenario]="Replacement",1,0))*INDEX(Indicators,MATCH('Additional Impact Indicators'!$A57,Materials!$D:$D,0),MATCH("diesel combustion",Materials!$1:$1,0))+SUMPRODUCT(Delay_emissions_table[Consumption of Petrol (kg) - Tertiary Scenario],IF(Delay_emissions_table[Form of Maintenance - Tertiary Scenario]="Replacement",1,0))*INDEX(Indicators,MATCH('Additional Impact Indicators'!$A57,Materials!$D:$D,0),MATCH("petrol combustion",Materials!$1:$1,0))+IFERROR(SUMPRODUCT(TRANSPOSE(INDEX(elec_project_emissions,MATCH(Elec_scenario&amp;'Additional Impact Indicators'!$B57,INDEX(Electricity_projection,0,3),0)-1,0)),Delay_emissions_table[Consumption of electricity (MJ) - Tertiary Scenario],IF(Delay_emissions_table[Form of Maintenance - Tertiary Scenario]="Replacement",1,0)),0))*Area_trans*Time_adj_Tert</f>
        <v>0</v>
      </c>
      <c r="EH57" s="252" t="e" cm="1">
        <f t="array" ref="EH5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7" s="252" t="e" cm="1">
        <f t="array" ref="EI5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7" s="253" t="e" cm="1">
        <f t="array" ref="EJ5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7" s="253" t="e" cm="1">
        <f t="array" ref="EK5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7" t="e">
        <f ca="1">SUMIF(Table611[[#This Row],[Raw-Materials]:[Transport to recycling facility]],"&lt;&gt;#N/A")</f>
        <v>#DIV/0!</v>
      </c>
    </row>
    <row r="58" spans="1:142" x14ac:dyDescent="0.35">
      <c r="A58" t="s">
        <v>552</v>
      </c>
      <c r="B58" t="s">
        <v>553</v>
      </c>
      <c r="C58" t="str">
        <f t="shared" si="1"/>
        <v>A2</v>
      </c>
      <c r="D58" t="s">
        <v>485</v>
      </c>
      <c r="F58">
        <f>MATCH(Impacts_Additional[[#This Row],[Indicator]],Material_Impacts[Look up],0)</f>
        <v>102</v>
      </c>
      <c r="G58" s="246" cm="1">
        <f t="array" aca="1" ref="G5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8" s="166" cm="1">
        <f t="array" ref="H5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8" s="166" t="e">
        <f>Diesel_RawM_Prim*INDEX(Indicators,MATCH(Impacts_Additional[[#This Row],[Indicator]],Materials!$D:$D,0),MATCH("Diesel Combustion",Materials!$1:$1,0))*Diesel_density*Project_Area*Prim_Lays*Area_trans</f>
        <v>#DIV/0!</v>
      </c>
      <c r="J58" s="20" t="e" cm="1">
        <f t="array" aca="1" ref="J5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8" s="20" t="e" cm="1">
        <f t="array" aca="1" ref="K5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8" s="20" t="e" cm="1">
        <f t="array" aca="1" ref="L5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8" s="20" t="e" cm="1">
        <f t="array" aca="1" ref="M5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8" s="20" t="e" cm="1">
        <f t="array" aca="1" ref="N5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8" s="20" t="e" cm="1">
        <f t="array" aca="1" ref="O5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8" s="20" t="e" cm="1">
        <f t="array" aca="1" ref="P5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8" s="20" t="e" cm="1">
        <f t="array" aca="1" ref="Q5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8" s="20" t="e" cm="1">
        <f t="array" aca="1" ref="R5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8" s="20" t="e" cm="1">
        <f t="array" aca="1" ref="S5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8" s="20" t="e" cm="1">
        <f t="array" aca="1" ref="T5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8" s="20" t="e" cm="1">
        <f t="array" aca="1" ref="U5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8" s="20" t="e" cm="1">
        <f t="array" aca="1" ref="V5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8" s="20" t="e" cm="1">
        <f t="array" aca="1" ref="W5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8" s="20" t="e" cm="1">
        <f t="array" aca="1" ref="X5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8" s="20" t="e" cm="1">
        <f t="array" aca="1" ref="Y5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8" s="20" t="e" cm="1">
        <f t="array" aca="1" ref="Z5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8" s="20" t="e" cm="1">
        <f t="array" aca="1" ref="AA5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8" s="20" t="e" cm="1">
        <f t="array" aca="1" ref="AB5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8" s="20" t="e" cm="1">
        <f t="array" aca="1" ref="AC5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8" s="20" t="e" cm="1">
        <f t="array" aca="1" ref="AD5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8" s="20" t="e" cm="1">
        <f t="array" aca="1" ref="AE5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8" s="20" t="e" cm="1">
        <f t="array" aca="1" ref="AF5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8" s="20" t="e" cm="1">
        <f t="array" aca="1" ref="AG5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8" s="20" t="e" cm="1">
        <f t="array" aca="1" ref="AH5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8" s="20" t="e" cm="1">
        <f t="array" aca="1" ref="AI5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8" s="20" t="e" cm="1">
        <f t="array" aca="1" ref="AJ5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8" s="166" cm="1">
        <f t="array" aca="1" ref="AK58" ca="1">((E_modulus_Prim/40114)^-0.25)*((Subgrade_stiffness_Prim/35)^-0.25)*((Surface_thickness_Prim/0.22)^-0.75)*Area_trans*delflec_switch*SUM((INDEX(PVI_vehicle_EFC,1,1)/INDEX(PVI_fuel_energy_density,1,1))*(INDEX(Indicators,MATCH('Additional Impact Indicators'!$A58,Materials!$D:$D,0),MATCH("diesel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Indicators'!$A58,Materials!$D:$D,0),MATCH("petrol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Indicators'!$A58,Materials!$D:$D,0),MATCH("diesel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Indicators'!$A58,Materials!$D:$D,0),MATCH("petrol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Indicators'!$A58,Materials!$D:$D,0),MATCH("bio-diesel combustion",Materials!$1:$1,0))*((1-enviro_disc)^Handle_years)*Handle_electricity_emissions:OFFSET(Handle_electricity_emissions,0,Results_timespan-1)^0)*OFFSET(Handle_traffic_fleet,6,0):OFFSET(Handle_traffic_fleet,6,Results_timespan-1))</f>
        <v>0</v>
      </c>
      <c r="AL58" s="166" cm="1">
        <f t="array" aca="1" ref="AL5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8" s="247" cm="1">
        <f t="array" aca="1" ref="AM58" ca="1">(SUMPRODUCT(Delay_emissions_table[Consumption of Diesel (kg) - Primary Scenario],IF(Delay_emissions_table[Form of Maintenance - Primary Scenario]="Life Extension",1,0))*INDEX(Indicators,MATCH('Additional Impact Indicators'!$A58,Materials!$D:$D,0),MATCH("diesel combustion",Materials!$1:$1,0))+SUMPRODUCT(Delay_emissions_table[Consumption of Petrol (kg) - Primary Scenario],IF(Delay_emissions_table[Form of Maintenance - Primary Scenario]="Life Extension",1,0))*INDEX(Indicators,MATCH('Additional Impact Indicators'!$A58,Materials!$D:$D,0),MATCH("petrol combustion",Materials!$1:$1,0))+IFERROR(SUMPRODUCT(TRANSPOSE(INDEX(elec_project_emissions,MATCH(Elec_scenario&amp;'Additional Impact Indicators'!$B58,INDEX(Electricity_projection,0,3),0)-1,0)),Delay_emissions_table[Consumption of electricity (MJ) - Primary Scenario],IF(Delay_emissions_table[Form of Maintenance - Primary Scenario]="Life Extension",1,0)),0))*Area_trans*Time_adj_Prim</f>
        <v>0</v>
      </c>
      <c r="AN58" s="247" cm="1">
        <f t="array" aca="1" ref="AN58" ca="1">(SUMPRODUCT(Delay_emissions_table[Consumption of Diesel (kg) - Primary Scenario],IF(Delay_emissions_table[Form of Maintenance - Primary Scenario]="Replacement",1,0))*INDEX(Indicators,MATCH('Additional Impact Indicators'!$A58,Materials!$D:$D,0),MATCH("diesel combustion",Materials!$1:$1,0))+SUMPRODUCT(Delay_emissions_table[Consumption of Petrol (kg) - Primary Scenario],IF(Delay_emissions_table[Form of Maintenance - Primary Scenario]="Replacement",1,0))*INDEX(Indicators,MATCH('Additional Impact Indicators'!$A58,Materials!$D:$D,0),MATCH("petrol combustion",Materials!$1:$1,0))+IFERROR(SUMPRODUCT(TRANSPOSE(INDEX(elec_project_emissions,MATCH(Elec_scenario&amp;'Additional Impact Indicators'!$B58,INDEX(Electricity_projection,0,3),0)-1,0)),Delay_emissions_table[Consumption of electricity (MJ) - Primary Scenario],IF(Delay_emissions_table[Form of Maintenance - Primary Scenario]="Replacement",1,0)),0))*Area_trans*Time_adj_Prim</f>
        <v>0</v>
      </c>
      <c r="AO58" s="248" t="e" cm="1">
        <f t="array" ref="AO5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8" s="248" t="e" cm="1">
        <f t="array" ref="AP5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8" s="249" t="e" cm="1">
        <f t="array" ref="AQ5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8" s="386" t="e" cm="1">
        <f t="array" ref="AR5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8" t="e">
        <f ca="1">SUMIF('Additional Impact Indicators'!$G58:$AQ58,"&lt;&gt;#N/A")</f>
        <v>#DIV/0!</v>
      </c>
      <c r="AW58" t="s">
        <v>552</v>
      </c>
      <c r="AX58" t="s">
        <v>553</v>
      </c>
      <c r="AY58" t="str">
        <f t="shared" si="2"/>
        <v>A2</v>
      </c>
      <c r="AZ58" t="s">
        <v>485</v>
      </c>
      <c r="BB58">
        <f>MATCH(Table3[[#This Row],[Indicator]],Material_Impacts[Look up],0)</f>
        <v>102</v>
      </c>
      <c r="BC58" s="246" cm="1">
        <f t="array" aca="1" ref="BC5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8" s="166" cm="1">
        <f t="array" ref="BD5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8" s="166" t="e">
        <f>Diesel_RawM_Sec*INDEX(Indicators,MATCH(Impacts_Additional[[#This Row],[Indicator]],Materials!$D:$D,0),MATCH("Diesel Combustion",Materials!$1:$1,0))*Diesel_density*Project_Area*Sec_Lays*Area_trans</f>
        <v>#DIV/0!</v>
      </c>
      <c r="BF58" s="35" t="e" cm="1">
        <f t="array" aca="1" ref="BF5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8" s="35" t="e" cm="1">
        <f t="array" aca="1" ref="BG5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8" t="e" cm="1">
        <f t="array" aca="1" ref="BH5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8" s="35" t="e" cm="1">
        <f t="array" aca="1" ref="BI5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8" s="35" t="e" cm="1">
        <f t="array" aca="1" ref="BJ5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8" t="e" cm="1">
        <f t="array" aca="1" ref="BK5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8" s="35" t="e" cm="1">
        <f t="array" aca="1" ref="BL5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8" s="35" t="e" cm="1">
        <f t="array" aca="1" ref="BM5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8" t="e" cm="1">
        <f t="array" aca="1" ref="BN5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8" s="35" t="e" cm="1">
        <f t="array" aca="1" ref="BO5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8" s="35" t="e" cm="1">
        <f t="array" aca="1" ref="BP5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8" t="e" cm="1">
        <f t="array" aca="1" ref="BQ5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8" s="35" t="e" cm="1">
        <f t="array" aca="1" ref="BR5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8" s="35" t="e" cm="1">
        <f t="array" aca="1" ref="BS5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8" t="e" cm="1">
        <f t="array" aca="1" ref="BT5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8" s="35" t="e" cm="1">
        <f t="array" aca="1" ref="BU5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8" s="35" t="e" cm="1">
        <f t="array" aca="1" ref="BV5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8" t="e" cm="1">
        <f t="array" aca="1" ref="BW5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8" s="35" t="e" cm="1">
        <f t="array" aca="1" ref="BX5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8" s="35" t="e" cm="1">
        <f t="array" aca="1" ref="BY5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8" t="e" cm="1">
        <f t="array" aca="1" ref="BZ5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8" s="35" t="e" cm="1">
        <f t="array" aca="1" ref="CA5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8" s="35" t="e" cm="1">
        <f t="array" aca="1" ref="CB5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8" t="e" cm="1">
        <f t="array" aca="1" ref="CC5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8" s="35" t="e" cm="1">
        <f t="array" aca="1" ref="CD5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8" s="35" t="e" cm="1">
        <f t="array" aca="1" ref="CE5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8" t="e" cm="1">
        <f t="array" aca="1" ref="CF5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8" s="166" cm="1">
        <f t="array" aca="1" ref="CG58" ca="1">((E_modulus_Sec/40114)^-0.25)*((Subgrade_stiffness_Sec/35)^-0.25)*((Surface_thickness_Sec/0.22)^-0.75)*Area_trans*delflec_switch*SUM((INDEX(PVI_vehicle_EFC,1,1)/INDEX(PVI_fuel_energy_density,1,1))*(INDEX(Indicators,MATCH('Additional Impact Indicators'!$A58,Materials!$D:$D,0),MATCH("diesel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Indicators'!$A58,Materials!$D:$D,0),MATCH("petrol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Indicators'!$A58,Materials!$D:$D,0),MATCH("diesel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Indicators'!$A58,Materials!$D:$D,0),MATCH("petrol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Indicators'!$A58,Materials!$D:$D,0),MATCH("bio-diesel combustion",Materials!$1:$1,0))*((1-enviro_disc)^Handle_years)*Handle_electricity_emissions:OFFSET(Handle_electricity_emissions,0,Results_timespan-1)^0)*OFFSET(Handle_traffic_fleet,6,0):OFFSET(Handle_traffic_fleet,6,Results_timespan-1))</f>
        <v>0</v>
      </c>
      <c r="CH58" s="375" cm="1">
        <f t="array" aca="1" ref="CH5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8" s="247" cm="1">
        <f t="array" aca="1" ref="CI58" ca="1">(SUMPRODUCT(Delay_emissions_table[Consumption of Diesel (kg) - Secondary Scenario],IF(Delay_emissions_table[Form of Maintenance - Secondary Scenario]="Life Extension",1,0))*INDEX(Indicators,MATCH('Additional Impact Indicators'!$A58,Materials!$D:$D,0),MATCH("diesel combustion",Materials!$1:$1,0))+SUMPRODUCT(Delay_emissions_table[Consumption of Petrol (kg) - Secondary Scenario],IF(Delay_emissions_table[Form of Maintenance - Secondary Scenario]="Life Extension",1,0))*INDEX(Indicators,MATCH('Additional Impact Indicators'!$A58,Materials!$D:$D,0),MATCH("petrol combustion",Materials!$1:$1,0))+IFERROR(SUMPRODUCT(TRANSPOSE(INDEX(elec_project_emissions,MATCH(Elec_scenario&amp;'Additional Impact Indicators'!$B58,INDEX(Electricity_projection,0,3),0)-1,0)),Delay_emissions_table[Consumption of electricity (MJ) - Secondary Scenario],IF(Delay_emissions_table[Form of Maintenance - Secondary Scenario]="Life Extension",1,0)),0))*Area_trans*time_adj_Sec</f>
        <v>0</v>
      </c>
      <c r="CJ58" s="247" cm="1">
        <f t="array" aca="1" ref="CJ58" ca="1">(SUMPRODUCT(Delay_emissions_table[Consumption of Diesel (kg) - Secondary Scenario],IF(Delay_emissions_table[Form of Maintenance - Secondary Scenario]="Replacement",1,0))*INDEX(Indicators,MATCH('Additional Impact Indicators'!$A58,Materials!$D:$D,0),MATCH("diesel combustion",Materials!$1:$1,0))+SUMPRODUCT(Delay_emissions_table[Consumption of Petrol (kg) - Secondary Scenario],IF(Delay_emissions_table[Form of Maintenance - Secondary Scenario]="Replacement",1,0))*INDEX(Indicators,MATCH('Additional Impact Indicators'!$A58,Materials!$D:$D,0),MATCH("petrol combustion",Materials!$1:$1,0))+IFERROR(SUMPRODUCT(TRANSPOSE(INDEX(elec_project_emissions,MATCH(Elec_scenario&amp;'Additional Impact Indicators'!$B58,INDEX(Electricity_projection,0,3),0)-1,0)),Delay_emissions_table[Consumption of electricity (MJ) - Secondary Scenario],IF(Delay_emissions_table[Form of Maintenance - Secondary Scenario]="Replacement",1,0)),0))*Area_trans*time_adj_Sec</f>
        <v>0</v>
      </c>
      <c r="CK58" s="248" t="e" cm="1">
        <f t="array" ref="CK5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8" s="248" t="e" cm="1">
        <f t="array" ref="CL5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8" s="249" t="e" cm="1">
        <f t="array" ref="CM5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8" s="387" t="e" cm="1">
        <f t="array" ref="CN5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8" s="51" t="e">
        <f ca="1">SUMIF(Table3[[#This Row],[Raw-Materials]:[Transport to recycling facility]],"&lt;&gt;#N/A")</f>
        <v>#DIV/0!</v>
      </c>
      <c r="CT58" t="s">
        <v>552</v>
      </c>
      <c r="CU58" t="s">
        <v>553</v>
      </c>
      <c r="CV58" t="str">
        <f t="shared" si="3"/>
        <v>A2</v>
      </c>
      <c r="CW58" t="s">
        <v>485</v>
      </c>
      <c r="CY58">
        <f>MATCH(Table611[[#This Row],[Indicator]],Material_Impacts[Look up],0)</f>
        <v>102</v>
      </c>
      <c r="CZ58" s="246" cm="1">
        <f t="array" aca="1" ref="CZ5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8" s="166" cm="1">
        <f t="array" ref="DA5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8" s="166" t="e">
        <f>Diesel_RawM_Tert*INDEX(Indicators,MATCH(Impacts_Additional[[#This Row],[Indicator]],Materials!$D:$D,0),MATCH("Diesel Combustion",Materials!$1:$1,0))*Diesel_density*Project_Area*Tert_Lays*Area_trans</f>
        <v>#DIV/0!</v>
      </c>
      <c r="DC58" s="35" t="e" cm="1">
        <f t="array" aca="1" ref="DC5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8" s="35" t="e" cm="1">
        <f t="array" aca="1" ref="DD5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8" t="e" cm="1">
        <f t="array" aca="1" ref="DE5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8" s="35" t="e" cm="1">
        <f t="array" aca="1" ref="DF5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8" s="35" t="e" cm="1">
        <f t="array" aca="1" ref="DG5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8" t="e" cm="1">
        <f t="array" aca="1" ref="DH5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8" s="35" t="e" cm="1">
        <f t="array" aca="1" ref="DI5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8" s="35" t="e" cm="1">
        <f t="array" aca="1" ref="DJ5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8" t="e" cm="1">
        <f t="array" aca="1" ref="DK5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8" s="35" t="e" cm="1">
        <f t="array" aca="1" ref="DL5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8" s="35" t="e" cm="1">
        <f t="array" aca="1" ref="DM5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8" t="e" cm="1">
        <f t="array" aca="1" ref="DN5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8" s="35" t="e" cm="1">
        <f t="array" aca="1" ref="DO5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8" s="35" t="e" cm="1">
        <f t="array" aca="1" ref="DP5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8" t="e" cm="1">
        <f t="array" aca="1" ref="DQ5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8" s="35" t="e" cm="1">
        <f t="array" aca="1" ref="DR5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8" s="35" t="e" cm="1">
        <f t="array" aca="1" ref="DS5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8" t="e" cm="1">
        <f t="array" aca="1" ref="DT5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8" s="35" t="e" cm="1">
        <f t="array" aca="1" ref="DU5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8" s="35" t="e" cm="1">
        <f t="array" aca="1" ref="DV5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8" t="e" cm="1">
        <f t="array" aca="1" ref="DW5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8" s="35" t="e" cm="1">
        <f t="array" aca="1" ref="DX5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8" s="35" t="e" cm="1">
        <f t="array" aca="1" ref="DY5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8" t="e" cm="1">
        <f t="array" aca="1" ref="DZ5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8" s="35" t="e" cm="1">
        <f t="array" aca="1" ref="EA5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8" s="35" t="e" cm="1">
        <f t="array" aca="1" ref="EB5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8" t="e" cm="1">
        <f t="array" aca="1" ref="EC5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8" s="166" cm="1">
        <f t="array" aca="1" ref="ED58" ca="1">((E_modulus_Tert/40114)^-0.25)*((Subgrade_stiffness_Tert/35)^-0.25)*((Surface_thickness_Tert/0.22)^-0.75)*Area_trans*delflec_switch*SUM((INDEX(PVI_vehicle_EFC,1,1)/INDEX(PVI_fuel_energy_density,1,1))*(INDEX(Indicators,MATCH('Additional Impact Indicators'!$A58,Materials!$D:$D,0),MATCH("diesel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Indicators'!$A58,Materials!$D:$D,0),MATCH("petrol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Indicators'!$A58,Materials!$D:$D,0),MATCH("diesel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Indicators'!$A58,Materials!$D:$D,0),MATCH("petrol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Indicators'!$A58,Materials!$D:$D,0),MATCH("bio-diesel combustion",Materials!$1:$1,0))*((1-enviro_disc)^Handle_years)*Handle_electricity_emissions:OFFSET(Handle_electricity_emissions,0,Results_timespan-1)^0)*OFFSET(Handle_traffic_fleet,6,0):OFFSET(Handle_traffic_fleet,6,Results_timespan-1))</f>
        <v>0</v>
      </c>
      <c r="EE58" s="375" cm="1">
        <f t="array" aca="1" ref="EE5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8" s="247" cm="1">
        <f t="array" aca="1" ref="EF58" ca="1">(SUMPRODUCT(Delay_emissions_table[Consumption of Diesel (kg) - Tertiary Scenario],IF(Delay_emissions_table[Form of Maintenance - Tertiary Scenario]="Life Extension",1,0))*INDEX(Indicators,MATCH('Additional Impact Indicators'!$A58,Materials!$D:$D,0),MATCH("diesel combustion",Materials!$1:$1,0))+SUMPRODUCT(Delay_emissions_table[Consumption of Petrol (kg) - Tertiary Scenario],IF(Delay_emissions_table[Form of Maintenance - Tertiary Scenario]="Life Extension",1,0))*INDEX(Indicators,MATCH('Additional Impact Indicators'!$A58,Materials!$D:$D,0),MATCH("petrol combustion",Materials!$1:$1,0))+IFERROR(SUMPRODUCT(TRANSPOSE(INDEX(elec_project_emissions,MATCH(Elec_scenario&amp;'Additional Impact Indicators'!$B58,INDEX(Electricity_projection,0,3),0)-1,0)),Delay_emissions_table[Consumption of electricity (MJ) - Tertiary Scenario],IF(Delay_emissions_table[Form of Maintenance - Tertiary Scenario]="Life Extension",1,0)),0))*Area_trans*Time_adj_Tert</f>
        <v>0</v>
      </c>
      <c r="EG58" s="247" cm="1">
        <f t="array" aca="1" ref="EG58" ca="1">(SUMPRODUCT(Delay_emissions_table[Consumption of Diesel (kg) - Tertiary Scenario],IF(Delay_emissions_table[Form of Maintenance - Tertiary Scenario]="Replacement",1,0))*INDEX(Indicators,MATCH('Additional Impact Indicators'!$A58,Materials!$D:$D,0),MATCH("diesel combustion",Materials!$1:$1,0))+SUMPRODUCT(Delay_emissions_table[Consumption of Petrol (kg) - Tertiary Scenario],IF(Delay_emissions_table[Form of Maintenance - Tertiary Scenario]="Replacement",1,0))*INDEX(Indicators,MATCH('Additional Impact Indicators'!$A58,Materials!$D:$D,0),MATCH("petrol combustion",Materials!$1:$1,0))+IFERROR(SUMPRODUCT(TRANSPOSE(INDEX(elec_project_emissions,MATCH(Elec_scenario&amp;'Additional Impact Indicators'!$B58,INDEX(Electricity_projection,0,3),0)-1,0)),Delay_emissions_table[Consumption of electricity (MJ) - Tertiary Scenario],IF(Delay_emissions_table[Form of Maintenance - Tertiary Scenario]="Replacement",1,0)),0))*Area_trans*Time_adj_Tert</f>
        <v>0</v>
      </c>
      <c r="EH58" s="248" t="e" cm="1">
        <f t="array" ref="EH5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8" s="248" t="e" cm="1">
        <f t="array" ref="EI5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8" s="249" t="e" cm="1">
        <f t="array" ref="EJ5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8" s="249" t="e" cm="1">
        <f t="array" ref="EK5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8" t="e">
        <f ca="1">SUMIF(Table611[[#This Row],[Raw-Materials]:[Transport to recycling facility]],"&lt;&gt;#N/A")</f>
        <v>#DIV/0!</v>
      </c>
    </row>
    <row r="59" spans="1:142" x14ac:dyDescent="0.35">
      <c r="A59" s="155" t="s">
        <v>554</v>
      </c>
      <c r="B59" s="155" t="s">
        <v>424</v>
      </c>
      <c r="C59" s="155" t="str">
        <f t="shared" si="1"/>
        <v>A2</v>
      </c>
      <c r="D59" s="155" t="s">
        <v>485</v>
      </c>
      <c r="E59" s="155"/>
      <c r="F59">
        <f>MATCH(Impacts_Additional[[#This Row],[Indicator]],Material_Impacts[Look up],0)</f>
        <v>103</v>
      </c>
      <c r="G59" s="246" cm="1">
        <f t="array" aca="1" ref="G5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59" s="165" cm="1">
        <f t="array" ref="H5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59" s="165" t="e">
        <f>Diesel_RawM_Prim*INDEX(Indicators,MATCH(Impacts_Additional[[#This Row],[Indicator]],Materials!$D:$D,0),MATCH("Diesel Combustion",Materials!$1:$1,0))*Diesel_density*Project_Area*Prim_Lays*Area_trans</f>
        <v>#DIV/0!</v>
      </c>
      <c r="J59" s="250" t="e" cm="1">
        <f t="array" aca="1" ref="J5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59" s="250" t="e" cm="1">
        <f t="array" aca="1" ref="K5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59" s="250" t="e" cm="1">
        <f t="array" aca="1" ref="L5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59" s="250" t="e" cm="1">
        <f t="array" aca="1" ref="M5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59" s="250" t="e" cm="1">
        <f t="array" aca="1" ref="N5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59" s="250" t="e" cm="1">
        <f t="array" aca="1" ref="O5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59" s="250" t="e" cm="1">
        <f t="array" aca="1" ref="P5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59" s="250" t="e" cm="1">
        <f t="array" aca="1" ref="Q5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59" s="250" t="e" cm="1">
        <f t="array" aca="1" ref="R5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59" s="250" t="e" cm="1">
        <f t="array" aca="1" ref="S5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59" s="250" t="e" cm="1">
        <f t="array" aca="1" ref="T5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59" s="250" t="e" cm="1">
        <f t="array" aca="1" ref="U5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59" s="250" t="e" cm="1">
        <f t="array" aca="1" ref="V5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59" s="250" t="e" cm="1">
        <f t="array" aca="1" ref="W5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59" s="250" t="e" cm="1">
        <f t="array" aca="1" ref="X5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59" s="250" t="e" cm="1">
        <f t="array" aca="1" ref="Y5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59" s="250" t="e" cm="1">
        <f t="array" aca="1" ref="Z5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59" s="250" t="e" cm="1">
        <f t="array" aca="1" ref="AA5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59" s="250" t="e" cm="1">
        <f t="array" aca="1" ref="AB5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59" s="250" t="e" cm="1">
        <f t="array" aca="1" ref="AC5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59" s="250" t="e" cm="1">
        <f t="array" aca="1" ref="AD5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59" s="250" t="e" cm="1">
        <f t="array" aca="1" ref="AE5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59" s="250" t="e" cm="1">
        <f t="array" aca="1" ref="AF5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59" s="250" t="e" cm="1">
        <f t="array" aca="1" ref="AG5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59" s="250" t="e" cm="1">
        <f t="array" aca="1" ref="AH5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59" s="250" t="e" cm="1">
        <f t="array" aca="1" ref="AI5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59" s="250" t="e" cm="1">
        <f t="array" aca="1" ref="AJ5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59" s="165" cm="1">
        <f t="array" aca="1" ref="AK59" ca="1">((E_modulus_Prim/40114)^-0.25)*((Subgrade_stiffness_Prim/35)^-0.25)*((Surface_thickness_Prim/0.22)^-0.75)*Area_trans*delflec_switch*SUM((INDEX(PVI_vehicle_EFC,1,1)/INDEX(PVI_fuel_energy_density,1,1))*(INDEX(Indicators,MATCH('Additional Impact Indicators'!$A59,Materials!$D:$D,0),MATCH("diesel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Indicators'!$A59,Materials!$D:$D,0),MATCH("petrol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Indicators'!$A59,Materials!$D:$D,0),MATCH("diesel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Indicators'!$A59,Materials!$D:$D,0),MATCH("petrol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Indicators'!$A59,Materials!$D:$D,0),MATCH("bio-diesel combustion",Materials!$1:$1,0))*((1-enviro_disc)^Handle_years)*Handle_electricity_emissions:OFFSET(Handle_electricity_emissions,0,Results_timespan-1)^0)*OFFSET(Handle_traffic_fleet,6,0):OFFSET(Handle_traffic_fleet,6,Results_timespan-1))</f>
        <v>0</v>
      </c>
      <c r="AL59" s="165" cm="1">
        <f t="array" aca="1" ref="AL5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59" s="251" cm="1">
        <f t="array" aca="1" ref="AM59" ca="1">(SUMPRODUCT(Delay_emissions_table[Consumption of Diesel (kg) - Primary Scenario],IF(Delay_emissions_table[Form of Maintenance - Primary Scenario]="Life Extension",1,0))*INDEX(Indicators,MATCH('Additional Impact Indicators'!$A59,Materials!$D:$D,0),MATCH("diesel combustion",Materials!$1:$1,0))+SUMPRODUCT(Delay_emissions_table[Consumption of Petrol (kg) - Primary Scenario],IF(Delay_emissions_table[Form of Maintenance - Primary Scenario]="Life Extension",1,0))*INDEX(Indicators,MATCH('Additional Impact Indicators'!$A59,Materials!$D:$D,0),MATCH("petrol combustion",Materials!$1:$1,0))+IFERROR(SUMPRODUCT(TRANSPOSE(INDEX(elec_project_emissions,MATCH(Elec_scenario&amp;'Additional Impact Indicators'!$B59,INDEX(Electricity_projection,0,3),0)-1,0)),Delay_emissions_table[Consumption of electricity (MJ) - Primary Scenario],IF(Delay_emissions_table[Form of Maintenance - Primary Scenario]="Life Extension",1,0)),0))*Area_trans*Time_adj_Prim</f>
        <v>0</v>
      </c>
      <c r="AN59" s="251" cm="1">
        <f t="array" aca="1" ref="AN59" ca="1">(SUMPRODUCT(Delay_emissions_table[Consumption of Diesel (kg) - Primary Scenario],IF(Delay_emissions_table[Form of Maintenance - Primary Scenario]="Replacement",1,0))*INDEX(Indicators,MATCH('Additional Impact Indicators'!$A59,Materials!$D:$D,0),MATCH("diesel combustion",Materials!$1:$1,0))+SUMPRODUCT(Delay_emissions_table[Consumption of Petrol (kg) - Primary Scenario],IF(Delay_emissions_table[Form of Maintenance - Primary Scenario]="Replacement",1,0))*INDEX(Indicators,MATCH('Additional Impact Indicators'!$A59,Materials!$D:$D,0),MATCH("petrol combustion",Materials!$1:$1,0))+IFERROR(SUMPRODUCT(TRANSPOSE(INDEX(elec_project_emissions,MATCH(Elec_scenario&amp;'Additional Impact Indicators'!$B59,INDEX(Electricity_projection,0,3),0)-1,0)),Delay_emissions_table[Consumption of electricity (MJ) - Primary Scenario],IF(Delay_emissions_table[Form of Maintenance - Primary Scenario]="Replacement",1,0)),0))*Area_trans*Time_adj_Prim</f>
        <v>0</v>
      </c>
      <c r="AO59" s="252" t="e" cm="1">
        <f t="array" ref="AO5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59" s="252" t="e" cm="1">
        <f t="array" ref="AP5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59" s="253" t="e" cm="1">
        <f t="array" ref="AQ5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59" s="385" t="e" cm="1">
        <f t="array" ref="AR5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59" t="e">
        <f ca="1">SUMIF('Additional Impact Indicators'!$G59:$AQ59,"&lt;&gt;#N/A")</f>
        <v>#DIV/0!</v>
      </c>
      <c r="AW59" s="155" t="s">
        <v>554</v>
      </c>
      <c r="AX59" s="155" t="s">
        <v>424</v>
      </c>
      <c r="AY59" s="155" t="str">
        <f t="shared" si="2"/>
        <v>A2</v>
      </c>
      <c r="AZ59" s="155" t="s">
        <v>485</v>
      </c>
      <c r="BA59" s="155"/>
      <c r="BB59" s="155">
        <f>MATCH(Table3[[#This Row],[Indicator]],Material_Impacts[Look up],0)</f>
        <v>103</v>
      </c>
      <c r="BC59" s="246" cm="1">
        <f t="array" aca="1" ref="BC5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59" s="165" cm="1">
        <f t="array" ref="BD5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59" s="165" t="e">
        <f>Diesel_RawM_Sec*INDEX(Indicators,MATCH(Impacts_Additional[[#This Row],[Indicator]],Materials!$D:$D,0),MATCH("Diesel Combustion",Materials!$1:$1,0))*Diesel_density*Project_Area*Sec_Lays*Area_trans</f>
        <v>#DIV/0!</v>
      </c>
      <c r="BF59" s="35" t="e" cm="1">
        <f t="array" aca="1" ref="BF5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59" s="35" t="e" cm="1">
        <f t="array" aca="1" ref="BG5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59" t="e" cm="1">
        <f t="array" aca="1" ref="BH5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59" s="35" t="e" cm="1">
        <f t="array" aca="1" ref="BI5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59" s="35" t="e" cm="1">
        <f t="array" aca="1" ref="BJ5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59" t="e" cm="1">
        <f t="array" aca="1" ref="BK5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59" s="35" t="e" cm="1">
        <f t="array" aca="1" ref="BL5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59" s="35" t="e" cm="1">
        <f t="array" aca="1" ref="BM5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59" t="e" cm="1">
        <f t="array" aca="1" ref="BN5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59" s="35" t="e" cm="1">
        <f t="array" aca="1" ref="BO5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59" s="35" t="e" cm="1">
        <f t="array" aca="1" ref="BP5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59" t="e" cm="1">
        <f t="array" aca="1" ref="BQ5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59" s="35" t="e" cm="1">
        <f t="array" aca="1" ref="BR5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59" s="35" t="e" cm="1">
        <f t="array" aca="1" ref="BS5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59" t="e" cm="1">
        <f t="array" aca="1" ref="BT5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59" s="35" t="e" cm="1">
        <f t="array" aca="1" ref="BU5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59" s="35" t="e" cm="1">
        <f t="array" aca="1" ref="BV5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59" t="e" cm="1">
        <f t="array" aca="1" ref="BW5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59" s="35" t="e" cm="1">
        <f t="array" aca="1" ref="BX5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59" s="35" t="e" cm="1">
        <f t="array" aca="1" ref="BY5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59" t="e" cm="1">
        <f t="array" aca="1" ref="BZ5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59" s="35" t="e" cm="1">
        <f t="array" aca="1" ref="CA5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59" s="35" t="e" cm="1">
        <f t="array" aca="1" ref="CB5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59" t="e" cm="1">
        <f t="array" aca="1" ref="CC5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59" s="35" t="e" cm="1">
        <f t="array" aca="1" ref="CD5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59" s="35" t="e" cm="1">
        <f t="array" aca="1" ref="CE5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59" t="e" cm="1">
        <f t="array" aca="1" ref="CF5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59" s="165" cm="1">
        <f t="array" aca="1" ref="CG59" ca="1">((E_modulus_Sec/40114)^-0.25)*((Subgrade_stiffness_Sec/35)^-0.25)*((Surface_thickness_Sec/0.22)^-0.75)*Area_trans*delflec_switch*SUM((INDEX(PVI_vehicle_EFC,1,1)/INDEX(PVI_fuel_energy_density,1,1))*(INDEX(Indicators,MATCH('Additional Impact Indicators'!$A59,Materials!$D:$D,0),MATCH("diesel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Indicators'!$A59,Materials!$D:$D,0),MATCH("petrol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Indicators'!$A59,Materials!$D:$D,0),MATCH("diesel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Indicators'!$A59,Materials!$D:$D,0),MATCH("petrol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Indicators'!$A59,Materials!$D:$D,0),MATCH("bio-diesel combustion",Materials!$1:$1,0))*((1-enviro_disc)^Handle_years)*Handle_electricity_emissions:OFFSET(Handle_electricity_emissions,0,Results_timespan-1)^0)*OFFSET(Handle_traffic_fleet,6,0):OFFSET(Handle_traffic_fleet,6,Results_timespan-1))</f>
        <v>0</v>
      </c>
      <c r="CH59" s="375" cm="1">
        <f t="array" aca="1" ref="CH5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59" s="251" cm="1">
        <f t="array" aca="1" ref="CI59" ca="1">(SUMPRODUCT(Delay_emissions_table[Consumption of Diesel (kg) - Secondary Scenario],IF(Delay_emissions_table[Form of Maintenance - Secondary Scenario]="Life Extension",1,0))*INDEX(Indicators,MATCH('Additional Impact Indicators'!$A59,Materials!$D:$D,0),MATCH("diesel combustion",Materials!$1:$1,0))+SUMPRODUCT(Delay_emissions_table[Consumption of Petrol (kg) - Secondary Scenario],IF(Delay_emissions_table[Form of Maintenance - Secondary Scenario]="Life Extension",1,0))*INDEX(Indicators,MATCH('Additional Impact Indicators'!$A59,Materials!$D:$D,0),MATCH("petrol combustion",Materials!$1:$1,0))+IFERROR(SUMPRODUCT(TRANSPOSE(INDEX(elec_project_emissions,MATCH(Elec_scenario&amp;'Additional Impact Indicators'!$B59,INDEX(Electricity_projection,0,3),0)-1,0)),Delay_emissions_table[Consumption of electricity (MJ) - Secondary Scenario],IF(Delay_emissions_table[Form of Maintenance - Secondary Scenario]="Life Extension",1,0)),0))*Area_trans*time_adj_Sec</f>
        <v>0</v>
      </c>
      <c r="CJ59" s="251" cm="1">
        <f t="array" aca="1" ref="CJ59" ca="1">(SUMPRODUCT(Delay_emissions_table[Consumption of Diesel (kg) - Secondary Scenario],IF(Delay_emissions_table[Form of Maintenance - Secondary Scenario]="Replacement",1,0))*INDEX(Indicators,MATCH('Additional Impact Indicators'!$A59,Materials!$D:$D,0),MATCH("diesel combustion",Materials!$1:$1,0))+SUMPRODUCT(Delay_emissions_table[Consumption of Petrol (kg) - Secondary Scenario],IF(Delay_emissions_table[Form of Maintenance - Secondary Scenario]="Replacement",1,0))*INDEX(Indicators,MATCH('Additional Impact Indicators'!$A59,Materials!$D:$D,0),MATCH("petrol combustion",Materials!$1:$1,0))+IFERROR(SUMPRODUCT(TRANSPOSE(INDEX(elec_project_emissions,MATCH(Elec_scenario&amp;'Additional Impact Indicators'!$B59,INDEX(Electricity_projection,0,3),0)-1,0)),Delay_emissions_table[Consumption of electricity (MJ) - Secondary Scenario],IF(Delay_emissions_table[Form of Maintenance - Secondary Scenario]="Replacement",1,0)),0))*Area_trans*time_adj_Sec</f>
        <v>0</v>
      </c>
      <c r="CK59" s="252" t="e" cm="1">
        <f t="array" ref="CK5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59" s="252" t="e" cm="1">
        <f t="array" ref="CL5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59" s="253" t="e" cm="1">
        <f t="array" ref="CM5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59" s="387" t="e" cm="1">
        <f t="array" ref="CN5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59" s="51" t="e">
        <f ca="1">SUMIF(Table3[[#This Row],[Raw-Materials]:[Transport to recycling facility]],"&lt;&gt;#N/A")</f>
        <v>#DIV/0!</v>
      </c>
      <c r="CT59" t="s">
        <v>554</v>
      </c>
      <c r="CU59" t="s">
        <v>424</v>
      </c>
      <c r="CV59" t="str">
        <f t="shared" si="3"/>
        <v>A2</v>
      </c>
      <c r="CW59" t="s">
        <v>485</v>
      </c>
      <c r="CY59">
        <f>MATCH(Table611[[#This Row],[Indicator]],Material_Impacts[Look up],0)</f>
        <v>103</v>
      </c>
      <c r="CZ59" s="246" cm="1">
        <f t="array" aca="1" ref="CZ5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59" s="165" cm="1">
        <f t="array" ref="DA5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59" s="165" t="e">
        <f>Diesel_RawM_Tert*INDEX(Indicators,MATCH(Impacts_Additional[[#This Row],[Indicator]],Materials!$D:$D,0),MATCH("Diesel Combustion",Materials!$1:$1,0))*Diesel_density*Project_Area*Tert_Lays*Area_trans</f>
        <v>#DIV/0!</v>
      </c>
      <c r="DC59" s="35" t="e" cm="1">
        <f t="array" aca="1" ref="DC5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59" s="35" t="e" cm="1">
        <f t="array" aca="1" ref="DD5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59" t="e" cm="1">
        <f t="array" aca="1" ref="DE5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59" s="35" t="e" cm="1">
        <f t="array" aca="1" ref="DF5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59" s="35" t="e" cm="1">
        <f t="array" aca="1" ref="DG5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59" t="e" cm="1">
        <f t="array" aca="1" ref="DH5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59" s="35" t="e" cm="1">
        <f t="array" aca="1" ref="DI5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59" s="35" t="e" cm="1">
        <f t="array" aca="1" ref="DJ5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59" t="e" cm="1">
        <f t="array" aca="1" ref="DK5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59" s="35" t="e" cm="1">
        <f t="array" aca="1" ref="DL5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59" s="35" t="e" cm="1">
        <f t="array" aca="1" ref="DM5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59" t="e" cm="1">
        <f t="array" aca="1" ref="DN5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59" s="35" t="e" cm="1">
        <f t="array" aca="1" ref="DO5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59" s="35" t="e" cm="1">
        <f t="array" aca="1" ref="DP5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59" t="e" cm="1">
        <f t="array" aca="1" ref="DQ5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59" s="35" t="e" cm="1">
        <f t="array" aca="1" ref="DR5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59" s="35" t="e" cm="1">
        <f t="array" aca="1" ref="DS5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59" t="e" cm="1">
        <f t="array" aca="1" ref="DT5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59" s="35" t="e" cm="1">
        <f t="array" aca="1" ref="DU5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59" s="35" t="e" cm="1">
        <f t="array" aca="1" ref="DV5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59" t="e" cm="1">
        <f t="array" aca="1" ref="DW5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59" s="35" t="e" cm="1">
        <f t="array" aca="1" ref="DX5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59" s="35" t="e" cm="1">
        <f t="array" aca="1" ref="DY5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59" t="e" cm="1">
        <f t="array" aca="1" ref="DZ5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59" s="35" t="e" cm="1">
        <f t="array" aca="1" ref="EA5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59" s="35" t="e" cm="1">
        <f t="array" aca="1" ref="EB5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59" t="e" cm="1">
        <f t="array" aca="1" ref="EC5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59" s="165" cm="1">
        <f t="array" aca="1" ref="ED59" ca="1">((E_modulus_Tert/40114)^-0.25)*((Subgrade_stiffness_Tert/35)^-0.25)*((Surface_thickness_Tert/0.22)^-0.75)*Area_trans*delflec_switch*SUM((INDEX(PVI_vehicle_EFC,1,1)/INDEX(PVI_fuel_energy_density,1,1))*(INDEX(Indicators,MATCH('Additional Impact Indicators'!$A59,Materials!$D:$D,0),MATCH("diesel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Additional Impact Indicators'!$A59,Materials!$D:$D,0),MATCH("petrol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Additional Impact Indicators'!$A59,Materials!$D:$D,0),MATCH("diesel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Additional Impact Indicators'!$A59,Materials!$D:$D,0),MATCH("petrol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Additional Impact Indicators'!$A59,Materials!$D:$D,0),MATCH("bio-diesel combustion",Materials!$1:$1,0))*((1-enviro_disc)^Handle_years)*Handle_electricity_emissions:OFFSET(Handle_electricity_emissions,0,Results_timespan-1)^0)*OFFSET(Handle_traffic_fleet,6,0):OFFSET(Handle_traffic_fleet,6,Results_timespan-1))</f>
        <v>0</v>
      </c>
      <c r="EE59" s="375" cm="1">
        <f t="array" aca="1" ref="EE5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59" s="251" cm="1">
        <f t="array" aca="1" ref="EF59" ca="1">(SUMPRODUCT(Delay_emissions_table[Consumption of Diesel (kg) - Tertiary Scenario],IF(Delay_emissions_table[Form of Maintenance - Tertiary Scenario]="Life Extension",1,0))*INDEX(Indicators,MATCH('Additional Impact Indicators'!$A59,Materials!$D:$D,0),MATCH("diesel combustion",Materials!$1:$1,0))+SUMPRODUCT(Delay_emissions_table[Consumption of Petrol (kg) - Tertiary Scenario],IF(Delay_emissions_table[Form of Maintenance - Tertiary Scenario]="Life Extension",1,0))*INDEX(Indicators,MATCH('Additional Impact Indicators'!$A59,Materials!$D:$D,0),MATCH("petrol combustion",Materials!$1:$1,0))+IFERROR(SUMPRODUCT(TRANSPOSE(INDEX(elec_project_emissions,MATCH(Elec_scenario&amp;'Additional Impact Indicators'!$B59,INDEX(Electricity_projection,0,3),0)-1,0)),Delay_emissions_table[Consumption of electricity (MJ) - Tertiary Scenario],IF(Delay_emissions_table[Form of Maintenance - Tertiary Scenario]="Life Extension",1,0)),0))*Area_trans*Time_adj_Tert</f>
        <v>0</v>
      </c>
      <c r="EG59" s="251" cm="1">
        <f t="array" aca="1" ref="EG59" ca="1">(SUMPRODUCT(Delay_emissions_table[Consumption of Diesel (kg) - Tertiary Scenario],IF(Delay_emissions_table[Form of Maintenance - Tertiary Scenario]="Replacement",1,0))*INDEX(Indicators,MATCH('Additional Impact Indicators'!$A59,Materials!$D:$D,0),MATCH("diesel combustion",Materials!$1:$1,0))+SUMPRODUCT(Delay_emissions_table[Consumption of Petrol (kg) - Tertiary Scenario],IF(Delay_emissions_table[Form of Maintenance - Tertiary Scenario]="Replacement",1,0))*INDEX(Indicators,MATCH('Additional Impact Indicators'!$A59,Materials!$D:$D,0),MATCH("petrol combustion",Materials!$1:$1,0))+IFERROR(SUMPRODUCT(TRANSPOSE(INDEX(elec_project_emissions,MATCH(Elec_scenario&amp;'Additional Impact Indicators'!$B59,INDEX(Electricity_projection,0,3),0)-1,0)),Delay_emissions_table[Consumption of electricity (MJ) - Tertiary Scenario],IF(Delay_emissions_table[Form of Maintenance - Tertiary Scenario]="Replacement",1,0)),0))*Area_trans*Time_adj_Tert</f>
        <v>0</v>
      </c>
      <c r="EH59" s="252" t="e" cm="1">
        <f t="array" ref="EH5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59" s="252" t="e" cm="1">
        <f t="array" ref="EI5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59" s="253" t="e" cm="1">
        <f t="array" ref="EJ5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59" s="253" t="e" cm="1">
        <f t="array" ref="EK5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59" t="e">
        <f ca="1">SUMIF(Table611[[#This Row],[Raw-Materials]:[Transport to recycling facility]],"&lt;&gt;#N/A")</f>
        <v>#DIV/0!</v>
      </c>
    </row>
    <row r="60" spans="1:142" x14ac:dyDescent="0.35">
      <c r="A60" t="s">
        <v>555</v>
      </c>
      <c r="B60" t="s">
        <v>556</v>
      </c>
      <c r="C60" t="str">
        <f t="shared" si="1"/>
        <v>A2</v>
      </c>
      <c r="D60" t="s">
        <v>485</v>
      </c>
      <c r="F60">
        <f>MATCH(Impacts_Additional[[#This Row],[Indicator]],Material_Impacts[Look up],0)</f>
        <v>104</v>
      </c>
      <c r="G60" s="246" cm="1">
        <f t="array" aca="1" ref="G6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0" s="166" cm="1">
        <f t="array" ref="H6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0" s="166" t="e">
        <f>Diesel_RawM_Prim*INDEX(Indicators,MATCH(Impacts_Additional[[#This Row],[Indicator]],Materials!$D:$D,0),MATCH("Diesel Combustion",Materials!$1:$1,0))*Diesel_density*Project_Area*Prim_Lays*Area_trans</f>
        <v>#DIV/0!</v>
      </c>
      <c r="J60" s="20" t="e" cm="1">
        <f t="array" aca="1" ref="J6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0" s="20" t="e" cm="1">
        <f t="array" aca="1" ref="K6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0" s="20" t="e" cm="1">
        <f t="array" aca="1" ref="L6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0" s="20" t="e" cm="1">
        <f t="array" aca="1" ref="M6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0" s="20" t="e" cm="1">
        <f t="array" aca="1" ref="N6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0" s="20" t="e" cm="1">
        <f t="array" aca="1" ref="O6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0" s="20" t="e" cm="1">
        <f t="array" aca="1" ref="P6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0" s="20" t="e" cm="1">
        <f t="array" aca="1" ref="Q6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0" s="20" t="e" cm="1">
        <f t="array" aca="1" ref="R6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0" s="20" t="e" cm="1">
        <f t="array" aca="1" ref="S6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0" s="20" t="e" cm="1">
        <f t="array" aca="1" ref="T6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0" s="20" t="e" cm="1">
        <f t="array" aca="1" ref="U6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0" s="20" t="e" cm="1">
        <f t="array" aca="1" ref="V6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0" s="20" t="e" cm="1">
        <f t="array" aca="1" ref="W6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0" s="20" t="e" cm="1">
        <f t="array" aca="1" ref="X6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0" s="20" t="e" cm="1">
        <f t="array" aca="1" ref="Y6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0" s="20" t="e" cm="1">
        <f t="array" aca="1" ref="Z6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0" s="20" t="e" cm="1">
        <f t="array" aca="1" ref="AA6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0" s="20" t="e" cm="1">
        <f t="array" aca="1" ref="AB6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0" s="20" t="e" cm="1">
        <f t="array" aca="1" ref="AC6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0" s="20" t="e" cm="1">
        <f t="array" aca="1" ref="AD6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0" s="20" t="e" cm="1">
        <f t="array" aca="1" ref="AE6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0" s="20" t="e" cm="1">
        <f t="array" aca="1" ref="AF6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0" s="20" t="e" cm="1">
        <f t="array" aca="1" ref="AG6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0" s="20" t="e" cm="1">
        <f t="array" aca="1" ref="AH6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0" s="20" t="e" cm="1">
        <f t="array" aca="1" ref="AI6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0" s="20" t="e" cm="1">
        <f t="array" aca="1" ref="AJ6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0" s="166"/>
      <c r="AL60" s="166" cm="1">
        <f t="array" aca="1" ref="AL6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0" s="247" cm="1">
        <f t="array" aca="1" ref="AM60" ca="1">(SUMPRODUCT(Delay_emissions_table[Consumption of Diesel (kg) - Primary Scenario],IF(Delay_emissions_table[Form of Maintenance - Primary Scenario]="Life Extension",1,0))*INDEX(Indicators,MATCH('Additional Impact Indicators'!$A60,Materials!$D:$D,0),MATCH("diesel combustion",Materials!$1:$1,0))+SUMPRODUCT(Delay_emissions_table[Consumption of Petrol (kg) - Primary Scenario],IF(Delay_emissions_table[Form of Maintenance - Primary Scenario]="Life Extension",1,0))*INDEX(Indicators,MATCH('Additional Impact Indicators'!$A60,Materials!$D:$D,0),MATCH("petrol combustion",Materials!$1:$1,0))+IFERROR(SUMPRODUCT(TRANSPOSE(INDEX(elec_project_emissions,MATCH(Elec_scenario&amp;'Additional Impact Indicators'!$B60,INDEX(Electricity_projection,0,3),0)-1,0)),Delay_emissions_table[Consumption of electricity (MJ) - Primary Scenario],IF(Delay_emissions_table[Form of Maintenance - Primary Scenario]="Life Extension",1,0)),0))*Area_trans*Time_adj_Prim</f>
        <v>0</v>
      </c>
      <c r="AN60" s="247" cm="1">
        <f t="array" aca="1" ref="AN60" ca="1">(SUMPRODUCT(Delay_emissions_table[Consumption of Diesel (kg) - Primary Scenario],IF(Delay_emissions_table[Form of Maintenance - Primary Scenario]="Replacement",1,0))*INDEX(Indicators,MATCH('Additional Impact Indicators'!$A60,Materials!$D:$D,0),MATCH("diesel combustion",Materials!$1:$1,0))+SUMPRODUCT(Delay_emissions_table[Consumption of Petrol (kg) - Primary Scenario],IF(Delay_emissions_table[Form of Maintenance - Primary Scenario]="Replacement",1,0))*INDEX(Indicators,MATCH('Additional Impact Indicators'!$A60,Materials!$D:$D,0),MATCH("petrol combustion",Materials!$1:$1,0))+IFERROR(SUMPRODUCT(TRANSPOSE(INDEX(elec_project_emissions,MATCH(Elec_scenario&amp;'Additional Impact Indicators'!$B60,INDEX(Electricity_projection,0,3),0)-1,0)),Delay_emissions_table[Consumption of electricity (MJ) - Primary Scenario],IF(Delay_emissions_table[Form of Maintenance - Primary Scenario]="Replacement",1,0)),0))*Area_trans*Time_adj_Prim</f>
        <v>0</v>
      </c>
      <c r="AO60" s="248" t="e" cm="1">
        <f t="array" ref="AO6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0" s="248" t="e" cm="1">
        <f t="array" ref="AP6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0" s="249" t="e" cm="1">
        <f t="array" ref="AQ6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0" s="386" t="e" cm="1">
        <f t="array" ref="AR6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0" t="e">
        <f ca="1">SUMIF('Additional Impact Indicators'!$G60:$AQ60,"&lt;&gt;#N/A")</f>
        <v>#DIV/0!</v>
      </c>
      <c r="AW60" t="s">
        <v>555</v>
      </c>
      <c r="AX60" t="s">
        <v>556</v>
      </c>
      <c r="AY60" t="str">
        <f t="shared" si="2"/>
        <v>A2</v>
      </c>
      <c r="AZ60" t="s">
        <v>485</v>
      </c>
      <c r="BB60">
        <f>MATCH(Table3[[#This Row],[Indicator]],Material_Impacts[Look up],0)</f>
        <v>104</v>
      </c>
      <c r="BC60" s="246" cm="1">
        <f t="array" aca="1" ref="BC6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0" s="166" cm="1">
        <f t="array" ref="BD6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0" s="166" t="e">
        <f>Diesel_RawM_Sec*INDEX(Indicators,MATCH(Impacts_Additional[[#This Row],[Indicator]],Materials!$D:$D,0),MATCH("Diesel Combustion",Materials!$1:$1,0))*Diesel_density*Project_Area*Sec_Lays*Area_trans</f>
        <v>#DIV/0!</v>
      </c>
      <c r="BF60" s="35" t="e" cm="1">
        <f t="array" aca="1" ref="BF6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0" s="35" t="e" cm="1">
        <f t="array" aca="1" ref="BG6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0" t="e" cm="1">
        <f t="array" aca="1" ref="BH6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0" s="35" t="e" cm="1">
        <f t="array" aca="1" ref="BI6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0" s="35" t="e" cm="1">
        <f t="array" aca="1" ref="BJ6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0" t="e" cm="1">
        <f t="array" aca="1" ref="BK6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0" s="35" t="e" cm="1">
        <f t="array" aca="1" ref="BL6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0" s="35" t="e" cm="1">
        <f t="array" aca="1" ref="BM6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0" t="e" cm="1">
        <f t="array" aca="1" ref="BN6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0" s="35" t="e" cm="1">
        <f t="array" aca="1" ref="BO6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0" s="35" t="e" cm="1">
        <f t="array" aca="1" ref="BP6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0" t="e" cm="1">
        <f t="array" aca="1" ref="BQ6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0" s="35" t="e" cm="1">
        <f t="array" aca="1" ref="BR6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0" s="35" t="e" cm="1">
        <f t="array" aca="1" ref="BS6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0" t="e" cm="1">
        <f t="array" aca="1" ref="BT6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0" s="35" t="e" cm="1">
        <f t="array" aca="1" ref="BU6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0" s="35" t="e" cm="1">
        <f t="array" aca="1" ref="BV6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0" t="e" cm="1">
        <f t="array" aca="1" ref="BW6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0" s="35" t="e" cm="1">
        <f t="array" aca="1" ref="BX6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0" s="35" t="e" cm="1">
        <f t="array" aca="1" ref="BY6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0" t="e" cm="1">
        <f t="array" aca="1" ref="BZ6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0" s="35" t="e" cm="1">
        <f t="array" aca="1" ref="CA6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0" s="35" t="e" cm="1">
        <f t="array" aca="1" ref="CB6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0" t="e" cm="1">
        <f t="array" aca="1" ref="CC6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0" s="35" t="e" cm="1">
        <f t="array" aca="1" ref="CD6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0" s="35" t="e" cm="1">
        <f t="array" aca="1" ref="CE6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0" t="e" cm="1">
        <f t="array" aca="1" ref="CF6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0" s="166"/>
      <c r="CH60" s="375" cm="1">
        <f t="array" aca="1" ref="CH6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0" s="247" cm="1">
        <f t="array" aca="1" ref="CI60" ca="1">(SUMPRODUCT(Delay_emissions_table[Consumption of Diesel (kg) - Secondary Scenario],IF(Delay_emissions_table[Form of Maintenance - Secondary Scenario]="Life Extension",1,0))*INDEX(Indicators,MATCH('Additional Impact Indicators'!$A60,Materials!$D:$D,0),MATCH("diesel combustion",Materials!$1:$1,0))+SUMPRODUCT(Delay_emissions_table[Consumption of Petrol (kg) - Secondary Scenario],IF(Delay_emissions_table[Form of Maintenance - Secondary Scenario]="Life Extension",1,0))*INDEX(Indicators,MATCH('Additional Impact Indicators'!$A60,Materials!$D:$D,0),MATCH("petrol combustion",Materials!$1:$1,0))+IFERROR(SUMPRODUCT(TRANSPOSE(INDEX(elec_project_emissions,MATCH(Elec_scenario&amp;'Additional Impact Indicators'!$B60,INDEX(Electricity_projection,0,3),0)-1,0)),Delay_emissions_table[Consumption of electricity (MJ) - Secondary Scenario],IF(Delay_emissions_table[Form of Maintenance - Secondary Scenario]="Life Extension",1,0)),0))*Area_trans*time_adj_Sec</f>
        <v>0</v>
      </c>
      <c r="CJ60" s="247" cm="1">
        <f t="array" aca="1" ref="CJ60" ca="1">(SUMPRODUCT(Delay_emissions_table[Consumption of Diesel (kg) - Secondary Scenario],IF(Delay_emissions_table[Form of Maintenance - Secondary Scenario]="Replacement",1,0))*INDEX(Indicators,MATCH('Additional Impact Indicators'!$A60,Materials!$D:$D,0),MATCH("diesel combustion",Materials!$1:$1,0))+SUMPRODUCT(Delay_emissions_table[Consumption of Petrol (kg) - Secondary Scenario],IF(Delay_emissions_table[Form of Maintenance - Secondary Scenario]="Replacement",1,0))*INDEX(Indicators,MATCH('Additional Impact Indicators'!$A60,Materials!$D:$D,0),MATCH("petrol combustion",Materials!$1:$1,0))+IFERROR(SUMPRODUCT(TRANSPOSE(INDEX(elec_project_emissions,MATCH(Elec_scenario&amp;'Additional Impact Indicators'!$B60,INDEX(Electricity_projection,0,3),0)-1,0)),Delay_emissions_table[Consumption of electricity (MJ) - Secondary Scenario],IF(Delay_emissions_table[Form of Maintenance - Secondary Scenario]="Replacement",1,0)),0))*Area_trans*time_adj_Sec</f>
        <v>0</v>
      </c>
      <c r="CK60" s="248" t="e" cm="1">
        <f t="array" ref="CK6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0" s="248" t="e" cm="1">
        <f t="array" ref="CL6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0" s="249" t="e" cm="1">
        <f t="array" ref="CM6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0" s="387" t="e" cm="1">
        <f t="array" ref="CN6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0" s="51" t="e">
        <f ca="1">SUMIF(Table3[[#This Row],[Raw-Materials]:[Transport to recycling facility]],"&lt;&gt;#N/A")</f>
        <v>#DIV/0!</v>
      </c>
      <c r="CT60" t="s">
        <v>555</v>
      </c>
      <c r="CU60" t="s">
        <v>556</v>
      </c>
      <c r="CV60" t="str">
        <f t="shared" si="3"/>
        <v>A2</v>
      </c>
      <c r="CW60" t="s">
        <v>485</v>
      </c>
      <c r="CY60">
        <f>MATCH(Table611[[#This Row],[Indicator]],Material_Impacts[Look up],0)</f>
        <v>104</v>
      </c>
      <c r="CZ60" s="246" cm="1">
        <f t="array" aca="1" ref="CZ6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0" s="166" cm="1">
        <f t="array" ref="DA6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0" s="166" t="e">
        <f>Diesel_RawM_Tert*INDEX(Indicators,MATCH(Impacts_Additional[[#This Row],[Indicator]],Materials!$D:$D,0),MATCH("Diesel Combustion",Materials!$1:$1,0))*Diesel_density*Project_Area*Tert_Lays*Area_trans</f>
        <v>#DIV/0!</v>
      </c>
      <c r="DC60" s="35" t="e" cm="1">
        <f t="array" aca="1" ref="DC6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0" s="35" t="e" cm="1">
        <f t="array" aca="1" ref="DD6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0" t="e" cm="1">
        <f t="array" aca="1" ref="DE6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0" s="35" t="e" cm="1">
        <f t="array" aca="1" ref="DF6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0" s="35" t="e" cm="1">
        <f t="array" aca="1" ref="DG6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0" t="e" cm="1">
        <f t="array" aca="1" ref="DH6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0" s="35" t="e" cm="1">
        <f t="array" aca="1" ref="DI6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0" s="35" t="e" cm="1">
        <f t="array" aca="1" ref="DJ6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0" t="e" cm="1">
        <f t="array" aca="1" ref="DK6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0" s="35" t="e" cm="1">
        <f t="array" aca="1" ref="DL6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0" s="35" t="e" cm="1">
        <f t="array" aca="1" ref="DM6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0" t="e" cm="1">
        <f t="array" aca="1" ref="DN6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0" s="35" t="e" cm="1">
        <f t="array" aca="1" ref="DO6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0" s="35" t="e" cm="1">
        <f t="array" aca="1" ref="DP6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0" t="e" cm="1">
        <f t="array" aca="1" ref="DQ6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0" s="35" t="e" cm="1">
        <f t="array" aca="1" ref="DR6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0" s="35" t="e" cm="1">
        <f t="array" aca="1" ref="DS6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0" t="e" cm="1">
        <f t="array" aca="1" ref="DT6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0" s="35" t="e" cm="1">
        <f t="array" aca="1" ref="DU6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0" s="35" t="e" cm="1">
        <f t="array" aca="1" ref="DV6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0" t="e" cm="1">
        <f t="array" aca="1" ref="DW6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0" s="35" t="e" cm="1">
        <f t="array" aca="1" ref="DX6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0" s="35" t="e" cm="1">
        <f t="array" aca="1" ref="DY6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0" t="e" cm="1">
        <f t="array" aca="1" ref="DZ6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0" s="35" t="e" cm="1">
        <f t="array" aca="1" ref="EA6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0" s="35" t="e" cm="1">
        <f t="array" aca="1" ref="EB6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0" t="e" cm="1">
        <f t="array" aca="1" ref="EC6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0" s="166"/>
      <c r="EE60" s="375" cm="1">
        <f t="array" aca="1" ref="EE6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0" s="247" cm="1">
        <f t="array" aca="1" ref="EF60" ca="1">(SUMPRODUCT(Delay_emissions_table[Consumption of Diesel (kg) - Tertiary Scenario],IF(Delay_emissions_table[Form of Maintenance - Tertiary Scenario]="Life Extension",1,0))*INDEX(Indicators,MATCH('Additional Impact Indicators'!$A60,Materials!$D:$D,0),MATCH("diesel combustion",Materials!$1:$1,0))+SUMPRODUCT(Delay_emissions_table[Consumption of Petrol (kg) - Tertiary Scenario],IF(Delay_emissions_table[Form of Maintenance - Tertiary Scenario]="Life Extension",1,0))*INDEX(Indicators,MATCH('Additional Impact Indicators'!$A60,Materials!$D:$D,0),MATCH("petrol combustion",Materials!$1:$1,0))+IFERROR(SUMPRODUCT(TRANSPOSE(INDEX(elec_project_emissions,MATCH(Elec_scenario&amp;'Additional Impact Indicators'!$B60,INDEX(Electricity_projection,0,3),0)-1,0)),Delay_emissions_table[Consumption of electricity (MJ) - Tertiary Scenario],IF(Delay_emissions_table[Form of Maintenance - Tertiary Scenario]="Life Extension",1,0)),0))*Area_trans*Time_adj_Tert</f>
        <v>0</v>
      </c>
      <c r="EG60" s="247" cm="1">
        <f t="array" aca="1" ref="EG60" ca="1">(SUMPRODUCT(Delay_emissions_table[Consumption of Diesel (kg) - Tertiary Scenario],IF(Delay_emissions_table[Form of Maintenance - Tertiary Scenario]="Replacement",1,0))*INDEX(Indicators,MATCH('Additional Impact Indicators'!$A60,Materials!$D:$D,0),MATCH("diesel combustion",Materials!$1:$1,0))+SUMPRODUCT(Delay_emissions_table[Consumption of Petrol (kg) - Tertiary Scenario],IF(Delay_emissions_table[Form of Maintenance - Tertiary Scenario]="Replacement",1,0))*INDEX(Indicators,MATCH('Additional Impact Indicators'!$A60,Materials!$D:$D,0),MATCH("petrol combustion",Materials!$1:$1,0))+IFERROR(SUMPRODUCT(TRANSPOSE(INDEX(elec_project_emissions,MATCH(Elec_scenario&amp;'Additional Impact Indicators'!$B60,INDEX(Electricity_projection,0,3),0)-1,0)),Delay_emissions_table[Consumption of electricity (MJ) - Tertiary Scenario],IF(Delay_emissions_table[Form of Maintenance - Tertiary Scenario]="Replacement",1,0)),0))*Area_trans*Time_adj_Tert</f>
        <v>0</v>
      </c>
      <c r="EH60" s="248" t="e" cm="1">
        <f t="array" ref="EH6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0" s="248" t="e" cm="1">
        <f t="array" ref="EI6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0" s="249" t="e" cm="1">
        <f t="array" ref="EJ6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0" s="249" t="e" cm="1">
        <f t="array" ref="EK6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0" t="e">
        <f ca="1">SUMIF(Table611[[#This Row],[Raw-Materials]:[Transport to recycling facility]],"&lt;&gt;#N/A")</f>
        <v>#DIV/0!</v>
      </c>
    </row>
    <row r="61" spans="1:142" x14ac:dyDescent="0.35">
      <c r="A61" s="155" t="s">
        <v>557</v>
      </c>
      <c r="B61" s="155" t="s">
        <v>379</v>
      </c>
      <c r="C61" s="155" t="str">
        <f t="shared" si="1"/>
        <v>A1</v>
      </c>
      <c r="D61" s="155" t="s">
        <v>54</v>
      </c>
      <c r="E61" s="155"/>
      <c r="F61">
        <f>MATCH(Impacts_Additional[[#This Row],[Indicator]],Material_Impacts[Look up],0)</f>
        <v>1</v>
      </c>
      <c r="G61" s="246" cm="1">
        <f t="array" aca="1" ref="G6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1" s="165" cm="1">
        <f t="array" ref="H6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1" s="165" t="e">
        <f>Diesel_RawM_Prim*INDEX(Indicators,MATCH(Impacts_Additional[[#This Row],[Indicator]],Materials!$D:$D,0),MATCH("Diesel Combustion",Materials!$1:$1,0))*Diesel_density*Project_Area*Prim_Lays*Area_trans</f>
        <v>#DIV/0!</v>
      </c>
      <c r="J61" s="250" t="e" cm="1">
        <f t="array" aca="1" ref="J6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1" s="250" t="e" cm="1">
        <f t="array" aca="1" ref="K6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1" s="250" t="e" cm="1">
        <f t="array" aca="1" ref="L6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1" s="250" t="e" cm="1">
        <f t="array" aca="1" ref="M6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1" s="250" t="e" cm="1">
        <f t="array" aca="1" ref="N6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1" s="250" t="e" cm="1">
        <f t="array" aca="1" ref="O6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1" s="250" t="e" cm="1">
        <f t="array" aca="1" ref="P6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1" s="250" t="e" cm="1">
        <f t="array" aca="1" ref="Q6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1" s="250" t="e" cm="1">
        <f t="array" aca="1" ref="R6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1" s="250" t="e" cm="1">
        <f t="array" aca="1" ref="S6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1" s="250" t="e" cm="1">
        <f t="array" aca="1" ref="T6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1" s="250" t="e" cm="1">
        <f t="array" aca="1" ref="U6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1" s="250" t="e" cm="1">
        <f t="array" aca="1" ref="V6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1" s="250" t="e" cm="1">
        <f t="array" aca="1" ref="W6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1" s="250" t="e" cm="1">
        <f t="array" aca="1" ref="X6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1" s="250" t="e" cm="1">
        <f t="array" aca="1" ref="Y6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1" s="250" t="e" cm="1">
        <f t="array" aca="1" ref="Z6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1" s="250" t="e" cm="1">
        <f t="array" aca="1" ref="AA6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1" s="250" t="e" cm="1">
        <f t="array" aca="1" ref="AB6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1" s="250" t="e" cm="1">
        <f t="array" aca="1" ref="AC6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1" s="250" t="e" cm="1">
        <f t="array" aca="1" ref="AD6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1" s="250" t="e" cm="1">
        <f t="array" aca="1" ref="AE6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1" s="250" t="e" cm="1">
        <f t="array" aca="1" ref="AF6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1" s="250" t="e" cm="1">
        <f t="array" aca="1" ref="AG6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1" s="250" t="e" cm="1">
        <f t="array" aca="1" ref="AH6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1" s="250" t="e" cm="1">
        <f t="array" aca="1" ref="AI6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1" s="250" t="e" cm="1">
        <f t="array" aca="1" ref="AJ6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1" s="165" cm="1">
        <f t="array" aca="1" ref="AK61"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61" s="254" cm="1">
        <f t="array" aca="1" ref="AL6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1" s="251" cm="1">
        <f t="array" aca="1" ref="AM61" ca="1">(SUMPRODUCT(Delay_emissions_table[Consumption of Diesel (kg) - Primary Scenario],IF(Delay_emissions_table[Form of Maintenance - Primary Scenario]="Life Extension",1,0))*INDEX(Indicators,MATCH('Additional Impact Indicators'!$A61,Materials!$D:$D,0),MATCH("diesel combustion",Materials!$1:$1,0))+SUMPRODUCT(Delay_emissions_table[Consumption of Petrol (kg) - Primary Scenario],IF(Delay_emissions_table[Form of Maintenance - Primary Scenario]="Life Extension",1,0))*INDEX(Indicators,MATCH('Additional Impact Indicators'!$A61,Materials!$D:$D,0),MATCH("petrol combustion",Materials!$1:$1,0))+IFERROR(SUMPRODUCT(TRANSPOSE(INDEX(elec_project_emissions,MATCH(Elec_scenario&amp;'Additional Impact Indicators'!$B61,INDEX(Electricity_projection,0,3),0)-1,0)),Delay_emissions_table[Consumption of electricity (MJ) - Primary Scenario],IF(Delay_emissions_table[Form of Maintenance - Primary Scenario]="Life Extension",1,0)),0))*Area_trans*Time_adj_Prim</f>
        <v>0</v>
      </c>
      <c r="AN61" s="251" cm="1">
        <f t="array" aca="1" ref="AN61" ca="1">(SUMPRODUCT(Delay_emissions_table[Consumption of Diesel (kg) - Primary Scenario],IF(Delay_emissions_table[Form of Maintenance - Primary Scenario]="Replacement",1,0))*INDEX(Indicators,MATCH('Additional Impact Indicators'!$A61,Materials!$D:$D,0),MATCH("diesel combustion",Materials!$1:$1,0))+SUMPRODUCT(Delay_emissions_table[Consumption of Petrol (kg) - Primary Scenario],IF(Delay_emissions_table[Form of Maintenance - Primary Scenario]="Replacement",1,0))*INDEX(Indicators,MATCH('Additional Impact Indicators'!$A61,Materials!$D:$D,0),MATCH("petrol combustion",Materials!$1:$1,0))+IFERROR(SUMPRODUCT(TRANSPOSE(INDEX(elec_project_emissions,MATCH(Elec_scenario&amp;'Additional Impact Indicators'!$B61,INDEX(Electricity_projection,0,3),0)-1,0)),Delay_emissions_table[Consumption of electricity (MJ) - Primary Scenario],IF(Delay_emissions_table[Form of Maintenance - Primary Scenario]="Replacement",1,0)),0))*Area_trans*Time_adj_Prim</f>
        <v>0</v>
      </c>
      <c r="AO61" s="252" t="e" cm="1">
        <f t="array" ref="AO6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1" s="252" t="e" cm="1">
        <f t="array" ref="AP6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1" s="253" t="e" cm="1">
        <f t="array" ref="AQ6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1" s="385" t="e" cm="1">
        <f t="array" ref="AR6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1" t="e">
        <f ca="1">SUMIF('Additional Impact Indicators'!$G61:$AQ61,"&lt;&gt;#N/A")</f>
        <v>#DIV/0!</v>
      </c>
      <c r="AW61" s="155" t="s">
        <v>557</v>
      </c>
      <c r="AX61" s="155" t="s">
        <v>379</v>
      </c>
      <c r="AY61" t="str">
        <f t="shared" ref="AY61:AY92" si="4">IF(ISNUMBER(SEARCH("A1",AW61)),"A1","A2")</f>
        <v>A1</v>
      </c>
      <c r="AZ61" s="155" t="s">
        <v>54</v>
      </c>
      <c r="BB61">
        <f>MATCH(Table3[[#This Row],[Indicator]],Material_Impacts[Look up],0)</f>
        <v>1</v>
      </c>
      <c r="BC61" s="246" cm="1">
        <f t="array" aca="1" ref="BC6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1" s="165" cm="1">
        <f t="array" ref="BD6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1" s="165" t="e">
        <f>Diesel_RawM_Sec*INDEX(Indicators,MATCH(Impacts_Additional[[#This Row],[Indicator]],Materials!$D:$D,0),MATCH("Diesel Combustion",Materials!$1:$1,0))*Diesel_density*Project_Area*Sec_Lays*Area_trans</f>
        <v>#DIV/0!</v>
      </c>
      <c r="BF61" s="35" t="e" cm="1">
        <f t="array" aca="1" ref="BF6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1" s="35" t="e" cm="1">
        <f t="array" aca="1" ref="BG6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1" t="e" cm="1">
        <f t="array" aca="1" ref="BH6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1" s="35" t="e" cm="1">
        <f t="array" aca="1" ref="BI6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1" s="35" t="e" cm="1">
        <f t="array" aca="1" ref="BJ6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1" t="e" cm="1">
        <f t="array" aca="1" ref="BK6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1" s="35" t="e" cm="1">
        <f t="array" aca="1" ref="BL6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1" s="35" t="e" cm="1">
        <f t="array" aca="1" ref="BM6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1" t="e" cm="1">
        <f t="array" aca="1" ref="BN6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1" s="35" t="e" cm="1">
        <f t="array" aca="1" ref="BO6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1" s="35" t="e" cm="1">
        <f t="array" aca="1" ref="BP6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1" t="e" cm="1">
        <f t="array" aca="1" ref="BQ6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1" s="35" t="e" cm="1">
        <f t="array" aca="1" ref="BR6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1" s="35" t="e" cm="1">
        <f t="array" aca="1" ref="BS6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1" t="e" cm="1">
        <f t="array" aca="1" ref="BT6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1" s="35" t="e" cm="1">
        <f t="array" aca="1" ref="BU6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1" s="35" t="e" cm="1">
        <f t="array" aca="1" ref="BV6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1" t="e" cm="1">
        <f t="array" aca="1" ref="BW6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1" s="35" t="e" cm="1">
        <f t="array" aca="1" ref="BX6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1" s="35" t="e" cm="1">
        <f t="array" aca="1" ref="BY6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1" t="e" cm="1">
        <f t="array" aca="1" ref="BZ6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1" s="35" t="e" cm="1">
        <f t="array" aca="1" ref="CA6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1" s="35" t="e" cm="1">
        <f t="array" aca="1" ref="CB6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1" t="e" cm="1">
        <f t="array" aca="1" ref="CC6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1" s="35" t="e" cm="1">
        <f t="array" aca="1" ref="CD6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1" s="35" t="e" cm="1">
        <f t="array" aca="1" ref="CE6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1" t="e" cm="1">
        <f t="array" aca="1" ref="CF6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1" s="165" cm="1">
        <f t="array" aca="1" ref="CG61"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61" s="375" cm="1">
        <f t="array" aca="1" ref="CH6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1" s="251" cm="1">
        <f t="array" aca="1" ref="CI61" ca="1">(SUMPRODUCT(Delay_emissions_table[Consumption of Diesel (kg) - Secondary Scenario],IF(Delay_emissions_table[Form of Maintenance - Secondary Scenario]="Life Extension",1,0))*INDEX(Indicators,MATCH('Additional Impact Indicators'!$A61,Materials!$D:$D,0),MATCH("diesel combustion",Materials!$1:$1,0))+SUMPRODUCT(Delay_emissions_table[Consumption of Petrol (kg) - Secondary Scenario],IF(Delay_emissions_table[Form of Maintenance - Secondary Scenario]="Life Extension",1,0))*INDEX(Indicators,MATCH('Additional Impact Indicators'!$A61,Materials!$D:$D,0),MATCH("petrol combustion",Materials!$1:$1,0))+IFERROR(SUMPRODUCT(TRANSPOSE(INDEX(elec_project_emissions,MATCH(Elec_scenario&amp;'Additional Impact Indicators'!$B61,INDEX(Electricity_projection,0,3),0)-1,0)),Delay_emissions_table[Consumption of electricity (MJ) - Secondary Scenario],IF(Delay_emissions_table[Form of Maintenance - Secondary Scenario]="Life Extension",1,0)),0))*Area_trans*time_adj_Sec</f>
        <v>0</v>
      </c>
      <c r="CJ61" s="251" cm="1">
        <f t="array" aca="1" ref="CJ61" ca="1">(SUMPRODUCT(Delay_emissions_table[Consumption of Diesel (kg) - Secondary Scenario],IF(Delay_emissions_table[Form of Maintenance - Secondary Scenario]="Replacement",1,0))*INDEX(Indicators,MATCH('Additional Impact Indicators'!$A61,Materials!$D:$D,0),MATCH("diesel combustion",Materials!$1:$1,0))+SUMPRODUCT(Delay_emissions_table[Consumption of Petrol (kg) - Secondary Scenario],IF(Delay_emissions_table[Form of Maintenance - Secondary Scenario]="Replacement",1,0))*INDEX(Indicators,MATCH('Additional Impact Indicators'!$A61,Materials!$D:$D,0),MATCH("petrol combustion",Materials!$1:$1,0))+IFERROR(SUMPRODUCT(TRANSPOSE(INDEX(elec_project_emissions,MATCH(Elec_scenario&amp;'Additional Impact Indicators'!$B61,INDEX(Electricity_projection,0,3),0)-1,0)),Delay_emissions_table[Consumption of electricity (MJ) - Secondary Scenario],IF(Delay_emissions_table[Form of Maintenance - Secondary Scenario]="Replacement",1,0)),0))*Area_trans*time_adj_Sec</f>
        <v>0</v>
      </c>
      <c r="CK61" s="252" t="e" cm="1">
        <f t="array" ref="CK6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1" s="252" t="e" cm="1">
        <f t="array" ref="CL6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1" s="253" t="e" cm="1">
        <f t="array" ref="CM6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1" s="387" t="e" cm="1">
        <f t="array" ref="CN6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1" s="51" t="e">
        <f ca="1">SUMIF(Table3[[#This Row],[Raw-Materials]:[Transport to recycling facility]],"&lt;&gt;#N/A")</f>
        <v>#DIV/0!</v>
      </c>
      <c r="CT61" t="s">
        <v>557</v>
      </c>
      <c r="CU61" t="s">
        <v>379</v>
      </c>
      <c r="CV61" t="str">
        <f t="shared" si="3"/>
        <v>A1</v>
      </c>
      <c r="CW61" t="s">
        <v>54</v>
      </c>
      <c r="CY61">
        <f>MATCH(Table611[[#This Row],[Indicator]],Material_Impacts[Look up],0)</f>
        <v>1</v>
      </c>
      <c r="CZ61" s="246" cm="1">
        <f t="array" aca="1" ref="CZ6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1" s="165" cm="1">
        <f t="array" ref="DA6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1" s="165" t="e">
        <f>Diesel_RawM_Tert*INDEX(Indicators,MATCH(Impacts_Additional[[#This Row],[Indicator]],Materials!$D:$D,0),MATCH("Diesel Combustion",Materials!$1:$1,0))*Diesel_density*Project_Area*Tert_Lays*Area_trans</f>
        <v>#DIV/0!</v>
      </c>
      <c r="DC61" s="35" t="e" cm="1">
        <f t="array" aca="1" ref="DC6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1" s="35" t="e" cm="1">
        <f t="array" aca="1" ref="DD6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1" t="e" cm="1">
        <f t="array" aca="1" ref="DE6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1" s="35" t="e" cm="1">
        <f t="array" aca="1" ref="DF6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1" s="35" t="e" cm="1">
        <f t="array" aca="1" ref="DG6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1" t="e" cm="1">
        <f t="array" aca="1" ref="DH6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1" s="35" t="e" cm="1">
        <f t="array" aca="1" ref="DI6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1" s="35" t="e" cm="1">
        <f t="array" aca="1" ref="DJ6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1" t="e" cm="1">
        <f t="array" aca="1" ref="DK6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1" s="35" t="e" cm="1">
        <f t="array" aca="1" ref="DL6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1" s="35" t="e" cm="1">
        <f t="array" aca="1" ref="DM6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1" t="e" cm="1">
        <f t="array" aca="1" ref="DN6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1" s="35" t="e" cm="1">
        <f t="array" aca="1" ref="DO6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1" s="35" t="e" cm="1">
        <f t="array" aca="1" ref="DP6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1" t="e" cm="1">
        <f t="array" aca="1" ref="DQ6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1" s="35" t="e" cm="1">
        <f t="array" aca="1" ref="DR6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1" s="35" t="e" cm="1">
        <f t="array" aca="1" ref="DS6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1" t="e" cm="1">
        <f t="array" aca="1" ref="DT6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1" s="35" t="e" cm="1">
        <f t="array" aca="1" ref="DU6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1" s="35" t="e" cm="1">
        <f t="array" aca="1" ref="DV6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1" t="e" cm="1">
        <f t="array" aca="1" ref="DW6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1" s="35" t="e" cm="1">
        <f t="array" aca="1" ref="DX6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1" s="35" t="e" cm="1">
        <f t="array" aca="1" ref="DY6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1" t="e" cm="1">
        <f t="array" aca="1" ref="DZ6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1" s="35" t="e" cm="1">
        <f t="array" aca="1" ref="EA6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1" s="35" t="e" cm="1">
        <f t="array" aca="1" ref="EB6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1" t="e" cm="1">
        <f t="array" aca="1" ref="EC6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1" s="165" cm="1">
        <f t="array" aca="1" ref="ED61"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61" s="375" cm="1">
        <f t="array" aca="1" ref="EE6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1" s="251" cm="1">
        <f t="array" aca="1" ref="EF61" ca="1">(SUMPRODUCT(Delay_emissions_table[Consumption of Diesel (kg) - Tertiary Scenario],IF(Delay_emissions_table[Form of Maintenance - Tertiary Scenario]="Life Extension",1,0))*INDEX(Indicators,MATCH('Additional Impact Indicators'!$A61,Materials!$D:$D,0),MATCH("diesel combustion",Materials!$1:$1,0))+SUMPRODUCT(Delay_emissions_table[Consumption of Petrol (kg) - Tertiary Scenario],IF(Delay_emissions_table[Form of Maintenance - Tertiary Scenario]="Life Extension",1,0))*INDEX(Indicators,MATCH('Additional Impact Indicators'!$A61,Materials!$D:$D,0),MATCH("petrol combustion",Materials!$1:$1,0))+IFERROR(SUMPRODUCT(TRANSPOSE(INDEX(elec_project_emissions,MATCH(Elec_scenario&amp;'Additional Impact Indicators'!$B61,INDEX(Electricity_projection,0,3),0)-1,0)),Delay_emissions_table[Consumption of electricity (MJ) - Tertiary Scenario],IF(Delay_emissions_table[Form of Maintenance - Tertiary Scenario]="Life Extension",1,0)),0))*Area_trans*Time_adj_Tert</f>
        <v>0</v>
      </c>
      <c r="EG61" s="251" cm="1">
        <f t="array" aca="1" ref="EG61" ca="1">(SUMPRODUCT(Delay_emissions_table[Consumption of Diesel (kg) - Tertiary Scenario],IF(Delay_emissions_table[Form of Maintenance - Tertiary Scenario]="Replacement",1,0))*INDEX(Indicators,MATCH('Additional Impact Indicators'!$A61,Materials!$D:$D,0),MATCH("diesel combustion",Materials!$1:$1,0))+SUMPRODUCT(Delay_emissions_table[Consumption of Petrol (kg) - Tertiary Scenario],IF(Delay_emissions_table[Form of Maintenance - Tertiary Scenario]="Replacement",1,0))*INDEX(Indicators,MATCH('Additional Impact Indicators'!$A61,Materials!$D:$D,0),MATCH("petrol combustion",Materials!$1:$1,0))+IFERROR(SUMPRODUCT(TRANSPOSE(INDEX(elec_project_emissions,MATCH(Elec_scenario&amp;'Additional Impact Indicators'!$B61,INDEX(Electricity_projection,0,3),0)-1,0)),Delay_emissions_table[Consumption of electricity (MJ) - Tertiary Scenario],IF(Delay_emissions_table[Form of Maintenance - Tertiary Scenario]="Replacement",1,0)),0))*Area_trans*Time_adj_Tert</f>
        <v>0</v>
      </c>
      <c r="EH61" s="252" t="e" cm="1">
        <f t="array" ref="EH6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1" s="252" t="e" cm="1">
        <f t="array" ref="EI6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1" s="253" t="e" cm="1">
        <f t="array" ref="EJ6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1" s="253" t="e" cm="1">
        <f t="array" ref="EK6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1" t="e">
        <f ca="1">SUMIF(Table611[[#This Row],[Raw-Materials]:[Transport to recycling facility]],"&lt;&gt;#N/A")</f>
        <v>#DIV/0!</v>
      </c>
    </row>
    <row r="62" spans="1:142" x14ac:dyDescent="0.35">
      <c r="A62" t="s">
        <v>558</v>
      </c>
      <c r="B62" t="s">
        <v>391</v>
      </c>
      <c r="C62" t="str">
        <f t="shared" si="1"/>
        <v>A1</v>
      </c>
      <c r="D62" t="s">
        <v>54</v>
      </c>
      <c r="F62">
        <f>MATCH(Impacts_Additional[[#This Row],[Indicator]],Material_Impacts[Look up],0)</f>
        <v>2</v>
      </c>
      <c r="G62" s="246" cm="1">
        <f t="array" aca="1" ref="G6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2" s="166" cm="1">
        <f t="array" ref="H6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2" s="166" t="e">
        <f>Diesel_RawM_Prim*INDEX(Indicators,MATCH(Impacts_Additional[[#This Row],[Indicator]],Materials!$D:$D,0),MATCH("Diesel Combustion",Materials!$1:$1,0))*Diesel_density*Project_Area*Prim_Lays*Area_trans</f>
        <v>#DIV/0!</v>
      </c>
      <c r="J62" s="20" t="e" cm="1">
        <f t="array" aca="1" ref="J6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2" s="20" t="e" cm="1">
        <f t="array" aca="1" ref="K6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2" s="20" t="e" cm="1">
        <f t="array" aca="1" ref="L6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2" s="20" t="e" cm="1">
        <f t="array" aca="1" ref="M6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2" s="20" t="e" cm="1">
        <f t="array" aca="1" ref="N6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2" s="20" t="e" cm="1">
        <f t="array" aca="1" ref="O6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2" s="20" t="e" cm="1">
        <f t="array" aca="1" ref="P6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2" s="20" t="e" cm="1">
        <f t="array" aca="1" ref="Q6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2" s="20" t="e" cm="1">
        <f t="array" aca="1" ref="R6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2" s="20" t="e" cm="1">
        <f t="array" aca="1" ref="S6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2" s="20" t="e" cm="1">
        <f t="array" aca="1" ref="T6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2" s="20" t="e" cm="1">
        <f t="array" aca="1" ref="U6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2" s="20" t="e" cm="1">
        <f t="array" aca="1" ref="V6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2" s="20" t="e" cm="1">
        <f t="array" aca="1" ref="W6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2" s="20" t="e" cm="1">
        <f t="array" aca="1" ref="X6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2" s="20" t="e" cm="1">
        <f t="array" aca="1" ref="Y6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2" s="20" t="e" cm="1">
        <f t="array" aca="1" ref="Z6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2" s="20" t="e" cm="1">
        <f t="array" aca="1" ref="AA6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2" s="20" t="e" cm="1">
        <f t="array" aca="1" ref="AB6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2" s="20" t="e" cm="1">
        <f t="array" aca="1" ref="AC6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2" s="20" t="e" cm="1">
        <f t="array" aca="1" ref="AD6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2" s="20" t="e" cm="1">
        <f t="array" aca="1" ref="AE6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2" s="20" t="e" cm="1">
        <f t="array" aca="1" ref="AF6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2" s="20" t="e" cm="1">
        <f t="array" aca="1" ref="AG6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2" s="20" t="e" cm="1">
        <f t="array" aca="1" ref="AH6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2" s="20" t="e" cm="1">
        <f t="array" aca="1" ref="AI6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2" s="20" t="e" cm="1">
        <f t="array" aca="1" ref="AJ6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2" s="166" cm="1">
        <f t="array" aca="1" ref="AK62"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62" s="1" cm="1">
        <f t="array" aca="1" ref="AL6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2" s="247" cm="1">
        <f t="array" aca="1" ref="AM62" ca="1">(SUMPRODUCT(Delay_emissions_table[Consumption of Diesel (kg) - Primary Scenario],IF(Delay_emissions_table[Form of Maintenance - Primary Scenario]="Life Extension",1,0))*INDEX(Indicators,MATCH('Additional Impact Indicators'!$A62,Materials!$D:$D,0),MATCH("diesel combustion",Materials!$1:$1,0))+SUMPRODUCT(Delay_emissions_table[Consumption of Petrol (kg) - Primary Scenario],IF(Delay_emissions_table[Form of Maintenance - Primary Scenario]="Life Extension",1,0))*INDEX(Indicators,MATCH('Additional Impact Indicators'!$A62,Materials!$D:$D,0),MATCH("petrol combustion",Materials!$1:$1,0))+IFERROR(SUMPRODUCT(TRANSPOSE(INDEX(elec_project_emissions,MATCH(Elec_scenario&amp;'Additional Impact Indicators'!$B62,INDEX(Electricity_projection,0,3),0)-1,0)),Delay_emissions_table[Consumption of electricity (MJ) - Primary Scenario],IF(Delay_emissions_table[Form of Maintenance - Primary Scenario]="Life Extension",1,0)),0))*Area_trans*Time_adj_Prim</f>
        <v>0</v>
      </c>
      <c r="AN62" s="247" cm="1">
        <f t="array" aca="1" ref="AN62" ca="1">(SUMPRODUCT(Delay_emissions_table[Consumption of Diesel (kg) - Primary Scenario],IF(Delay_emissions_table[Form of Maintenance - Primary Scenario]="Replacement",1,0))*INDEX(Indicators,MATCH('Additional Impact Indicators'!$A62,Materials!$D:$D,0),MATCH("diesel combustion",Materials!$1:$1,0))+SUMPRODUCT(Delay_emissions_table[Consumption of Petrol (kg) - Primary Scenario],IF(Delay_emissions_table[Form of Maintenance - Primary Scenario]="Replacement",1,0))*INDEX(Indicators,MATCH('Additional Impact Indicators'!$A62,Materials!$D:$D,0),MATCH("petrol combustion",Materials!$1:$1,0))+IFERROR(SUMPRODUCT(TRANSPOSE(INDEX(elec_project_emissions,MATCH(Elec_scenario&amp;'Additional Impact Indicators'!$B62,INDEX(Electricity_projection,0,3),0)-1,0)),Delay_emissions_table[Consumption of electricity (MJ) - Primary Scenario],IF(Delay_emissions_table[Form of Maintenance - Primary Scenario]="Replacement",1,0)),0))*Area_trans*Time_adj_Prim</f>
        <v>0</v>
      </c>
      <c r="AO62" s="248" t="e" cm="1">
        <f t="array" ref="AO6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2" s="248" t="e" cm="1">
        <f t="array" ref="AP6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2" s="249" t="e" cm="1">
        <f t="array" ref="AQ6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2" s="386" t="e" cm="1">
        <f t="array" ref="AR6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2" t="e">
        <f ca="1">SUMIF('Additional Impact Indicators'!$G62:$AQ62,"&lt;&gt;#N/A")</f>
        <v>#DIV/0!</v>
      </c>
      <c r="AW62" t="s">
        <v>558</v>
      </c>
      <c r="AX62" t="s">
        <v>391</v>
      </c>
      <c r="AY62" t="str">
        <f t="shared" si="4"/>
        <v>A1</v>
      </c>
      <c r="AZ62" t="s">
        <v>54</v>
      </c>
      <c r="BB62">
        <f>MATCH(Table3[[#This Row],[Indicator]],Material_Impacts[Look up],0)</f>
        <v>2</v>
      </c>
      <c r="BC62" s="246" cm="1">
        <f t="array" aca="1" ref="BC6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2" s="166" cm="1">
        <f t="array" ref="BD6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2" s="166" t="e">
        <f>Diesel_RawM_Sec*INDEX(Indicators,MATCH(Impacts_Additional[[#This Row],[Indicator]],Materials!$D:$D,0),MATCH("Diesel Combustion",Materials!$1:$1,0))*Diesel_density*Project_Area*Sec_Lays*Area_trans</f>
        <v>#DIV/0!</v>
      </c>
      <c r="BF62" s="35" t="e" cm="1">
        <f t="array" aca="1" ref="BF6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2" s="35" t="e" cm="1">
        <f t="array" aca="1" ref="BG6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2" t="e" cm="1">
        <f t="array" aca="1" ref="BH6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2" s="35" t="e" cm="1">
        <f t="array" aca="1" ref="BI6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2" s="35" t="e" cm="1">
        <f t="array" aca="1" ref="BJ6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2" t="e" cm="1">
        <f t="array" aca="1" ref="BK6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2" s="35" t="e" cm="1">
        <f t="array" aca="1" ref="BL6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2" s="35" t="e" cm="1">
        <f t="array" aca="1" ref="BM6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2" t="e" cm="1">
        <f t="array" aca="1" ref="BN6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2" s="35" t="e" cm="1">
        <f t="array" aca="1" ref="BO6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2" s="35" t="e" cm="1">
        <f t="array" aca="1" ref="BP6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2" t="e" cm="1">
        <f t="array" aca="1" ref="BQ6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2" s="35" t="e" cm="1">
        <f t="array" aca="1" ref="BR6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2" s="35" t="e" cm="1">
        <f t="array" aca="1" ref="BS6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2" t="e" cm="1">
        <f t="array" aca="1" ref="BT6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2" s="35" t="e" cm="1">
        <f t="array" aca="1" ref="BU6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2" s="35" t="e" cm="1">
        <f t="array" aca="1" ref="BV6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2" t="e" cm="1">
        <f t="array" aca="1" ref="BW6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2" s="35" t="e" cm="1">
        <f t="array" aca="1" ref="BX6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2" s="35" t="e" cm="1">
        <f t="array" aca="1" ref="BY6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2" t="e" cm="1">
        <f t="array" aca="1" ref="BZ6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2" s="35" t="e" cm="1">
        <f t="array" aca="1" ref="CA6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2" s="35" t="e" cm="1">
        <f t="array" aca="1" ref="CB6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2" t="e" cm="1">
        <f t="array" aca="1" ref="CC6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2" s="35" t="e" cm="1">
        <f t="array" aca="1" ref="CD6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2" s="35" t="e" cm="1">
        <f t="array" aca="1" ref="CE6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2" t="e" cm="1">
        <f t="array" aca="1" ref="CF6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2" s="166" cm="1">
        <f t="array" aca="1" ref="CG62"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62" s="375" cm="1">
        <f t="array" aca="1" ref="CH6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2" s="247" cm="1">
        <f t="array" aca="1" ref="CI62" ca="1">(SUMPRODUCT(Delay_emissions_table[Consumption of Diesel (kg) - Secondary Scenario],IF(Delay_emissions_table[Form of Maintenance - Secondary Scenario]="Life Extension",1,0))*INDEX(Indicators,MATCH('Additional Impact Indicators'!$A62,Materials!$D:$D,0),MATCH("diesel combustion",Materials!$1:$1,0))+SUMPRODUCT(Delay_emissions_table[Consumption of Petrol (kg) - Secondary Scenario],IF(Delay_emissions_table[Form of Maintenance - Secondary Scenario]="Life Extension",1,0))*INDEX(Indicators,MATCH('Additional Impact Indicators'!$A62,Materials!$D:$D,0),MATCH("petrol combustion",Materials!$1:$1,0))+IFERROR(SUMPRODUCT(TRANSPOSE(INDEX(elec_project_emissions,MATCH(Elec_scenario&amp;'Additional Impact Indicators'!$B62,INDEX(Electricity_projection,0,3),0)-1,0)),Delay_emissions_table[Consumption of electricity (MJ) - Secondary Scenario],IF(Delay_emissions_table[Form of Maintenance - Secondary Scenario]="Life Extension",1,0)),0))*Area_trans*time_adj_Sec</f>
        <v>0</v>
      </c>
      <c r="CJ62" s="247" cm="1">
        <f t="array" aca="1" ref="CJ62" ca="1">(SUMPRODUCT(Delay_emissions_table[Consumption of Diesel (kg) - Secondary Scenario],IF(Delay_emissions_table[Form of Maintenance - Secondary Scenario]="Replacement",1,0))*INDEX(Indicators,MATCH('Additional Impact Indicators'!$A62,Materials!$D:$D,0),MATCH("diesel combustion",Materials!$1:$1,0))+SUMPRODUCT(Delay_emissions_table[Consumption of Petrol (kg) - Secondary Scenario],IF(Delay_emissions_table[Form of Maintenance - Secondary Scenario]="Replacement",1,0))*INDEX(Indicators,MATCH('Additional Impact Indicators'!$A62,Materials!$D:$D,0),MATCH("petrol combustion",Materials!$1:$1,0))+IFERROR(SUMPRODUCT(TRANSPOSE(INDEX(elec_project_emissions,MATCH(Elec_scenario&amp;'Additional Impact Indicators'!$B62,INDEX(Electricity_projection,0,3),0)-1,0)),Delay_emissions_table[Consumption of electricity (MJ) - Secondary Scenario],IF(Delay_emissions_table[Form of Maintenance - Secondary Scenario]="Replacement",1,0)),0))*Area_trans*time_adj_Sec</f>
        <v>0</v>
      </c>
      <c r="CK62" s="248" t="e" cm="1">
        <f t="array" ref="CK6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2" s="248" t="e" cm="1">
        <f t="array" ref="CL6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2" s="249" t="e" cm="1">
        <f t="array" ref="CM6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2" s="387" t="e" cm="1">
        <f t="array" ref="CN6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2" s="51" t="e">
        <f ca="1">SUMIF(Table3[[#This Row],[Raw-Materials]:[Transport to recycling facility]],"&lt;&gt;#N/A")</f>
        <v>#DIV/0!</v>
      </c>
      <c r="CT62" t="s">
        <v>558</v>
      </c>
      <c r="CU62" t="s">
        <v>391</v>
      </c>
      <c r="CV62" t="str">
        <f t="shared" si="3"/>
        <v>A1</v>
      </c>
      <c r="CW62" t="s">
        <v>54</v>
      </c>
      <c r="CY62">
        <f>MATCH(Table611[[#This Row],[Indicator]],Material_Impacts[Look up],0)</f>
        <v>2</v>
      </c>
      <c r="CZ62" s="246" cm="1">
        <f t="array" aca="1" ref="CZ6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2" s="166" cm="1">
        <f t="array" ref="DA6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2" s="166" t="e">
        <f>Diesel_RawM_Tert*INDEX(Indicators,MATCH(Impacts_Additional[[#This Row],[Indicator]],Materials!$D:$D,0),MATCH("Diesel Combustion",Materials!$1:$1,0))*Diesel_density*Project_Area*Tert_Lays*Area_trans</f>
        <v>#DIV/0!</v>
      </c>
      <c r="DC62" s="35" t="e" cm="1">
        <f t="array" aca="1" ref="DC6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2" s="35" t="e" cm="1">
        <f t="array" aca="1" ref="DD6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2" t="e" cm="1">
        <f t="array" aca="1" ref="DE6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2" s="35" t="e" cm="1">
        <f t="array" aca="1" ref="DF6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2" s="35" t="e" cm="1">
        <f t="array" aca="1" ref="DG6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2" t="e" cm="1">
        <f t="array" aca="1" ref="DH6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2" s="35" t="e" cm="1">
        <f t="array" aca="1" ref="DI6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2" s="35" t="e" cm="1">
        <f t="array" aca="1" ref="DJ6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2" t="e" cm="1">
        <f t="array" aca="1" ref="DK6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2" s="35" t="e" cm="1">
        <f t="array" aca="1" ref="DL6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2" s="35" t="e" cm="1">
        <f t="array" aca="1" ref="DM6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2" t="e" cm="1">
        <f t="array" aca="1" ref="DN6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2" s="35" t="e" cm="1">
        <f t="array" aca="1" ref="DO6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2" s="35" t="e" cm="1">
        <f t="array" aca="1" ref="DP6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2" t="e" cm="1">
        <f t="array" aca="1" ref="DQ6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2" s="35" t="e" cm="1">
        <f t="array" aca="1" ref="DR6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2" s="35" t="e" cm="1">
        <f t="array" aca="1" ref="DS6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2" t="e" cm="1">
        <f t="array" aca="1" ref="DT6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2" s="35" t="e" cm="1">
        <f t="array" aca="1" ref="DU6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2" s="35" t="e" cm="1">
        <f t="array" aca="1" ref="DV6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2" t="e" cm="1">
        <f t="array" aca="1" ref="DW6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2" s="35" t="e" cm="1">
        <f t="array" aca="1" ref="DX6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2" s="35" t="e" cm="1">
        <f t="array" aca="1" ref="DY6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2" t="e" cm="1">
        <f t="array" aca="1" ref="DZ6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2" s="35" t="e" cm="1">
        <f t="array" aca="1" ref="EA6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2" s="35" t="e" cm="1">
        <f t="array" aca="1" ref="EB6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2" t="e" cm="1">
        <f t="array" aca="1" ref="EC6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2" s="166" cm="1">
        <f t="array" aca="1" ref="ED62"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62" s="375" cm="1">
        <f t="array" aca="1" ref="EE6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2" s="247" cm="1">
        <f t="array" aca="1" ref="EF62" ca="1">(SUMPRODUCT(Delay_emissions_table[Consumption of Diesel (kg) - Tertiary Scenario],IF(Delay_emissions_table[Form of Maintenance - Tertiary Scenario]="Life Extension",1,0))*INDEX(Indicators,MATCH('Additional Impact Indicators'!$A62,Materials!$D:$D,0),MATCH("diesel combustion",Materials!$1:$1,0))+SUMPRODUCT(Delay_emissions_table[Consumption of Petrol (kg) - Tertiary Scenario],IF(Delay_emissions_table[Form of Maintenance - Tertiary Scenario]="Life Extension",1,0))*INDEX(Indicators,MATCH('Additional Impact Indicators'!$A62,Materials!$D:$D,0),MATCH("petrol combustion",Materials!$1:$1,0))+IFERROR(SUMPRODUCT(TRANSPOSE(INDEX(elec_project_emissions,MATCH(Elec_scenario&amp;'Additional Impact Indicators'!$B62,INDEX(Electricity_projection,0,3),0)-1,0)),Delay_emissions_table[Consumption of electricity (MJ) - Tertiary Scenario],IF(Delay_emissions_table[Form of Maintenance - Tertiary Scenario]="Life Extension",1,0)),0))*Area_trans*Time_adj_Tert</f>
        <v>0</v>
      </c>
      <c r="EG62" s="247" cm="1">
        <f t="array" aca="1" ref="EG62" ca="1">(SUMPRODUCT(Delay_emissions_table[Consumption of Diesel (kg) - Tertiary Scenario],IF(Delay_emissions_table[Form of Maintenance - Tertiary Scenario]="Replacement",1,0))*INDEX(Indicators,MATCH('Additional Impact Indicators'!$A62,Materials!$D:$D,0),MATCH("diesel combustion",Materials!$1:$1,0))+SUMPRODUCT(Delay_emissions_table[Consumption of Petrol (kg) - Tertiary Scenario],IF(Delay_emissions_table[Form of Maintenance - Tertiary Scenario]="Replacement",1,0))*INDEX(Indicators,MATCH('Additional Impact Indicators'!$A62,Materials!$D:$D,0),MATCH("petrol combustion",Materials!$1:$1,0))+IFERROR(SUMPRODUCT(TRANSPOSE(INDEX(elec_project_emissions,MATCH(Elec_scenario&amp;'Additional Impact Indicators'!$B62,INDEX(Electricity_projection,0,3),0)-1,0)),Delay_emissions_table[Consumption of electricity (MJ) - Tertiary Scenario],IF(Delay_emissions_table[Form of Maintenance - Tertiary Scenario]="Replacement",1,0)),0))*Area_trans*Time_adj_Tert</f>
        <v>0</v>
      </c>
      <c r="EH62" s="248" t="e" cm="1">
        <f t="array" ref="EH6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2" s="248" t="e" cm="1">
        <f t="array" ref="EI6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2" s="249" t="e" cm="1">
        <f t="array" ref="EJ6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2" s="249" t="e" cm="1">
        <f t="array" ref="EK6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2" t="e">
        <f ca="1">SUMIF(Table611[[#This Row],[Raw-Materials]:[Transport to recycling facility]],"&lt;&gt;#N/A")</f>
        <v>#DIV/0!</v>
      </c>
    </row>
    <row r="63" spans="1:142" x14ac:dyDescent="0.35">
      <c r="A63" s="155" t="s">
        <v>559</v>
      </c>
      <c r="B63" s="155" t="s">
        <v>489</v>
      </c>
      <c r="C63" s="155" t="str">
        <f t="shared" si="1"/>
        <v>A1</v>
      </c>
      <c r="D63" s="155" t="s">
        <v>54</v>
      </c>
      <c r="E63" s="155"/>
      <c r="F63">
        <f>MATCH(Impacts_Additional[[#This Row],[Indicator]],Material_Impacts[Look up],0)</f>
        <v>3</v>
      </c>
      <c r="G63" s="246" cm="1">
        <f t="array" aca="1" ref="G6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3" s="165" cm="1">
        <f t="array" ref="H6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3" s="165" t="e">
        <f>Diesel_RawM_Prim*INDEX(Indicators,MATCH(Impacts_Additional[[#This Row],[Indicator]],Materials!$D:$D,0),MATCH("Diesel Combustion",Materials!$1:$1,0))*Diesel_density*Project_Area*Prim_Lays*Area_trans</f>
        <v>#DIV/0!</v>
      </c>
      <c r="J63" s="250" t="e" cm="1">
        <f t="array" aca="1" ref="J6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3" s="250" t="e" cm="1">
        <f t="array" aca="1" ref="K6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3" s="250" t="e" cm="1">
        <f t="array" aca="1" ref="L6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3" s="250" t="e" cm="1">
        <f t="array" aca="1" ref="M6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3" s="250" t="e" cm="1">
        <f t="array" aca="1" ref="N6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3" s="250" t="e" cm="1">
        <f t="array" aca="1" ref="O6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3" s="250" t="e" cm="1">
        <f t="array" aca="1" ref="P6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3" s="250" t="e" cm="1">
        <f t="array" aca="1" ref="Q6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3" s="250" t="e" cm="1">
        <f t="array" aca="1" ref="R6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3" s="250" t="e" cm="1">
        <f t="array" aca="1" ref="S6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3" s="250" t="e" cm="1">
        <f t="array" aca="1" ref="T6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3" s="250" t="e" cm="1">
        <f t="array" aca="1" ref="U6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3" s="250" t="e" cm="1">
        <f t="array" aca="1" ref="V6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3" s="250" t="e" cm="1">
        <f t="array" aca="1" ref="W6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3" s="250" t="e" cm="1">
        <f t="array" aca="1" ref="X6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3" s="250" t="e" cm="1">
        <f t="array" aca="1" ref="Y6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3" s="250" t="e" cm="1">
        <f t="array" aca="1" ref="Z6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3" s="250" t="e" cm="1">
        <f t="array" aca="1" ref="AA6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3" s="250" t="e" cm="1">
        <f t="array" aca="1" ref="AB6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3" s="250" t="e" cm="1">
        <f t="array" aca="1" ref="AC6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3" s="250" t="e" cm="1">
        <f t="array" aca="1" ref="AD6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3" s="250" t="e" cm="1">
        <f t="array" aca="1" ref="AE6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3" s="250" t="e" cm="1">
        <f t="array" aca="1" ref="AF6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3" s="250" t="e" cm="1">
        <f t="array" aca="1" ref="AG6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3" s="250" t="e" cm="1">
        <f t="array" aca="1" ref="AH6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3" s="250" t="e" cm="1">
        <f t="array" aca="1" ref="AI6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3" s="250" t="e" cm="1">
        <f t="array" aca="1" ref="AJ6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3" s="165" cm="1">
        <f t="array" aca="1" ref="AK63"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63" s="254" cm="1">
        <f t="array" aca="1" ref="AL6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3" s="251" cm="1">
        <f t="array" aca="1" ref="AM63" ca="1">(SUMPRODUCT(Delay_emissions_table[Consumption of Diesel (kg) - Primary Scenario],IF(Delay_emissions_table[Form of Maintenance - Primary Scenario]="Life Extension",1,0))*INDEX(Indicators,MATCH('Additional Impact Indicators'!$A63,Materials!$D:$D,0),MATCH("diesel combustion",Materials!$1:$1,0))+SUMPRODUCT(Delay_emissions_table[Consumption of Petrol (kg) - Primary Scenario],IF(Delay_emissions_table[Form of Maintenance - Primary Scenario]="Life Extension",1,0))*INDEX(Indicators,MATCH('Additional Impact Indicators'!$A63,Materials!$D:$D,0),MATCH("petrol combustion",Materials!$1:$1,0))+IFERROR(SUMPRODUCT(TRANSPOSE(INDEX(elec_project_emissions,MATCH(Elec_scenario&amp;'Additional Impact Indicators'!$B63,INDEX(Electricity_projection,0,3),0)-1,0)),Delay_emissions_table[Consumption of electricity (MJ) - Primary Scenario],IF(Delay_emissions_table[Form of Maintenance - Primary Scenario]="Life Extension",1,0)),0))*Area_trans*Time_adj_Prim</f>
        <v>0</v>
      </c>
      <c r="AN63" s="251" cm="1">
        <f t="array" aca="1" ref="AN63" ca="1">(SUMPRODUCT(Delay_emissions_table[Consumption of Diesel (kg) - Primary Scenario],IF(Delay_emissions_table[Form of Maintenance - Primary Scenario]="Replacement",1,0))*INDEX(Indicators,MATCH('Additional Impact Indicators'!$A63,Materials!$D:$D,0),MATCH("diesel combustion",Materials!$1:$1,0))+SUMPRODUCT(Delay_emissions_table[Consumption of Petrol (kg) - Primary Scenario],IF(Delay_emissions_table[Form of Maintenance - Primary Scenario]="Replacement",1,0))*INDEX(Indicators,MATCH('Additional Impact Indicators'!$A63,Materials!$D:$D,0),MATCH("petrol combustion",Materials!$1:$1,0))+IFERROR(SUMPRODUCT(TRANSPOSE(INDEX(elec_project_emissions,MATCH(Elec_scenario&amp;'Additional Impact Indicators'!$B63,INDEX(Electricity_projection,0,3),0)-1,0)),Delay_emissions_table[Consumption of electricity (MJ) - Primary Scenario],IF(Delay_emissions_table[Form of Maintenance - Primary Scenario]="Replacement",1,0)),0))*Area_trans*Time_adj_Prim</f>
        <v>0</v>
      </c>
      <c r="AO63" s="252" t="e" cm="1">
        <f t="array" ref="AO6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3" s="252" t="e" cm="1">
        <f t="array" ref="AP6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3" s="253" t="e" cm="1">
        <f t="array" ref="AQ6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3" s="385" t="e" cm="1">
        <f t="array" ref="AR6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3" t="e">
        <f ca="1">SUMIF('Additional Impact Indicators'!$G63:$AQ63,"&lt;&gt;#N/A")</f>
        <v>#DIV/0!</v>
      </c>
      <c r="AW63" s="155" t="s">
        <v>559</v>
      </c>
      <c r="AX63" s="155" t="s">
        <v>489</v>
      </c>
      <c r="AY63" t="str">
        <f t="shared" si="4"/>
        <v>A1</v>
      </c>
      <c r="AZ63" s="155" t="s">
        <v>54</v>
      </c>
      <c r="BB63">
        <f>MATCH(Table3[[#This Row],[Indicator]],Material_Impacts[Look up],0)</f>
        <v>3</v>
      </c>
      <c r="BC63" s="246" cm="1">
        <f t="array" aca="1" ref="BC6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3" s="165" cm="1">
        <f t="array" ref="BD6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3" s="165" t="e">
        <f>Diesel_RawM_Sec*INDEX(Indicators,MATCH(Impacts_Additional[[#This Row],[Indicator]],Materials!$D:$D,0),MATCH("Diesel Combustion",Materials!$1:$1,0))*Diesel_density*Project_Area*Sec_Lays*Area_trans</f>
        <v>#DIV/0!</v>
      </c>
      <c r="BF63" s="35" t="e" cm="1">
        <f t="array" aca="1" ref="BF6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3" s="35" t="e" cm="1">
        <f t="array" aca="1" ref="BG6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3" t="e" cm="1">
        <f t="array" aca="1" ref="BH6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3" s="35" t="e" cm="1">
        <f t="array" aca="1" ref="BI6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3" s="35" t="e" cm="1">
        <f t="array" aca="1" ref="BJ6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3" t="e" cm="1">
        <f t="array" aca="1" ref="BK6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3" s="35" t="e" cm="1">
        <f t="array" aca="1" ref="BL6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3" s="35" t="e" cm="1">
        <f t="array" aca="1" ref="BM6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3" t="e" cm="1">
        <f t="array" aca="1" ref="BN6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3" s="35" t="e" cm="1">
        <f t="array" aca="1" ref="BO6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3" s="35" t="e" cm="1">
        <f t="array" aca="1" ref="BP6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3" t="e" cm="1">
        <f t="array" aca="1" ref="BQ6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3" s="35" t="e" cm="1">
        <f t="array" aca="1" ref="BR6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3" s="35" t="e" cm="1">
        <f t="array" aca="1" ref="BS6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3" t="e" cm="1">
        <f t="array" aca="1" ref="BT6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3" s="35" t="e" cm="1">
        <f t="array" aca="1" ref="BU6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3" s="35" t="e" cm="1">
        <f t="array" aca="1" ref="BV6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3" t="e" cm="1">
        <f t="array" aca="1" ref="BW6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3" s="35" t="e" cm="1">
        <f t="array" aca="1" ref="BX6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3" s="35" t="e" cm="1">
        <f t="array" aca="1" ref="BY6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3" t="e" cm="1">
        <f t="array" aca="1" ref="BZ6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3" s="35" t="e" cm="1">
        <f t="array" aca="1" ref="CA6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3" s="35" t="e" cm="1">
        <f t="array" aca="1" ref="CB6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3" t="e" cm="1">
        <f t="array" aca="1" ref="CC6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3" s="35" t="e" cm="1">
        <f t="array" aca="1" ref="CD6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3" s="35" t="e" cm="1">
        <f t="array" aca="1" ref="CE6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3" t="e" cm="1">
        <f t="array" aca="1" ref="CF6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3" s="165" cm="1">
        <f t="array" aca="1" ref="CG63"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63" s="375" cm="1">
        <f t="array" aca="1" ref="CH6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3" s="251" cm="1">
        <f t="array" aca="1" ref="CI63" ca="1">(SUMPRODUCT(Delay_emissions_table[Consumption of Diesel (kg) - Secondary Scenario],IF(Delay_emissions_table[Form of Maintenance - Secondary Scenario]="Life Extension",1,0))*INDEX(Indicators,MATCH('Additional Impact Indicators'!$A63,Materials!$D:$D,0),MATCH("diesel combustion",Materials!$1:$1,0))+SUMPRODUCT(Delay_emissions_table[Consumption of Petrol (kg) - Secondary Scenario],IF(Delay_emissions_table[Form of Maintenance - Secondary Scenario]="Life Extension",1,0))*INDEX(Indicators,MATCH('Additional Impact Indicators'!$A63,Materials!$D:$D,0),MATCH("petrol combustion",Materials!$1:$1,0))+IFERROR(SUMPRODUCT(TRANSPOSE(INDEX(elec_project_emissions,MATCH(Elec_scenario&amp;'Additional Impact Indicators'!$B63,INDEX(Electricity_projection,0,3),0)-1,0)),Delay_emissions_table[Consumption of electricity (MJ) - Secondary Scenario],IF(Delay_emissions_table[Form of Maintenance - Secondary Scenario]="Life Extension",1,0)),0))*Area_trans*time_adj_Sec</f>
        <v>0</v>
      </c>
      <c r="CJ63" s="251" cm="1">
        <f t="array" aca="1" ref="CJ63" ca="1">(SUMPRODUCT(Delay_emissions_table[Consumption of Diesel (kg) - Secondary Scenario],IF(Delay_emissions_table[Form of Maintenance - Secondary Scenario]="Replacement",1,0))*INDEX(Indicators,MATCH('Additional Impact Indicators'!$A63,Materials!$D:$D,0),MATCH("diesel combustion",Materials!$1:$1,0))+SUMPRODUCT(Delay_emissions_table[Consumption of Petrol (kg) - Secondary Scenario],IF(Delay_emissions_table[Form of Maintenance - Secondary Scenario]="Replacement",1,0))*INDEX(Indicators,MATCH('Additional Impact Indicators'!$A63,Materials!$D:$D,0),MATCH("petrol combustion",Materials!$1:$1,0))+IFERROR(SUMPRODUCT(TRANSPOSE(INDEX(elec_project_emissions,MATCH(Elec_scenario&amp;'Additional Impact Indicators'!$B63,INDEX(Electricity_projection,0,3),0)-1,0)),Delay_emissions_table[Consumption of electricity (MJ) - Secondary Scenario],IF(Delay_emissions_table[Form of Maintenance - Secondary Scenario]="Replacement",1,0)),0))*Area_trans*time_adj_Sec</f>
        <v>0</v>
      </c>
      <c r="CK63" s="252" t="e" cm="1">
        <f t="array" ref="CK6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3" s="252" t="e" cm="1">
        <f t="array" ref="CL6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3" s="253" t="e" cm="1">
        <f t="array" ref="CM6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3" s="387" t="e" cm="1">
        <f t="array" ref="CN6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3" s="51" t="e">
        <f ca="1">SUMIF(Table3[[#This Row],[Raw-Materials]:[Transport to recycling facility]],"&lt;&gt;#N/A")</f>
        <v>#DIV/0!</v>
      </c>
      <c r="CT63" t="s">
        <v>559</v>
      </c>
      <c r="CU63" t="s">
        <v>489</v>
      </c>
      <c r="CV63" t="str">
        <f t="shared" si="3"/>
        <v>A1</v>
      </c>
      <c r="CW63" t="s">
        <v>54</v>
      </c>
      <c r="CY63">
        <f>MATCH(Table611[[#This Row],[Indicator]],Material_Impacts[Look up],0)</f>
        <v>3</v>
      </c>
      <c r="CZ63" s="246" cm="1">
        <f t="array" aca="1" ref="CZ6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3" s="165" cm="1">
        <f t="array" ref="DA6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3" s="165" t="e">
        <f>Diesel_RawM_Tert*INDEX(Indicators,MATCH(Impacts_Additional[[#This Row],[Indicator]],Materials!$D:$D,0),MATCH("Diesel Combustion",Materials!$1:$1,0))*Diesel_density*Project_Area*Tert_Lays*Area_trans</f>
        <v>#DIV/0!</v>
      </c>
      <c r="DC63" s="35" t="e" cm="1">
        <f t="array" aca="1" ref="DC6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3" s="35" t="e" cm="1">
        <f t="array" aca="1" ref="DD6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3" t="e" cm="1">
        <f t="array" aca="1" ref="DE6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3" s="35" t="e" cm="1">
        <f t="array" aca="1" ref="DF6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3" s="35" t="e" cm="1">
        <f t="array" aca="1" ref="DG6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3" t="e" cm="1">
        <f t="array" aca="1" ref="DH6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3" s="35" t="e" cm="1">
        <f t="array" aca="1" ref="DI6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3" s="35" t="e" cm="1">
        <f t="array" aca="1" ref="DJ6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3" t="e" cm="1">
        <f t="array" aca="1" ref="DK6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3" s="35" t="e" cm="1">
        <f t="array" aca="1" ref="DL6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3" s="35" t="e" cm="1">
        <f t="array" aca="1" ref="DM6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3" t="e" cm="1">
        <f t="array" aca="1" ref="DN6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3" s="35" t="e" cm="1">
        <f t="array" aca="1" ref="DO6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3" s="35" t="e" cm="1">
        <f t="array" aca="1" ref="DP6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3" t="e" cm="1">
        <f t="array" aca="1" ref="DQ6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3" s="35" t="e" cm="1">
        <f t="array" aca="1" ref="DR6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3" s="35" t="e" cm="1">
        <f t="array" aca="1" ref="DS6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3" t="e" cm="1">
        <f t="array" aca="1" ref="DT6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3" s="35" t="e" cm="1">
        <f t="array" aca="1" ref="DU6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3" s="35" t="e" cm="1">
        <f t="array" aca="1" ref="DV6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3" t="e" cm="1">
        <f t="array" aca="1" ref="DW6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3" s="35" t="e" cm="1">
        <f t="array" aca="1" ref="DX6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3" s="35" t="e" cm="1">
        <f t="array" aca="1" ref="DY6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3" t="e" cm="1">
        <f t="array" aca="1" ref="DZ6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3" s="35" t="e" cm="1">
        <f t="array" aca="1" ref="EA6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3" s="35" t="e" cm="1">
        <f t="array" aca="1" ref="EB6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3" t="e" cm="1">
        <f t="array" aca="1" ref="EC6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3" s="165" cm="1">
        <f t="array" aca="1" ref="ED63"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63" s="375" cm="1">
        <f t="array" aca="1" ref="EE6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3" s="251" cm="1">
        <f t="array" aca="1" ref="EF63" ca="1">(SUMPRODUCT(Delay_emissions_table[Consumption of Diesel (kg) - Tertiary Scenario],IF(Delay_emissions_table[Form of Maintenance - Tertiary Scenario]="Life Extension",1,0))*INDEX(Indicators,MATCH('Additional Impact Indicators'!$A63,Materials!$D:$D,0),MATCH("diesel combustion",Materials!$1:$1,0))+SUMPRODUCT(Delay_emissions_table[Consumption of Petrol (kg) - Tertiary Scenario],IF(Delay_emissions_table[Form of Maintenance - Tertiary Scenario]="Life Extension",1,0))*INDEX(Indicators,MATCH('Additional Impact Indicators'!$A63,Materials!$D:$D,0),MATCH("petrol combustion",Materials!$1:$1,0))+IFERROR(SUMPRODUCT(TRANSPOSE(INDEX(elec_project_emissions,MATCH(Elec_scenario&amp;'Additional Impact Indicators'!$B63,INDEX(Electricity_projection,0,3),0)-1,0)),Delay_emissions_table[Consumption of electricity (MJ) - Tertiary Scenario],IF(Delay_emissions_table[Form of Maintenance - Tertiary Scenario]="Life Extension",1,0)),0))*Area_trans*Time_adj_Tert</f>
        <v>0</v>
      </c>
      <c r="EG63" s="251" cm="1">
        <f t="array" aca="1" ref="EG63" ca="1">(SUMPRODUCT(Delay_emissions_table[Consumption of Diesel (kg) - Tertiary Scenario],IF(Delay_emissions_table[Form of Maintenance - Tertiary Scenario]="Replacement",1,0))*INDEX(Indicators,MATCH('Additional Impact Indicators'!$A63,Materials!$D:$D,0),MATCH("diesel combustion",Materials!$1:$1,0))+SUMPRODUCT(Delay_emissions_table[Consumption of Petrol (kg) - Tertiary Scenario],IF(Delay_emissions_table[Form of Maintenance - Tertiary Scenario]="Replacement",1,0))*INDEX(Indicators,MATCH('Additional Impact Indicators'!$A63,Materials!$D:$D,0),MATCH("petrol combustion",Materials!$1:$1,0))+IFERROR(SUMPRODUCT(TRANSPOSE(INDEX(elec_project_emissions,MATCH(Elec_scenario&amp;'Additional Impact Indicators'!$B63,INDEX(Electricity_projection,0,3),0)-1,0)),Delay_emissions_table[Consumption of electricity (MJ) - Tertiary Scenario],IF(Delay_emissions_table[Form of Maintenance - Tertiary Scenario]="Replacement",1,0)),0))*Area_trans*Time_adj_Tert</f>
        <v>0</v>
      </c>
      <c r="EH63" s="252" t="e" cm="1">
        <f t="array" ref="EH6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3" s="252" t="e" cm="1">
        <f t="array" ref="EI6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3" s="253" t="e" cm="1">
        <f t="array" ref="EJ6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3" s="253" t="e" cm="1">
        <f t="array" ref="EK6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3" t="e">
        <f ca="1">SUMIF(Table611[[#This Row],[Raw-Materials]:[Transport to recycling facility]],"&lt;&gt;#N/A")</f>
        <v>#DIV/0!</v>
      </c>
    </row>
    <row r="64" spans="1:142" x14ac:dyDescent="0.35">
      <c r="A64" t="s">
        <v>560</v>
      </c>
      <c r="B64" t="s">
        <v>491</v>
      </c>
      <c r="C64" t="str">
        <f t="shared" si="1"/>
        <v>A1</v>
      </c>
      <c r="D64" t="s">
        <v>54</v>
      </c>
      <c r="F64">
        <f>MATCH(Impacts_Additional[[#This Row],[Indicator]],Material_Impacts[Look up],0)</f>
        <v>4</v>
      </c>
      <c r="G64" s="246" cm="1">
        <f t="array" aca="1" ref="G6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4" s="166" cm="1">
        <f t="array" ref="H6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4" s="166" t="e">
        <f>Diesel_RawM_Prim*INDEX(Indicators,MATCH(Impacts_Additional[[#This Row],[Indicator]],Materials!$D:$D,0),MATCH("Diesel Combustion",Materials!$1:$1,0))*Diesel_density*Project_Area*Prim_Lays*Area_trans</f>
        <v>#DIV/0!</v>
      </c>
      <c r="J64" s="20" t="e" cm="1">
        <f t="array" aca="1" ref="J6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4" s="20" t="e" cm="1">
        <f t="array" aca="1" ref="K6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4" s="20" t="e" cm="1">
        <f t="array" aca="1" ref="L6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4" s="20" t="e" cm="1">
        <f t="array" aca="1" ref="M6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4" s="20" t="e" cm="1">
        <f t="array" aca="1" ref="N6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4" s="20" t="e" cm="1">
        <f t="array" aca="1" ref="O6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4" s="20" t="e" cm="1">
        <f t="array" aca="1" ref="P6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4" s="20" t="e" cm="1">
        <f t="array" aca="1" ref="Q6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4" s="20" t="e" cm="1">
        <f t="array" aca="1" ref="R6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4" s="20" t="e" cm="1">
        <f t="array" aca="1" ref="S6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4" s="20" t="e" cm="1">
        <f t="array" aca="1" ref="T6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4" s="20" t="e" cm="1">
        <f t="array" aca="1" ref="U6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4" s="20" t="e" cm="1">
        <f t="array" aca="1" ref="V6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4" s="20" t="e" cm="1">
        <f t="array" aca="1" ref="W6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4" s="20" t="e" cm="1">
        <f t="array" aca="1" ref="X6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4" s="20" t="e" cm="1">
        <f t="array" aca="1" ref="Y6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4" s="20" t="e" cm="1">
        <f t="array" aca="1" ref="Z6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4" s="20" t="e" cm="1">
        <f t="array" aca="1" ref="AA6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4" s="20" t="e" cm="1">
        <f t="array" aca="1" ref="AB6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4" s="20" t="e" cm="1">
        <f t="array" aca="1" ref="AC6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4" s="20" t="e" cm="1">
        <f t="array" aca="1" ref="AD6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4" s="20" t="e" cm="1">
        <f t="array" aca="1" ref="AE6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4" s="20" t="e" cm="1">
        <f t="array" aca="1" ref="AF6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4" s="20" t="e" cm="1">
        <f t="array" aca="1" ref="AG6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4" s="20" t="e" cm="1">
        <f t="array" aca="1" ref="AH6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4" s="20" t="e" cm="1">
        <f t="array" aca="1" ref="AI6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4" s="20" t="e" cm="1">
        <f t="array" aca="1" ref="AJ6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4" s="166" cm="1">
        <f t="array" aca="1" ref="AK64"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64" s="1" cm="1">
        <f t="array" aca="1" ref="AL6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4" s="247" cm="1">
        <f t="array" aca="1" ref="AM64" ca="1">(SUMPRODUCT(Delay_emissions_table[Consumption of Diesel (kg) - Primary Scenario],IF(Delay_emissions_table[Form of Maintenance - Primary Scenario]="Life Extension",1,0))*INDEX(Indicators,MATCH('Additional Impact Indicators'!$A64,Materials!$D:$D,0),MATCH("diesel combustion",Materials!$1:$1,0))+SUMPRODUCT(Delay_emissions_table[Consumption of Petrol (kg) - Primary Scenario],IF(Delay_emissions_table[Form of Maintenance - Primary Scenario]="Life Extension",1,0))*INDEX(Indicators,MATCH('Additional Impact Indicators'!$A64,Materials!$D:$D,0),MATCH("petrol combustion",Materials!$1:$1,0))+IFERROR(SUMPRODUCT(TRANSPOSE(INDEX(elec_project_emissions,MATCH(Elec_scenario&amp;'Additional Impact Indicators'!$B64,INDEX(Electricity_projection,0,3),0)-1,0)),Delay_emissions_table[Consumption of electricity (MJ) - Primary Scenario],IF(Delay_emissions_table[Form of Maintenance - Primary Scenario]="Life Extension",1,0)),0))*Area_trans*Time_adj_Prim</f>
        <v>0</v>
      </c>
      <c r="AN64" s="247" cm="1">
        <f t="array" aca="1" ref="AN64" ca="1">(SUMPRODUCT(Delay_emissions_table[Consumption of Diesel (kg) - Primary Scenario],IF(Delay_emissions_table[Form of Maintenance - Primary Scenario]="Replacement",1,0))*INDEX(Indicators,MATCH('Additional Impact Indicators'!$A64,Materials!$D:$D,0),MATCH("diesel combustion",Materials!$1:$1,0))+SUMPRODUCT(Delay_emissions_table[Consumption of Petrol (kg) - Primary Scenario],IF(Delay_emissions_table[Form of Maintenance - Primary Scenario]="Replacement",1,0))*INDEX(Indicators,MATCH('Additional Impact Indicators'!$A64,Materials!$D:$D,0),MATCH("petrol combustion",Materials!$1:$1,0))+IFERROR(SUMPRODUCT(TRANSPOSE(INDEX(elec_project_emissions,MATCH(Elec_scenario&amp;'Additional Impact Indicators'!$B64,INDEX(Electricity_projection,0,3),0)-1,0)),Delay_emissions_table[Consumption of electricity (MJ) - Primary Scenario],IF(Delay_emissions_table[Form of Maintenance - Primary Scenario]="Replacement",1,0)),0))*Area_trans*Time_adj_Prim</f>
        <v>0</v>
      </c>
      <c r="AO64" s="248" t="e" cm="1">
        <f t="array" ref="AO6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4" s="248" t="e" cm="1">
        <f t="array" ref="AP6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4" s="249" t="e" cm="1">
        <f t="array" ref="AQ6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4" s="386" t="e" cm="1">
        <f t="array" ref="AR6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4" t="e">
        <f ca="1">SUMIF('Additional Impact Indicators'!$G64:$AQ64,"&lt;&gt;#N/A")</f>
        <v>#DIV/0!</v>
      </c>
      <c r="AW64" t="s">
        <v>560</v>
      </c>
      <c r="AX64" t="s">
        <v>491</v>
      </c>
      <c r="AY64" t="str">
        <f t="shared" si="4"/>
        <v>A1</v>
      </c>
      <c r="AZ64" t="s">
        <v>54</v>
      </c>
      <c r="BB64">
        <f>MATCH(Table3[[#This Row],[Indicator]],Material_Impacts[Look up],0)</f>
        <v>4</v>
      </c>
      <c r="BC64" s="246" cm="1">
        <f t="array" aca="1" ref="BC6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4" s="166" cm="1">
        <f t="array" ref="BD6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4" s="166" t="e">
        <f>Diesel_RawM_Sec*INDEX(Indicators,MATCH(Impacts_Additional[[#This Row],[Indicator]],Materials!$D:$D,0),MATCH("Diesel Combustion",Materials!$1:$1,0))*Diesel_density*Project_Area*Sec_Lays*Area_trans</f>
        <v>#DIV/0!</v>
      </c>
      <c r="BF64" s="35" t="e" cm="1">
        <f t="array" aca="1" ref="BF6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4" s="35" t="e" cm="1">
        <f t="array" aca="1" ref="BG6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4" t="e" cm="1">
        <f t="array" aca="1" ref="BH6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4" s="35" t="e" cm="1">
        <f t="array" aca="1" ref="BI6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4" s="35" t="e" cm="1">
        <f t="array" aca="1" ref="BJ6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4" t="e" cm="1">
        <f t="array" aca="1" ref="BK6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4" s="35" t="e" cm="1">
        <f t="array" aca="1" ref="BL6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4" s="35" t="e" cm="1">
        <f t="array" aca="1" ref="BM6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4" t="e" cm="1">
        <f t="array" aca="1" ref="BN6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4" s="35" t="e" cm="1">
        <f t="array" aca="1" ref="BO6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4" s="35" t="e" cm="1">
        <f t="array" aca="1" ref="BP6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4" t="e" cm="1">
        <f t="array" aca="1" ref="BQ6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4" s="35" t="e" cm="1">
        <f t="array" aca="1" ref="BR6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4" s="35" t="e" cm="1">
        <f t="array" aca="1" ref="BS6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4" t="e" cm="1">
        <f t="array" aca="1" ref="BT6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4" s="35" t="e" cm="1">
        <f t="array" aca="1" ref="BU6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4" s="35" t="e" cm="1">
        <f t="array" aca="1" ref="BV6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4" t="e" cm="1">
        <f t="array" aca="1" ref="BW6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4" s="35" t="e" cm="1">
        <f t="array" aca="1" ref="BX6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4" s="35" t="e" cm="1">
        <f t="array" aca="1" ref="BY6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4" t="e" cm="1">
        <f t="array" aca="1" ref="BZ6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4" s="35" t="e" cm="1">
        <f t="array" aca="1" ref="CA6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4" s="35" t="e" cm="1">
        <f t="array" aca="1" ref="CB6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4" t="e" cm="1">
        <f t="array" aca="1" ref="CC6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4" s="35" t="e" cm="1">
        <f t="array" aca="1" ref="CD6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4" s="35" t="e" cm="1">
        <f t="array" aca="1" ref="CE6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4" t="e" cm="1">
        <f t="array" aca="1" ref="CF6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4" s="166" cm="1">
        <f t="array" aca="1" ref="CG64"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64" s="375" cm="1">
        <f t="array" aca="1" ref="CH6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4" s="247" cm="1">
        <f t="array" aca="1" ref="CI64" ca="1">(SUMPRODUCT(Delay_emissions_table[Consumption of Diesel (kg) - Secondary Scenario],IF(Delay_emissions_table[Form of Maintenance - Secondary Scenario]="Life Extension",1,0))*INDEX(Indicators,MATCH('Additional Impact Indicators'!$A64,Materials!$D:$D,0),MATCH("diesel combustion",Materials!$1:$1,0))+SUMPRODUCT(Delay_emissions_table[Consumption of Petrol (kg) - Secondary Scenario],IF(Delay_emissions_table[Form of Maintenance - Secondary Scenario]="Life Extension",1,0))*INDEX(Indicators,MATCH('Additional Impact Indicators'!$A64,Materials!$D:$D,0),MATCH("petrol combustion",Materials!$1:$1,0))+IFERROR(SUMPRODUCT(TRANSPOSE(INDEX(elec_project_emissions,MATCH(Elec_scenario&amp;'Additional Impact Indicators'!$B64,INDEX(Electricity_projection,0,3),0)-1,0)),Delay_emissions_table[Consumption of electricity (MJ) - Secondary Scenario],IF(Delay_emissions_table[Form of Maintenance - Secondary Scenario]="Life Extension",1,0)),0))*Area_trans*time_adj_Sec</f>
        <v>0</v>
      </c>
      <c r="CJ64" s="247" cm="1">
        <f t="array" aca="1" ref="CJ64" ca="1">(SUMPRODUCT(Delay_emissions_table[Consumption of Diesel (kg) - Secondary Scenario],IF(Delay_emissions_table[Form of Maintenance - Secondary Scenario]="Replacement",1,0))*INDEX(Indicators,MATCH('Additional Impact Indicators'!$A64,Materials!$D:$D,0),MATCH("diesel combustion",Materials!$1:$1,0))+SUMPRODUCT(Delay_emissions_table[Consumption of Petrol (kg) - Secondary Scenario],IF(Delay_emissions_table[Form of Maintenance - Secondary Scenario]="Replacement",1,0))*INDEX(Indicators,MATCH('Additional Impact Indicators'!$A64,Materials!$D:$D,0),MATCH("petrol combustion",Materials!$1:$1,0))+IFERROR(SUMPRODUCT(TRANSPOSE(INDEX(elec_project_emissions,MATCH(Elec_scenario&amp;'Additional Impact Indicators'!$B64,INDEX(Electricity_projection,0,3),0)-1,0)),Delay_emissions_table[Consumption of electricity (MJ) - Secondary Scenario],IF(Delay_emissions_table[Form of Maintenance - Secondary Scenario]="Replacement",1,0)),0))*Area_trans*time_adj_Sec</f>
        <v>0</v>
      </c>
      <c r="CK64" s="248" t="e" cm="1">
        <f t="array" ref="CK6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4" s="248" t="e" cm="1">
        <f t="array" ref="CL6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4" s="249" t="e" cm="1">
        <f t="array" ref="CM6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4" s="387" t="e" cm="1">
        <f t="array" ref="CN6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4" s="51" t="e">
        <f ca="1">SUMIF(Table3[[#This Row],[Raw-Materials]:[Transport to recycling facility]],"&lt;&gt;#N/A")</f>
        <v>#DIV/0!</v>
      </c>
      <c r="CT64" t="s">
        <v>560</v>
      </c>
      <c r="CU64" t="s">
        <v>491</v>
      </c>
      <c r="CV64" t="str">
        <f t="shared" si="3"/>
        <v>A1</v>
      </c>
      <c r="CW64" t="s">
        <v>54</v>
      </c>
      <c r="CY64">
        <f>MATCH(Table611[[#This Row],[Indicator]],Material_Impacts[Look up],0)</f>
        <v>4</v>
      </c>
      <c r="CZ64" s="246" cm="1">
        <f t="array" aca="1" ref="CZ6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4" s="166" cm="1">
        <f t="array" ref="DA6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4" s="166" t="e">
        <f>Diesel_RawM_Tert*INDEX(Indicators,MATCH(Impacts_Additional[[#This Row],[Indicator]],Materials!$D:$D,0),MATCH("Diesel Combustion",Materials!$1:$1,0))*Diesel_density*Project_Area*Tert_Lays*Area_trans</f>
        <v>#DIV/0!</v>
      </c>
      <c r="DC64" s="35" t="e" cm="1">
        <f t="array" aca="1" ref="DC6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4" s="35" t="e" cm="1">
        <f t="array" aca="1" ref="DD6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4" t="e" cm="1">
        <f t="array" aca="1" ref="DE6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4" s="35" t="e" cm="1">
        <f t="array" aca="1" ref="DF6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4" s="35" t="e" cm="1">
        <f t="array" aca="1" ref="DG6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4" t="e" cm="1">
        <f t="array" aca="1" ref="DH6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4" s="35" t="e" cm="1">
        <f t="array" aca="1" ref="DI6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4" s="35" t="e" cm="1">
        <f t="array" aca="1" ref="DJ6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4" t="e" cm="1">
        <f t="array" aca="1" ref="DK6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4" s="35" t="e" cm="1">
        <f t="array" aca="1" ref="DL6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4" s="35" t="e" cm="1">
        <f t="array" aca="1" ref="DM6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4" t="e" cm="1">
        <f t="array" aca="1" ref="DN6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4" s="35" t="e" cm="1">
        <f t="array" aca="1" ref="DO6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4" s="35" t="e" cm="1">
        <f t="array" aca="1" ref="DP6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4" t="e" cm="1">
        <f t="array" aca="1" ref="DQ6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4" s="35" t="e" cm="1">
        <f t="array" aca="1" ref="DR6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4" s="35" t="e" cm="1">
        <f t="array" aca="1" ref="DS6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4" t="e" cm="1">
        <f t="array" aca="1" ref="DT6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4" s="35" t="e" cm="1">
        <f t="array" aca="1" ref="DU6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4" s="35" t="e" cm="1">
        <f t="array" aca="1" ref="DV6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4" t="e" cm="1">
        <f t="array" aca="1" ref="DW6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4" s="35" t="e" cm="1">
        <f t="array" aca="1" ref="DX6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4" s="35" t="e" cm="1">
        <f t="array" aca="1" ref="DY6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4" t="e" cm="1">
        <f t="array" aca="1" ref="DZ6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4" s="35" t="e" cm="1">
        <f t="array" aca="1" ref="EA6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4" s="35" t="e" cm="1">
        <f t="array" aca="1" ref="EB6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4" t="e" cm="1">
        <f t="array" aca="1" ref="EC6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4" s="166" cm="1">
        <f t="array" aca="1" ref="ED64"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64" s="375" cm="1">
        <f t="array" aca="1" ref="EE6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4" s="247" cm="1">
        <f t="array" aca="1" ref="EF64" ca="1">(SUMPRODUCT(Delay_emissions_table[Consumption of Diesel (kg) - Tertiary Scenario],IF(Delay_emissions_table[Form of Maintenance - Tertiary Scenario]="Life Extension",1,0))*INDEX(Indicators,MATCH('Additional Impact Indicators'!$A64,Materials!$D:$D,0),MATCH("diesel combustion",Materials!$1:$1,0))+SUMPRODUCT(Delay_emissions_table[Consumption of Petrol (kg) - Tertiary Scenario],IF(Delay_emissions_table[Form of Maintenance - Tertiary Scenario]="Life Extension",1,0))*INDEX(Indicators,MATCH('Additional Impact Indicators'!$A64,Materials!$D:$D,0),MATCH("petrol combustion",Materials!$1:$1,0))+IFERROR(SUMPRODUCT(TRANSPOSE(INDEX(elec_project_emissions,MATCH(Elec_scenario&amp;'Additional Impact Indicators'!$B64,INDEX(Electricity_projection,0,3),0)-1,0)),Delay_emissions_table[Consumption of electricity (MJ) - Tertiary Scenario],IF(Delay_emissions_table[Form of Maintenance - Tertiary Scenario]="Life Extension",1,0)),0))*Area_trans*Time_adj_Tert</f>
        <v>0</v>
      </c>
      <c r="EG64" s="247" cm="1">
        <f t="array" aca="1" ref="EG64" ca="1">(SUMPRODUCT(Delay_emissions_table[Consumption of Diesel (kg) - Tertiary Scenario],IF(Delay_emissions_table[Form of Maintenance - Tertiary Scenario]="Replacement",1,0))*INDEX(Indicators,MATCH('Additional Impact Indicators'!$A64,Materials!$D:$D,0),MATCH("diesel combustion",Materials!$1:$1,0))+SUMPRODUCT(Delay_emissions_table[Consumption of Petrol (kg) - Tertiary Scenario],IF(Delay_emissions_table[Form of Maintenance - Tertiary Scenario]="Replacement",1,0))*INDEX(Indicators,MATCH('Additional Impact Indicators'!$A64,Materials!$D:$D,0),MATCH("petrol combustion",Materials!$1:$1,0))+IFERROR(SUMPRODUCT(TRANSPOSE(INDEX(elec_project_emissions,MATCH(Elec_scenario&amp;'Additional Impact Indicators'!$B64,INDEX(Electricity_projection,0,3),0)-1,0)),Delay_emissions_table[Consumption of electricity (MJ) - Tertiary Scenario],IF(Delay_emissions_table[Form of Maintenance - Tertiary Scenario]="Replacement",1,0)),0))*Area_trans*Time_adj_Tert</f>
        <v>0</v>
      </c>
      <c r="EH64" s="248" t="e" cm="1">
        <f t="array" ref="EH6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4" s="248" t="e" cm="1">
        <f t="array" ref="EI6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4" s="249" t="e" cm="1">
        <f t="array" ref="EJ6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4" s="249" t="e" cm="1">
        <f t="array" ref="EK6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4" t="e">
        <f ca="1">SUMIF(Table611[[#This Row],[Raw-Materials]:[Transport to recycling facility]],"&lt;&gt;#N/A")</f>
        <v>#DIV/0!</v>
      </c>
    </row>
    <row r="65" spans="1:142" x14ac:dyDescent="0.35">
      <c r="A65" s="155" t="s">
        <v>561</v>
      </c>
      <c r="B65" s="155" t="s">
        <v>382</v>
      </c>
      <c r="C65" s="155" t="str">
        <f t="shared" si="1"/>
        <v>A1</v>
      </c>
      <c r="D65" s="155" t="s">
        <v>54</v>
      </c>
      <c r="E65" s="155"/>
      <c r="F65">
        <f>MATCH(Impacts_Additional[[#This Row],[Indicator]],Material_Impacts[Look up],0)</f>
        <v>5</v>
      </c>
      <c r="G65" s="246" cm="1">
        <f t="array" aca="1" ref="G6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5" s="165" cm="1">
        <f t="array" ref="H6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5" s="165" t="e">
        <f>Diesel_RawM_Prim*INDEX(Indicators,MATCH(Impacts_Additional[[#This Row],[Indicator]],Materials!$D:$D,0),MATCH("Diesel Combustion",Materials!$1:$1,0))*Diesel_density*Project_Area*Prim_Lays*Area_trans</f>
        <v>#DIV/0!</v>
      </c>
      <c r="J65" s="250" t="e" cm="1">
        <f t="array" aca="1" ref="J6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5" s="250" t="e" cm="1">
        <f t="array" aca="1" ref="K6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5" s="250" t="e" cm="1">
        <f t="array" aca="1" ref="L6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5" s="250" t="e" cm="1">
        <f t="array" aca="1" ref="M6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5" s="250" t="e" cm="1">
        <f t="array" aca="1" ref="N6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5" s="250" t="e" cm="1">
        <f t="array" aca="1" ref="O6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5" s="250" t="e" cm="1">
        <f t="array" aca="1" ref="P6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5" s="250" t="e" cm="1">
        <f t="array" aca="1" ref="Q6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5" s="250" t="e" cm="1">
        <f t="array" aca="1" ref="R6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5" s="250" t="e" cm="1">
        <f t="array" aca="1" ref="S6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5" s="250" t="e" cm="1">
        <f t="array" aca="1" ref="T6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5" s="250" t="e" cm="1">
        <f t="array" aca="1" ref="U6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5" s="250" t="e" cm="1">
        <f t="array" aca="1" ref="V6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5" s="250" t="e" cm="1">
        <f t="array" aca="1" ref="W6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5" s="250" t="e" cm="1">
        <f t="array" aca="1" ref="X6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5" s="250" t="e" cm="1">
        <f t="array" aca="1" ref="Y6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5" s="250" t="e" cm="1">
        <f t="array" aca="1" ref="Z6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5" s="250" t="e" cm="1">
        <f t="array" aca="1" ref="AA6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5" s="250" t="e" cm="1">
        <f t="array" aca="1" ref="AB6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5" s="250" t="e" cm="1">
        <f t="array" aca="1" ref="AC6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5" s="250" t="e" cm="1">
        <f t="array" aca="1" ref="AD6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5" s="250" t="e" cm="1">
        <f t="array" aca="1" ref="AE6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5" s="250" t="e" cm="1">
        <f t="array" aca="1" ref="AF6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5" s="250" t="e" cm="1">
        <f t="array" aca="1" ref="AG6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5" s="250" t="e" cm="1">
        <f t="array" aca="1" ref="AH6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5" s="250" t="e" cm="1">
        <f t="array" aca="1" ref="AI6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5" s="250" t="e" cm="1">
        <f t="array" aca="1" ref="AJ6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5" s="165" cm="1">
        <f t="array" aca="1" ref="AK65"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65" s="254" cm="1">
        <f t="array" aca="1" ref="AL6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5" s="251" cm="1">
        <f t="array" aca="1" ref="AM65" ca="1">(SUMPRODUCT(Delay_emissions_table[Consumption of Diesel (kg) - Primary Scenario],IF(Delay_emissions_table[Form of Maintenance - Primary Scenario]="Life Extension",1,0))*INDEX(Indicators,MATCH('Additional Impact Indicators'!$A65,Materials!$D:$D,0),MATCH("diesel combustion",Materials!$1:$1,0))+SUMPRODUCT(Delay_emissions_table[Consumption of Petrol (kg) - Primary Scenario],IF(Delay_emissions_table[Form of Maintenance - Primary Scenario]="Life Extension",1,0))*INDEX(Indicators,MATCH('Additional Impact Indicators'!$A65,Materials!$D:$D,0),MATCH("petrol combustion",Materials!$1:$1,0))+IFERROR(SUMPRODUCT(TRANSPOSE(INDEX(elec_project_emissions,MATCH(Elec_scenario&amp;'Additional Impact Indicators'!$B65,INDEX(Electricity_projection,0,3),0)-1,0)),Delay_emissions_table[Consumption of electricity (MJ) - Primary Scenario],IF(Delay_emissions_table[Form of Maintenance - Primary Scenario]="Life Extension",1,0)),0))*Area_trans*Time_adj_Prim</f>
        <v>0</v>
      </c>
      <c r="AN65" s="251" cm="1">
        <f t="array" aca="1" ref="AN65" ca="1">(SUMPRODUCT(Delay_emissions_table[Consumption of Diesel (kg) - Primary Scenario],IF(Delay_emissions_table[Form of Maintenance - Primary Scenario]="Replacement",1,0))*INDEX(Indicators,MATCH('Additional Impact Indicators'!$A65,Materials!$D:$D,0),MATCH("diesel combustion",Materials!$1:$1,0))+SUMPRODUCT(Delay_emissions_table[Consumption of Petrol (kg) - Primary Scenario],IF(Delay_emissions_table[Form of Maintenance - Primary Scenario]="Replacement",1,0))*INDEX(Indicators,MATCH('Additional Impact Indicators'!$A65,Materials!$D:$D,0),MATCH("petrol combustion",Materials!$1:$1,0))+IFERROR(SUMPRODUCT(TRANSPOSE(INDEX(elec_project_emissions,MATCH(Elec_scenario&amp;'Additional Impact Indicators'!$B65,INDEX(Electricity_projection,0,3),0)-1,0)),Delay_emissions_table[Consumption of electricity (MJ) - Primary Scenario],IF(Delay_emissions_table[Form of Maintenance - Primary Scenario]="Replacement",1,0)),0))*Area_trans*Time_adj_Prim</f>
        <v>0</v>
      </c>
      <c r="AO65" s="252" t="e" cm="1">
        <f t="array" ref="AO6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5" s="252" t="e" cm="1">
        <f t="array" ref="AP6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5" s="253" t="e" cm="1">
        <f t="array" ref="AQ6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5" s="385" t="e" cm="1">
        <f t="array" ref="AR6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5" t="e">
        <f ca="1">SUMIF('Additional Impact Indicators'!$G65:$AQ65,"&lt;&gt;#N/A")</f>
        <v>#DIV/0!</v>
      </c>
      <c r="AW65" s="155" t="s">
        <v>561</v>
      </c>
      <c r="AX65" s="155" t="s">
        <v>382</v>
      </c>
      <c r="AY65" t="str">
        <f t="shared" si="4"/>
        <v>A1</v>
      </c>
      <c r="AZ65" s="155" t="s">
        <v>54</v>
      </c>
      <c r="BB65">
        <f>MATCH(Table3[[#This Row],[Indicator]],Material_Impacts[Look up],0)</f>
        <v>5</v>
      </c>
      <c r="BC65" s="246" cm="1">
        <f t="array" aca="1" ref="BC6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5" s="165" cm="1">
        <f t="array" ref="BD6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5" s="165" t="e">
        <f>Diesel_RawM_Sec*INDEX(Indicators,MATCH(Impacts_Additional[[#This Row],[Indicator]],Materials!$D:$D,0),MATCH("Diesel Combustion",Materials!$1:$1,0))*Diesel_density*Project_Area*Sec_Lays*Area_trans</f>
        <v>#DIV/0!</v>
      </c>
      <c r="BF65" s="35" t="e" cm="1">
        <f t="array" aca="1" ref="BF6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5" s="35" t="e" cm="1">
        <f t="array" aca="1" ref="BG6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5" t="e" cm="1">
        <f t="array" aca="1" ref="BH6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5" s="35" t="e" cm="1">
        <f t="array" aca="1" ref="BI6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5" s="35" t="e" cm="1">
        <f t="array" aca="1" ref="BJ6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5" t="e" cm="1">
        <f t="array" aca="1" ref="BK6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5" s="35" t="e" cm="1">
        <f t="array" aca="1" ref="BL6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5" s="35" t="e" cm="1">
        <f t="array" aca="1" ref="BM6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5" t="e" cm="1">
        <f t="array" aca="1" ref="BN6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5" s="35" t="e" cm="1">
        <f t="array" aca="1" ref="BO6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5" s="35" t="e" cm="1">
        <f t="array" aca="1" ref="BP6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5" t="e" cm="1">
        <f t="array" aca="1" ref="BQ6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5" s="35" t="e" cm="1">
        <f t="array" aca="1" ref="BR6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5" s="35" t="e" cm="1">
        <f t="array" aca="1" ref="BS6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5" t="e" cm="1">
        <f t="array" aca="1" ref="BT6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5" s="35" t="e" cm="1">
        <f t="array" aca="1" ref="BU6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5" s="35" t="e" cm="1">
        <f t="array" aca="1" ref="BV6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5" t="e" cm="1">
        <f t="array" aca="1" ref="BW6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5" s="35" t="e" cm="1">
        <f t="array" aca="1" ref="BX6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5" s="35" t="e" cm="1">
        <f t="array" aca="1" ref="BY6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5" t="e" cm="1">
        <f t="array" aca="1" ref="BZ6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5" s="35" t="e" cm="1">
        <f t="array" aca="1" ref="CA6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5" s="35" t="e" cm="1">
        <f t="array" aca="1" ref="CB6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5" t="e" cm="1">
        <f t="array" aca="1" ref="CC6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5" s="35" t="e" cm="1">
        <f t="array" aca="1" ref="CD6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5" s="35" t="e" cm="1">
        <f t="array" aca="1" ref="CE6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5" t="e" cm="1">
        <f t="array" aca="1" ref="CF6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5" s="165" cm="1">
        <f t="array" aca="1" ref="CG65"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65" s="375" cm="1">
        <f t="array" aca="1" ref="CH6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5" s="251" cm="1">
        <f t="array" aca="1" ref="CI65" ca="1">(SUMPRODUCT(Delay_emissions_table[Consumption of Diesel (kg) - Secondary Scenario],IF(Delay_emissions_table[Form of Maintenance - Secondary Scenario]="Life Extension",1,0))*INDEX(Indicators,MATCH('Additional Impact Indicators'!$A65,Materials!$D:$D,0),MATCH("diesel combustion",Materials!$1:$1,0))+SUMPRODUCT(Delay_emissions_table[Consumption of Petrol (kg) - Secondary Scenario],IF(Delay_emissions_table[Form of Maintenance - Secondary Scenario]="Life Extension",1,0))*INDEX(Indicators,MATCH('Additional Impact Indicators'!$A65,Materials!$D:$D,0),MATCH("petrol combustion",Materials!$1:$1,0))+IFERROR(SUMPRODUCT(TRANSPOSE(INDEX(elec_project_emissions,MATCH(Elec_scenario&amp;'Additional Impact Indicators'!$B65,INDEX(Electricity_projection,0,3),0)-1,0)),Delay_emissions_table[Consumption of electricity (MJ) - Secondary Scenario],IF(Delay_emissions_table[Form of Maintenance - Secondary Scenario]="Life Extension",1,0)),0))*Area_trans*time_adj_Sec</f>
        <v>0</v>
      </c>
      <c r="CJ65" s="251" cm="1">
        <f t="array" aca="1" ref="CJ65" ca="1">(SUMPRODUCT(Delay_emissions_table[Consumption of Diesel (kg) - Secondary Scenario],IF(Delay_emissions_table[Form of Maintenance - Secondary Scenario]="Replacement",1,0))*INDEX(Indicators,MATCH('Additional Impact Indicators'!$A65,Materials!$D:$D,0),MATCH("diesel combustion",Materials!$1:$1,0))+SUMPRODUCT(Delay_emissions_table[Consumption of Petrol (kg) - Secondary Scenario],IF(Delay_emissions_table[Form of Maintenance - Secondary Scenario]="Replacement",1,0))*INDEX(Indicators,MATCH('Additional Impact Indicators'!$A65,Materials!$D:$D,0),MATCH("petrol combustion",Materials!$1:$1,0))+IFERROR(SUMPRODUCT(TRANSPOSE(INDEX(elec_project_emissions,MATCH(Elec_scenario&amp;'Additional Impact Indicators'!$B65,INDEX(Electricity_projection,0,3),0)-1,0)),Delay_emissions_table[Consumption of electricity (MJ) - Secondary Scenario],IF(Delay_emissions_table[Form of Maintenance - Secondary Scenario]="Replacement",1,0)),0))*Area_trans*time_adj_Sec</f>
        <v>0</v>
      </c>
      <c r="CK65" s="252" t="e" cm="1">
        <f t="array" ref="CK6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5" s="252" t="e" cm="1">
        <f t="array" ref="CL6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5" s="253" t="e" cm="1">
        <f t="array" ref="CM6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5" s="387" t="e" cm="1">
        <f t="array" ref="CN6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5" s="51" t="e">
        <f ca="1">SUMIF(Table3[[#This Row],[Raw-Materials]:[Transport to recycling facility]],"&lt;&gt;#N/A")</f>
        <v>#DIV/0!</v>
      </c>
      <c r="CT65" t="s">
        <v>561</v>
      </c>
      <c r="CU65" t="s">
        <v>382</v>
      </c>
      <c r="CV65" t="str">
        <f t="shared" si="3"/>
        <v>A1</v>
      </c>
      <c r="CW65" t="s">
        <v>54</v>
      </c>
      <c r="CY65">
        <f>MATCH(Table611[[#This Row],[Indicator]],Material_Impacts[Look up],0)</f>
        <v>5</v>
      </c>
      <c r="CZ65" s="246" cm="1">
        <f t="array" aca="1" ref="CZ6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5" s="165" cm="1">
        <f t="array" ref="DA6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5" s="165" t="e">
        <f>Diesel_RawM_Tert*INDEX(Indicators,MATCH(Impacts_Additional[[#This Row],[Indicator]],Materials!$D:$D,0),MATCH("Diesel Combustion",Materials!$1:$1,0))*Diesel_density*Project_Area*Tert_Lays*Area_trans</f>
        <v>#DIV/0!</v>
      </c>
      <c r="DC65" s="35" t="e" cm="1">
        <f t="array" aca="1" ref="DC6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5" s="35" t="e" cm="1">
        <f t="array" aca="1" ref="DD6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5" t="e" cm="1">
        <f t="array" aca="1" ref="DE6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5" s="35" t="e" cm="1">
        <f t="array" aca="1" ref="DF6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5" s="35" t="e" cm="1">
        <f t="array" aca="1" ref="DG6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5" t="e" cm="1">
        <f t="array" aca="1" ref="DH6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5" s="35" t="e" cm="1">
        <f t="array" aca="1" ref="DI6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5" s="35" t="e" cm="1">
        <f t="array" aca="1" ref="DJ6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5" t="e" cm="1">
        <f t="array" aca="1" ref="DK6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5" s="35" t="e" cm="1">
        <f t="array" aca="1" ref="DL6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5" s="35" t="e" cm="1">
        <f t="array" aca="1" ref="DM6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5" t="e" cm="1">
        <f t="array" aca="1" ref="DN6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5" s="35" t="e" cm="1">
        <f t="array" aca="1" ref="DO6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5" s="35" t="e" cm="1">
        <f t="array" aca="1" ref="DP6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5" t="e" cm="1">
        <f t="array" aca="1" ref="DQ6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5" s="35" t="e" cm="1">
        <f t="array" aca="1" ref="DR6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5" s="35" t="e" cm="1">
        <f t="array" aca="1" ref="DS6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5" t="e" cm="1">
        <f t="array" aca="1" ref="DT6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5" s="35" t="e" cm="1">
        <f t="array" aca="1" ref="DU6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5" s="35" t="e" cm="1">
        <f t="array" aca="1" ref="DV6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5" t="e" cm="1">
        <f t="array" aca="1" ref="DW6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5" s="35" t="e" cm="1">
        <f t="array" aca="1" ref="DX6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5" s="35" t="e" cm="1">
        <f t="array" aca="1" ref="DY6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5" t="e" cm="1">
        <f t="array" aca="1" ref="DZ6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5" s="35" t="e" cm="1">
        <f t="array" aca="1" ref="EA6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5" s="35" t="e" cm="1">
        <f t="array" aca="1" ref="EB6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5" t="e" cm="1">
        <f t="array" aca="1" ref="EC6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5" s="165" cm="1">
        <f t="array" aca="1" ref="ED65"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65" s="375" cm="1">
        <f t="array" aca="1" ref="EE6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5" s="251" cm="1">
        <f t="array" aca="1" ref="EF65" ca="1">(SUMPRODUCT(Delay_emissions_table[Consumption of Diesel (kg) - Tertiary Scenario],IF(Delay_emissions_table[Form of Maintenance - Tertiary Scenario]="Life Extension",1,0))*INDEX(Indicators,MATCH('Additional Impact Indicators'!$A65,Materials!$D:$D,0),MATCH("diesel combustion",Materials!$1:$1,0))+SUMPRODUCT(Delay_emissions_table[Consumption of Petrol (kg) - Tertiary Scenario],IF(Delay_emissions_table[Form of Maintenance - Tertiary Scenario]="Life Extension",1,0))*INDEX(Indicators,MATCH('Additional Impact Indicators'!$A65,Materials!$D:$D,0),MATCH("petrol combustion",Materials!$1:$1,0))+IFERROR(SUMPRODUCT(TRANSPOSE(INDEX(elec_project_emissions,MATCH(Elec_scenario&amp;'Additional Impact Indicators'!$B65,INDEX(Electricity_projection,0,3),0)-1,0)),Delay_emissions_table[Consumption of electricity (MJ) - Tertiary Scenario],IF(Delay_emissions_table[Form of Maintenance - Tertiary Scenario]="Life Extension",1,0)),0))*Area_trans*Time_adj_Tert</f>
        <v>0</v>
      </c>
      <c r="EG65" s="251" cm="1">
        <f t="array" aca="1" ref="EG65" ca="1">(SUMPRODUCT(Delay_emissions_table[Consumption of Diesel (kg) - Tertiary Scenario],IF(Delay_emissions_table[Form of Maintenance - Tertiary Scenario]="Replacement",1,0))*INDEX(Indicators,MATCH('Additional Impact Indicators'!$A65,Materials!$D:$D,0),MATCH("diesel combustion",Materials!$1:$1,0))+SUMPRODUCT(Delay_emissions_table[Consumption of Petrol (kg) - Tertiary Scenario],IF(Delay_emissions_table[Form of Maintenance - Tertiary Scenario]="Replacement",1,0))*INDEX(Indicators,MATCH('Additional Impact Indicators'!$A65,Materials!$D:$D,0),MATCH("petrol combustion",Materials!$1:$1,0))+IFERROR(SUMPRODUCT(TRANSPOSE(INDEX(elec_project_emissions,MATCH(Elec_scenario&amp;'Additional Impact Indicators'!$B65,INDEX(Electricity_projection,0,3),0)-1,0)),Delay_emissions_table[Consumption of electricity (MJ) - Tertiary Scenario],IF(Delay_emissions_table[Form of Maintenance - Tertiary Scenario]="Replacement",1,0)),0))*Area_trans*Time_adj_Tert</f>
        <v>0</v>
      </c>
      <c r="EH65" s="252" t="e" cm="1">
        <f t="array" ref="EH6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5" s="252" t="e" cm="1">
        <f t="array" ref="EI6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5" s="253" t="e" cm="1">
        <f t="array" ref="EJ6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5" s="253" t="e" cm="1">
        <f t="array" ref="EK6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5" t="e">
        <f ca="1">SUMIF(Table611[[#This Row],[Raw-Materials]:[Transport to recycling facility]],"&lt;&gt;#N/A")</f>
        <v>#DIV/0!</v>
      </c>
    </row>
    <row r="66" spans="1:142" x14ac:dyDescent="0.35">
      <c r="A66" t="s">
        <v>562</v>
      </c>
      <c r="B66" t="s">
        <v>403</v>
      </c>
      <c r="C66" t="str">
        <f t="shared" si="1"/>
        <v>A1</v>
      </c>
      <c r="D66" t="s">
        <v>54</v>
      </c>
      <c r="F66">
        <f>MATCH(Impacts_Additional[[#This Row],[Indicator]],Material_Impacts[Look up],0)</f>
        <v>6</v>
      </c>
      <c r="G66" s="246" cm="1">
        <f t="array" aca="1" ref="G6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6" s="166" cm="1">
        <f t="array" ref="H6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6" s="166" t="e">
        <f>Diesel_RawM_Prim*INDEX(Indicators,MATCH(Impacts_Additional[[#This Row],[Indicator]],Materials!$D:$D,0),MATCH("Diesel Combustion",Materials!$1:$1,0))*Diesel_density*Project_Area*Prim_Lays*Area_trans</f>
        <v>#DIV/0!</v>
      </c>
      <c r="J66" s="20" t="e" cm="1">
        <f t="array" aca="1" ref="J6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6" s="20" t="e" cm="1">
        <f t="array" aca="1" ref="K6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6" s="20" t="e" cm="1">
        <f t="array" aca="1" ref="L6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6" s="20" t="e" cm="1">
        <f t="array" aca="1" ref="M6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6" s="20" t="e" cm="1">
        <f t="array" aca="1" ref="N6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6" s="20" t="e" cm="1">
        <f t="array" aca="1" ref="O6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6" s="20" t="e" cm="1">
        <f t="array" aca="1" ref="P6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6" s="20" t="e" cm="1">
        <f t="array" aca="1" ref="Q6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6" s="20" t="e" cm="1">
        <f t="array" aca="1" ref="R6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6" s="20" t="e" cm="1">
        <f t="array" aca="1" ref="S6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6" s="20" t="e" cm="1">
        <f t="array" aca="1" ref="T6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6" s="20" t="e" cm="1">
        <f t="array" aca="1" ref="U6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6" s="20" t="e" cm="1">
        <f t="array" aca="1" ref="V6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6" s="20" t="e" cm="1">
        <f t="array" aca="1" ref="W6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6" s="20" t="e" cm="1">
        <f t="array" aca="1" ref="X6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6" s="20" t="e" cm="1">
        <f t="array" aca="1" ref="Y6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6" s="20" t="e" cm="1">
        <f t="array" aca="1" ref="Z6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6" s="20" t="e" cm="1">
        <f t="array" aca="1" ref="AA6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6" s="20" t="e" cm="1">
        <f t="array" aca="1" ref="AB6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6" s="20" t="e" cm="1">
        <f t="array" aca="1" ref="AC6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6" s="20" t="e" cm="1">
        <f t="array" aca="1" ref="AD6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6" s="20" t="e" cm="1">
        <f t="array" aca="1" ref="AE6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6" s="20" t="e" cm="1">
        <f t="array" aca="1" ref="AF6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6" s="20" t="e" cm="1">
        <f t="array" aca="1" ref="AG6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6" s="20" t="e" cm="1">
        <f t="array" aca="1" ref="AH6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6" s="20" t="e" cm="1">
        <f t="array" aca="1" ref="AI6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6" s="20" t="e" cm="1">
        <f t="array" aca="1" ref="AJ6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6" s="166" cm="1">
        <f t="array" aca="1" ref="AK66"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66" s="1" cm="1">
        <f t="array" aca="1" ref="AL6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6" s="247" cm="1">
        <f t="array" aca="1" ref="AM66" ca="1">(SUMPRODUCT(Delay_emissions_table[Consumption of Diesel (kg) - Primary Scenario],IF(Delay_emissions_table[Form of Maintenance - Primary Scenario]="Life Extension",1,0))*INDEX(Indicators,MATCH('Additional Impact Indicators'!$A66,Materials!$D:$D,0),MATCH("diesel combustion",Materials!$1:$1,0))+SUMPRODUCT(Delay_emissions_table[Consumption of Petrol (kg) - Primary Scenario],IF(Delay_emissions_table[Form of Maintenance - Primary Scenario]="Life Extension",1,0))*INDEX(Indicators,MATCH('Additional Impact Indicators'!$A66,Materials!$D:$D,0),MATCH("petrol combustion",Materials!$1:$1,0))+IFERROR(SUMPRODUCT(TRANSPOSE(INDEX(elec_project_emissions,MATCH(Elec_scenario&amp;'Additional Impact Indicators'!$B66,INDEX(Electricity_projection,0,3),0)-1,0)),Delay_emissions_table[Consumption of electricity (MJ) - Primary Scenario],IF(Delay_emissions_table[Form of Maintenance - Primary Scenario]="Life Extension",1,0)),0))*Area_trans*Time_adj_Prim</f>
        <v>0</v>
      </c>
      <c r="AN66" s="247" cm="1">
        <f t="array" aca="1" ref="AN66" ca="1">(SUMPRODUCT(Delay_emissions_table[Consumption of Diesel (kg) - Primary Scenario],IF(Delay_emissions_table[Form of Maintenance - Primary Scenario]="Replacement",1,0))*INDEX(Indicators,MATCH('Additional Impact Indicators'!$A66,Materials!$D:$D,0),MATCH("diesel combustion",Materials!$1:$1,0))+SUMPRODUCT(Delay_emissions_table[Consumption of Petrol (kg) - Primary Scenario],IF(Delay_emissions_table[Form of Maintenance - Primary Scenario]="Replacement",1,0))*INDEX(Indicators,MATCH('Additional Impact Indicators'!$A66,Materials!$D:$D,0),MATCH("petrol combustion",Materials!$1:$1,0))+IFERROR(SUMPRODUCT(TRANSPOSE(INDEX(elec_project_emissions,MATCH(Elec_scenario&amp;'Additional Impact Indicators'!$B66,INDEX(Electricity_projection,0,3),0)-1,0)),Delay_emissions_table[Consumption of electricity (MJ) - Primary Scenario],IF(Delay_emissions_table[Form of Maintenance - Primary Scenario]="Replacement",1,0)),0))*Area_trans*Time_adj_Prim</f>
        <v>0</v>
      </c>
      <c r="AO66" s="248" t="e" cm="1">
        <f t="array" ref="AO6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6" s="248" t="e" cm="1">
        <f t="array" ref="AP6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6" s="249" t="e" cm="1">
        <f t="array" ref="AQ6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6" s="386" t="e" cm="1">
        <f t="array" ref="AR6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6" t="e">
        <f ca="1">SUMIF('Additional Impact Indicators'!$G66:$AQ66,"&lt;&gt;#N/A")</f>
        <v>#DIV/0!</v>
      </c>
      <c r="AW66" t="s">
        <v>562</v>
      </c>
      <c r="AX66" t="s">
        <v>403</v>
      </c>
      <c r="AY66" t="str">
        <f t="shared" si="4"/>
        <v>A1</v>
      </c>
      <c r="AZ66" t="s">
        <v>54</v>
      </c>
      <c r="BB66">
        <f>MATCH(Table3[[#This Row],[Indicator]],Material_Impacts[Look up],0)</f>
        <v>6</v>
      </c>
      <c r="BC66" s="246" cm="1">
        <f t="array" aca="1" ref="BC6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6" s="166" cm="1">
        <f t="array" ref="BD6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6" s="166" t="e">
        <f>Diesel_RawM_Sec*INDEX(Indicators,MATCH(Impacts_Additional[[#This Row],[Indicator]],Materials!$D:$D,0),MATCH("Diesel Combustion",Materials!$1:$1,0))*Diesel_density*Project_Area*Sec_Lays*Area_trans</f>
        <v>#DIV/0!</v>
      </c>
      <c r="BF66" s="35" t="e" cm="1">
        <f t="array" aca="1" ref="BF6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6" s="35" t="e" cm="1">
        <f t="array" aca="1" ref="BG6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6" t="e" cm="1">
        <f t="array" aca="1" ref="BH6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6" s="35" t="e" cm="1">
        <f t="array" aca="1" ref="BI6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6" s="35" t="e" cm="1">
        <f t="array" aca="1" ref="BJ6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6" t="e" cm="1">
        <f t="array" aca="1" ref="BK6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6" s="35" t="e" cm="1">
        <f t="array" aca="1" ref="BL6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6" s="35" t="e" cm="1">
        <f t="array" aca="1" ref="BM6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6" t="e" cm="1">
        <f t="array" aca="1" ref="BN6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6" s="35" t="e" cm="1">
        <f t="array" aca="1" ref="BO6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6" s="35" t="e" cm="1">
        <f t="array" aca="1" ref="BP6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6" t="e" cm="1">
        <f t="array" aca="1" ref="BQ6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6" s="35" t="e" cm="1">
        <f t="array" aca="1" ref="BR6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6" s="35" t="e" cm="1">
        <f t="array" aca="1" ref="BS6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6" t="e" cm="1">
        <f t="array" aca="1" ref="BT6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6" s="35" t="e" cm="1">
        <f t="array" aca="1" ref="BU6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6" s="35" t="e" cm="1">
        <f t="array" aca="1" ref="BV6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6" t="e" cm="1">
        <f t="array" aca="1" ref="BW6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6" s="35" t="e" cm="1">
        <f t="array" aca="1" ref="BX6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6" s="35" t="e" cm="1">
        <f t="array" aca="1" ref="BY6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6" t="e" cm="1">
        <f t="array" aca="1" ref="BZ6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6" s="35" t="e" cm="1">
        <f t="array" aca="1" ref="CA6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6" s="35" t="e" cm="1">
        <f t="array" aca="1" ref="CB6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6" t="e" cm="1">
        <f t="array" aca="1" ref="CC6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6" s="35" t="e" cm="1">
        <f t="array" aca="1" ref="CD6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6" s="35" t="e" cm="1">
        <f t="array" aca="1" ref="CE6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6" t="e" cm="1">
        <f t="array" aca="1" ref="CF6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6" s="166" cm="1">
        <f t="array" aca="1" ref="CG66"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66" s="375" cm="1">
        <f t="array" aca="1" ref="CH6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6" s="247" cm="1">
        <f t="array" aca="1" ref="CI66" ca="1">(SUMPRODUCT(Delay_emissions_table[Consumption of Diesel (kg) - Secondary Scenario],IF(Delay_emissions_table[Form of Maintenance - Secondary Scenario]="Life Extension",1,0))*INDEX(Indicators,MATCH('Additional Impact Indicators'!$A66,Materials!$D:$D,0),MATCH("diesel combustion",Materials!$1:$1,0))+SUMPRODUCT(Delay_emissions_table[Consumption of Petrol (kg) - Secondary Scenario],IF(Delay_emissions_table[Form of Maintenance - Secondary Scenario]="Life Extension",1,0))*INDEX(Indicators,MATCH('Additional Impact Indicators'!$A66,Materials!$D:$D,0),MATCH("petrol combustion",Materials!$1:$1,0))+IFERROR(SUMPRODUCT(TRANSPOSE(INDEX(elec_project_emissions,MATCH(Elec_scenario&amp;'Additional Impact Indicators'!$B66,INDEX(Electricity_projection,0,3),0)-1,0)),Delay_emissions_table[Consumption of electricity (MJ) - Secondary Scenario],IF(Delay_emissions_table[Form of Maintenance - Secondary Scenario]="Life Extension",1,0)),0))*Area_trans*time_adj_Sec</f>
        <v>0</v>
      </c>
      <c r="CJ66" s="247" cm="1">
        <f t="array" aca="1" ref="CJ66" ca="1">(SUMPRODUCT(Delay_emissions_table[Consumption of Diesel (kg) - Secondary Scenario],IF(Delay_emissions_table[Form of Maintenance - Secondary Scenario]="Replacement",1,0))*INDEX(Indicators,MATCH('Additional Impact Indicators'!$A66,Materials!$D:$D,0),MATCH("diesel combustion",Materials!$1:$1,0))+SUMPRODUCT(Delay_emissions_table[Consumption of Petrol (kg) - Secondary Scenario],IF(Delay_emissions_table[Form of Maintenance - Secondary Scenario]="Replacement",1,0))*INDEX(Indicators,MATCH('Additional Impact Indicators'!$A66,Materials!$D:$D,0),MATCH("petrol combustion",Materials!$1:$1,0))+IFERROR(SUMPRODUCT(TRANSPOSE(INDEX(elec_project_emissions,MATCH(Elec_scenario&amp;'Additional Impact Indicators'!$B66,INDEX(Electricity_projection,0,3),0)-1,0)),Delay_emissions_table[Consumption of electricity (MJ) - Secondary Scenario],IF(Delay_emissions_table[Form of Maintenance - Secondary Scenario]="Replacement",1,0)),0))*Area_trans*time_adj_Sec</f>
        <v>0</v>
      </c>
      <c r="CK66" s="248" t="e" cm="1">
        <f t="array" ref="CK6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6" s="248" t="e" cm="1">
        <f t="array" ref="CL6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6" s="249" t="e" cm="1">
        <f t="array" ref="CM6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6" s="387" t="e" cm="1">
        <f t="array" ref="CN6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6" s="51" t="e">
        <f ca="1">SUMIF(Table3[[#This Row],[Raw-Materials]:[Transport to recycling facility]],"&lt;&gt;#N/A")</f>
        <v>#DIV/0!</v>
      </c>
      <c r="CT66" t="s">
        <v>562</v>
      </c>
      <c r="CU66" t="s">
        <v>403</v>
      </c>
      <c r="CV66" t="str">
        <f t="shared" si="3"/>
        <v>A1</v>
      </c>
      <c r="CW66" t="s">
        <v>54</v>
      </c>
      <c r="CY66">
        <f>MATCH(Table611[[#This Row],[Indicator]],Material_Impacts[Look up],0)</f>
        <v>6</v>
      </c>
      <c r="CZ66" s="246" cm="1">
        <f t="array" aca="1" ref="CZ6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6" s="166" cm="1">
        <f t="array" ref="DA6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6" s="166" t="e">
        <f>Diesel_RawM_Tert*INDEX(Indicators,MATCH(Impacts_Additional[[#This Row],[Indicator]],Materials!$D:$D,0),MATCH("Diesel Combustion",Materials!$1:$1,0))*Diesel_density*Project_Area*Tert_Lays*Area_trans</f>
        <v>#DIV/0!</v>
      </c>
      <c r="DC66" s="35" t="e" cm="1">
        <f t="array" aca="1" ref="DC6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6" s="35" t="e" cm="1">
        <f t="array" aca="1" ref="DD6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6" t="e" cm="1">
        <f t="array" aca="1" ref="DE6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6" s="35" t="e" cm="1">
        <f t="array" aca="1" ref="DF6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6" s="35" t="e" cm="1">
        <f t="array" aca="1" ref="DG6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6" t="e" cm="1">
        <f t="array" aca="1" ref="DH6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6" s="35" t="e" cm="1">
        <f t="array" aca="1" ref="DI6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6" s="35" t="e" cm="1">
        <f t="array" aca="1" ref="DJ6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6" t="e" cm="1">
        <f t="array" aca="1" ref="DK6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6" s="35" t="e" cm="1">
        <f t="array" aca="1" ref="DL6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6" s="35" t="e" cm="1">
        <f t="array" aca="1" ref="DM6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6" t="e" cm="1">
        <f t="array" aca="1" ref="DN6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6" s="35" t="e" cm="1">
        <f t="array" aca="1" ref="DO6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6" s="35" t="e" cm="1">
        <f t="array" aca="1" ref="DP6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6" t="e" cm="1">
        <f t="array" aca="1" ref="DQ6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6" s="35" t="e" cm="1">
        <f t="array" aca="1" ref="DR6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6" s="35" t="e" cm="1">
        <f t="array" aca="1" ref="DS6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6" t="e" cm="1">
        <f t="array" aca="1" ref="DT6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6" s="35" t="e" cm="1">
        <f t="array" aca="1" ref="DU6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6" s="35" t="e" cm="1">
        <f t="array" aca="1" ref="DV6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6" t="e" cm="1">
        <f t="array" aca="1" ref="DW6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6" s="35" t="e" cm="1">
        <f t="array" aca="1" ref="DX6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6" s="35" t="e" cm="1">
        <f t="array" aca="1" ref="DY6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6" t="e" cm="1">
        <f t="array" aca="1" ref="DZ6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6" s="35" t="e" cm="1">
        <f t="array" aca="1" ref="EA6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6" s="35" t="e" cm="1">
        <f t="array" aca="1" ref="EB6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6" t="e" cm="1">
        <f t="array" aca="1" ref="EC6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6" s="166" cm="1">
        <f t="array" aca="1" ref="ED66"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66" s="375" cm="1">
        <f t="array" aca="1" ref="EE6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6" s="247" cm="1">
        <f t="array" aca="1" ref="EF66" ca="1">(SUMPRODUCT(Delay_emissions_table[Consumption of Diesel (kg) - Tertiary Scenario],IF(Delay_emissions_table[Form of Maintenance - Tertiary Scenario]="Life Extension",1,0))*INDEX(Indicators,MATCH('Additional Impact Indicators'!$A66,Materials!$D:$D,0),MATCH("diesel combustion",Materials!$1:$1,0))+SUMPRODUCT(Delay_emissions_table[Consumption of Petrol (kg) - Tertiary Scenario],IF(Delay_emissions_table[Form of Maintenance - Tertiary Scenario]="Life Extension",1,0))*INDEX(Indicators,MATCH('Additional Impact Indicators'!$A66,Materials!$D:$D,0),MATCH("petrol combustion",Materials!$1:$1,0))+IFERROR(SUMPRODUCT(TRANSPOSE(INDEX(elec_project_emissions,MATCH(Elec_scenario&amp;'Additional Impact Indicators'!$B66,INDEX(Electricity_projection,0,3),0)-1,0)),Delay_emissions_table[Consumption of electricity (MJ) - Tertiary Scenario],IF(Delay_emissions_table[Form of Maintenance - Tertiary Scenario]="Life Extension",1,0)),0))*Area_trans*Time_adj_Tert</f>
        <v>0</v>
      </c>
      <c r="EG66" s="247" cm="1">
        <f t="array" aca="1" ref="EG66" ca="1">(SUMPRODUCT(Delay_emissions_table[Consumption of Diesel (kg) - Tertiary Scenario],IF(Delay_emissions_table[Form of Maintenance - Tertiary Scenario]="Replacement",1,0))*INDEX(Indicators,MATCH('Additional Impact Indicators'!$A66,Materials!$D:$D,0),MATCH("diesel combustion",Materials!$1:$1,0))+SUMPRODUCT(Delay_emissions_table[Consumption of Petrol (kg) - Tertiary Scenario],IF(Delay_emissions_table[Form of Maintenance - Tertiary Scenario]="Replacement",1,0))*INDEX(Indicators,MATCH('Additional Impact Indicators'!$A66,Materials!$D:$D,0),MATCH("petrol combustion",Materials!$1:$1,0))+IFERROR(SUMPRODUCT(TRANSPOSE(INDEX(elec_project_emissions,MATCH(Elec_scenario&amp;'Additional Impact Indicators'!$B66,INDEX(Electricity_projection,0,3),0)-1,0)),Delay_emissions_table[Consumption of electricity (MJ) - Tertiary Scenario],IF(Delay_emissions_table[Form of Maintenance - Tertiary Scenario]="Replacement",1,0)),0))*Area_trans*Time_adj_Tert</f>
        <v>0</v>
      </c>
      <c r="EH66" s="248" t="e" cm="1">
        <f t="array" ref="EH6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6" s="248" t="e" cm="1">
        <f t="array" ref="EI6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6" s="249" t="e" cm="1">
        <f t="array" ref="EJ6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6" s="249" t="e" cm="1">
        <f t="array" ref="EK6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6" t="e">
        <f ca="1">SUMIF(Table611[[#This Row],[Raw-Materials]:[Transport to recycling facility]],"&lt;&gt;#N/A")</f>
        <v>#DIV/0!</v>
      </c>
    </row>
    <row r="67" spans="1:142" x14ac:dyDescent="0.35">
      <c r="A67" s="155" t="s">
        <v>563</v>
      </c>
      <c r="B67" s="155" t="s">
        <v>495</v>
      </c>
      <c r="C67" s="155" t="str">
        <f t="shared" si="1"/>
        <v>A1</v>
      </c>
      <c r="D67" s="155" t="s">
        <v>54</v>
      </c>
      <c r="E67" s="155"/>
      <c r="F67">
        <f>MATCH(Impacts_Additional[[#This Row],[Indicator]],Material_Impacts[Look up],0)</f>
        <v>7</v>
      </c>
      <c r="G67" s="246" cm="1">
        <f t="array" aca="1" ref="G6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7" s="165" cm="1">
        <f t="array" ref="H6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7" s="165" t="e">
        <f>Diesel_RawM_Prim*INDEX(Indicators,MATCH(Impacts_Additional[[#This Row],[Indicator]],Materials!$D:$D,0),MATCH("Diesel Combustion",Materials!$1:$1,0))*Diesel_density*Project_Area*Prim_Lays*Area_trans</f>
        <v>#DIV/0!</v>
      </c>
      <c r="J67" s="250" t="e" cm="1">
        <f t="array" aca="1" ref="J6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7" s="250" t="e" cm="1">
        <f t="array" aca="1" ref="K6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7" s="250" t="e" cm="1">
        <f t="array" aca="1" ref="L6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7" s="250" t="e" cm="1">
        <f t="array" aca="1" ref="M6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7" s="250" t="e" cm="1">
        <f t="array" aca="1" ref="N6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7" s="250" t="e" cm="1">
        <f t="array" aca="1" ref="O6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7" s="250" t="e" cm="1">
        <f t="array" aca="1" ref="P6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7" s="250" t="e" cm="1">
        <f t="array" aca="1" ref="Q6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7" s="250" t="e" cm="1">
        <f t="array" aca="1" ref="R6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7" s="250" t="e" cm="1">
        <f t="array" aca="1" ref="S6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7" s="250" t="e" cm="1">
        <f t="array" aca="1" ref="T6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7" s="250" t="e" cm="1">
        <f t="array" aca="1" ref="U6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7" s="250" t="e" cm="1">
        <f t="array" aca="1" ref="V6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7" s="250" t="e" cm="1">
        <f t="array" aca="1" ref="W6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7" s="250" t="e" cm="1">
        <f t="array" aca="1" ref="X6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7" s="250" t="e" cm="1">
        <f t="array" aca="1" ref="Y6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7" s="250" t="e" cm="1">
        <f t="array" aca="1" ref="Z6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7" s="250" t="e" cm="1">
        <f t="array" aca="1" ref="AA6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7" s="250" t="e" cm="1">
        <f t="array" aca="1" ref="AB6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7" s="250" t="e" cm="1">
        <f t="array" aca="1" ref="AC6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7" s="250" t="e" cm="1">
        <f t="array" aca="1" ref="AD6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7" s="250" t="e" cm="1">
        <f t="array" aca="1" ref="AE6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7" s="250" t="e" cm="1">
        <f t="array" aca="1" ref="AF6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7" s="250" t="e" cm="1">
        <f t="array" aca="1" ref="AG6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7" s="250" t="e" cm="1">
        <f t="array" aca="1" ref="AH6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7" s="250" t="e" cm="1">
        <f t="array" aca="1" ref="AI6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7" s="250" t="e" cm="1">
        <f t="array" aca="1" ref="AJ6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7" s="165" cm="1">
        <f t="array" aca="1" ref="AK67"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67" s="254" cm="1">
        <f t="array" aca="1" ref="AL6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7" s="251" cm="1">
        <f t="array" aca="1" ref="AM67" ca="1">(SUMPRODUCT(Delay_emissions_table[Consumption of Diesel (kg) - Primary Scenario],IF(Delay_emissions_table[Form of Maintenance - Primary Scenario]="Life Extension",1,0))*INDEX(Indicators,MATCH('Additional Impact Indicators'!$A67,Materials!$D:$D,0),MATCH("diesel combustion",Materials!$1:$1,0))+SUMPRODUCT(Delay_emissions_table[Consumption of Petrol (kg) - Primary Scenario],IF(Delay_emissions_table[Form of Maintenance - Primary Scenario]="Life Extension",1,0))*INDEX(Indicators,MATCH('Additional Impact Indicators'!$A67,Materials!$D:$D,0),MATCH("petrol combustion",Materials!$1:$1,0))+IFERROR(SUMPRODUCT(TRANSPOSE(INDEX(elec_project_emissions,MATCH(Elec_scenario&amp;'Additional Impact Indicators'!$B67,INDEX(Electricity_projection,0,3),0)-1,0)),Delay_emissions_table[Consumption of electricity (MJ) - Primary Scenario],IF(Delay_emissions_table[Form of Maintenance - Primary Scenario]="Life Extension",1,0)),0))*Area_trans*Time_adj_Prim</f>
        <v>0</v>
      </c>
      <c r="AN67" s="251" cm="1">
        <f t="array" aca="1" ref="AN67" ca="1">(SUMPRODUCT(Delay_emissions_table[Consumption of Diesel (kg) - Primary Scenario],IF(Delay_emissions_table[Form of Maintenance - Primary Scenario]="Replacement",1,0))*INDEX(Indicators,MATCH('Additional Impact Indicators'!$A67,Materials!$D:$D,0),MATCH("diesel combustion",Materials!$1:$1,0))+SUMPRODUCT(Delay_emissions_table[Consumption of Petrol (kg) - Primary Scenario],IF(Delay_emissions_table[Form of Maintenance - Primary Scenario]="Replacement",1,0))*INDEX(Indicators,MATCH('Additional Impact Indicators'!$A67,Materials!$D:$D,0),MATCH("petrol combustion",Materials!$1:$1,0))+IFERROR(SUMPRODUCT(TRANSPOSE(INDEX(elec_project_emissions,MATCH(Elec_scenario&amp;'Additional Impact Indicators'!$B67,INDEX(Electricity_projection,0,3),0)-1,0)),Delay_emissions_table[Consumption of electricity (MJ) - Primary Scenario],IF(Delay_emissions_table[Form of Maintenance - Primary Scenario]="Replacement",1,0)),0))*Area_trans*Time_adj_Prim</f>
        <v>0</v>
      </c>
      <c r="AO67" s="252" t="e" cm="1">
        <f t="array" ref="AO6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7" s="252" t="e" cm="1">
        <f t="array" ref="AP6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7" s="253" t="e" cm="1">
        <f t="array" ref="AQ6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7" s="385" t="e" cm="1">
        <f t="array" ref="AR6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7" t="e">
        <f ca="1">SUMIF('Additional Impact Indicators'!$G67:$AQ67,"&lt;&gt;#N/A")</f>
        <v>#DIV/0!</v>
      </c>
      <c r="AW67" s="155" t="s">
        <v>563</v>
      </c>
      <c r="AX67" s="155" t="s">
        <v>495</v>
      </c>
      <c r="AY67" t="str">
        <f t="shared" si="4"/>
        <v>A1</v>
      </c>
      <c r="AZ67" s="155" t="s">
        <v>54</v>
      </c>
      <c r="BB67">
        <f>MATCH(Table3[[#This Row],[Indicator]],Material_Impacts[Look up],0)</f>
        <v>7</v>
      </c>
      <c r="BC67" s="246" cm="1">
        <f t="array" aca="1" ref="BC6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7" s="165" cm="1">
        <f t="array" ref="BD6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7" s="165" t="e">
        <f>Diesel_RawM_Sec*INDEX(Indicators,MATCH(Impacts_Additional[[#This Row],[Indicator]],Materials!$D:$D,0),MATCH("Diesel Combustion",Materials!$1:$1,0))*Diesel_density*Project_Area*Sec_Lays*Area_trans</f>
        <v>#DIV/0!</v>
      </c>
      <c r="BF67" s="35" t="e" cm="1">
        <f t="array" aca="1" ref="BF6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7" s="35" t="e" cm="1">
        <f t="array" aca="1" ref="BG6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7" t="e" cm="1">
        <f t="array" aca="1" ref="BH6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7" s="35" t="e" cm="1">
        <f t="array" aca="1" ref="BI6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7" s="35" t="e" cm="1">
        <f t="array" aca="1" ref="BJ6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7" t="e" cm="1">
        <f t="array" aca="1" ref="BK6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7" s="35" t="e" cm="1">
        <f t="array" aca="1" ref="BL6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7" s="35" t="e" cm="1">
        <f t="array" aca="1" ref="BM6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7" t="e" cm="1">
        <f t="array" aca="1" ref="BN6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7" s="35" t="e" cm="1">
        <f t="array" aca="1" ref="BO6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7" s="35" t="e" cm="1">
        <f t="array" aca="1" ref="BP6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7" t="e" cm="1">
        <f t="array" aca="1" ref="BQ6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7" s="35" t="e" cm="1">
        <f t="array" aca="1" ref="BR6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7" s="35" t="e" cm="1">
        <f t="array" aca="1" ref="BS6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7" t="e" cm="1">
        <f t="array" aca="1" ref="BT6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7" s="35" t="e" cm="1">
        <f t="array" aca="1" ref="BU6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7" s="35" t="e" cm="1">
        <f t="array" aca="1" ref="BV6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7" t="e" cm="1">
        <f t="array" aca="1" ref="BW6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7" s="35" t="e" cm="1">
        <f t="array" aca="1" ref="BX6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7" s="35" t="e" cm="1">
        <f t="array" aca="1" ref="BY6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7" t="e" cm="1">
        <f t="array" aca="1" ref="BZ6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7" s="35" t="e" cm="1">
        <f t="array" aca="1" ref="CA6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7" s="35" t="e" cm="1">
        <f t="array" aca="1" ref="CB6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7" t="e" cm="1">
        <f t="array" aca="1" ref="CC6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7" s="35" t="e" cm="1">
        <f t="array" aca="1" ref="CD6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7" s="35" t="e" cm="1">
        <f t="array" aca="1" ref="CE6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7" t="e" cm="1">
        <f t="array" aca="1" ref="CF6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7" s="165" cm="1">
        <f t="array" aca="1" ref="CG67"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67" s="375" cm="1">
        <f t="array" aca="1" ref="CH6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7" s="251" cm="1">
        <f t="array" aca="1" ref="CI67" ca="1">(SUMPRODUCT(Delay_emissions_table[Consumption of Diesel (kg) - Secondary Scenario],IF(Delay_emissions_table[Form of Maintenance - Secondary Scenario]="Life Extension",1,0))*INDEX(Indicators,MATCH('Additional Impact Indicators'!$A67,Materials!$D:$D,0),MATCH("diesel combustion",Materials!$1:$1,0))+SUMPRODUCT(Delay_emissions_table[Consumption of Petrol (kg) - Secondary Scenario],IF(Delay_emissions_table[Form of Maintenance - Secondary Scenario]="Life Extension",1,0))*INDEX(Indicators,MATCH('Additional Impact Indicators'!$A67,Materials!$D:$D,0),MATCH("petrol combustion",Materials!$1:$1,0))+IFERROR(SUMPRODUCT(TRANSPOSE(INDEX(elec_project_emissions,MATCH(Elec_scenario&amp;'Additional Impact Indicators'!$B67,INDEX(Electricity_projection,0,3),0)-1,0)),Delay_emissions_table[Consumption of electricity (MJ) - Secondary Scenario],IF(Delay_emissions_table[Form of Maintenance - Secondary Scenario]="Life Extension",1,0)),0))*Area_trans*time_adj_Sec</f>
        <v>0</v>
      </c>
      <c r="CJ67" s="251" cm="1">
        <f t="array" aca="1" ref="CJ67" ca="1">(SUMPRODUCT(Delay_emissions_table[Consumption of Diesel (kg) - Secondary Scenario],IF(Delay_emissions_table[Form of Maintenance - Secondary Scenario]="Replacement",1,0))*INDEX(Indicators,MATCH('Additional Impact Indicators'!$A67,Materials!$D:$D,0),MATCH("diesel combustion",Materials!$1:$1,0))+SUMPRODUCT(Delay_emissions_table[Consumption of Petrol (kg) - Secondary Scenario],IF(Delay_emissions_table[Form of Maintenance - Secondary Scenario]="Replacement",1,0))*INDEX(Indicators,MATCH('Additional Impact Indicators'!$A67,Materials!$D:$D,0),MATCH("petrol combustion",Materials!$1:$1,0))+IFERROR(SUMPRODUCT(TRANSPOSE(INDEX(elec_project_emissions,MATCH(Elec_scenario&amp;'Additional Impact Indicators'!$B67,INDEX(Electricity_projection,0,3),0)-1,0)),Delay_emissions_table[Consumption of electricity (MJ) - Secondary Scenario],IF(Delay_emissions_table[Form of Maintenance - Secondary Scenario]="Replacement",1,0)),0))*Area_trans*time_adj_Sec</f>
        <v>0</v>
      </c>
      <c r="CK67" s="252" t="e" cm="1">
        <f t="array" ref="CK6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7" s="252" t="e" cm="1">
        <f t="array" ref="CL6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7" s="253" t="e" cm="1">
        <f t="array" ref="CM6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7" s="387" t="e" cm="1">
        <f t="array" ref="CN6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7" s="51" t="e">
        <f ca="1">SUMIF(Table3[[#This Row],[Raw-Materials]:[Transport to recycling facility]],"&lt;&gt;#N/A")</f>
        <v>#DIV/0!</v>
      </c>
      <c r="CT67" t="s">
        <v>563</v>
      </c>
      <c r="CU67" t="s">
        <v>495</v>
      </c>
      <c r="CV67" t="str">
        <f t="shared" si="3"/>
        <v>A1</v>
      </c>
      <c r="CW67" t="s">
        <v>54</v>
      </c>
      <c r="CY67">
        <f>MATCH(Table611[[#This Row],[Indicator]],Material_Impacts[Look up],0)</f>
        <v>7</v>
      </c>
      <c r="CZ67" s="246" cm="1">
        <f t="array" aca="1" ref="CZ6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7" s="165" cm="1">
        <f t="array" ref="DA6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7" s="165" t="e">
        <f>Diesel_RawM_Tert*INDEX(Indicators,MATCH(Impacts_Additional[[#This Row],[Indicator]],Materials!$D:$D,0),MATCH("Diesel Combustion",Materials!$1:$1,0))*Diesel_density*Project_Area*Tert_Lays*Area_trans</f>
        <v>#DIV/0!</v>
      </c>
      <c r="DC67" s="35" t="e" cm="1">
        <f t="array" aca="1" ref="DC6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7" s="35" t="e" cm="1">
        <f t="array" aca="1" ref="DD6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7" t="e" cm="1">
        <f t="array" aca="1" ref="DE6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7" s="35" t="e" cm="1">
        <f t="array" aca="1" ref="DF6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7" s="35" t="e" cm="1">
        <f t="array" aca="1" ref="DG6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7" t="e" cm="1">
        <f t="array" aca="1" ref="DH6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7" s="35" t="e" cm="1">
        <f t="array" aca="1" ref="DI6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7" s="35" t="e" cm="1">
        <f t="array" aca="1" ref="DJ6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7" t="e" cm="1">
        <f t="array" aca="1" ref="DK6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7" s="35" t="e" cm="1">
        <f t="array" aca="1" ref="DL6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7" s="35" t="e" cm="1">
        <f t="array" aca="1" ref="DM6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7" t="e" cm="1">
        <f t="array" aca="1" ref="DN6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7" s="35" t="e" cm="1">
        <f t="array" aca="1" ref="DO6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7" s="35" t="e" cm="1">
        <f t="array" aca="1" ref="DP6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7" t="e" cm="1">
        <f t="array" aca="1" ref="DQ6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7" s="35" t="e" cm="1">
        <f t="array" aca="1" ref="DR6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7" s="35" t="e" cm="1">
        <f t="array" aca="1" ref="DS6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7" t="e" cm="1">
        <f t="array" aca="1" ref="DT6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7" s="35" t="e" cm="1">
        <f t="array" aca="1" ref="DU6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7" s="35" t="e" cm="1">
        <f t="array" aca="1" ref="DV6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7" t="e" cm="1">
        <f t="array" aca="1" ref="DW6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7" s="35" t="e" cm="1">
        <f t="array" aca="1" ref="DX6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7" s="35" t="e" cm="1">
        <f t="array" aca="1" ref="DY6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7" t="e" cm="1">
        <f t="array" aca="1" ref="DZ6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7" s="35" t="e" cm="1">
        <f t="array" aca="1" ref="EA6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7" s="35" t="e" cm="1">
        <f t="array" aca="1" ref="EB6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7" t="e" cm="1">
        <f t="array" aca="1" ref="EC6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7" s="165" cm="1">
        <f t="array" aca="1" ref="ED67"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67" s="375" cm="1">
        <f t="array" aca="1" ref="EE6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7" s="251" cm="1">
        <f t="array" aca="1" ref="EF67" ca="1">(SUMPRODUCT(Delay_emissions_table[Consumption of Diesel (kg) - Tertiary Scenario],IF(Delay_emissions_table[Form of Maintenance - Tertiary Scenario]="Life Extension",1,0))*INDEX(Indicators,MATCH('Additional Impact Indicators'!$A67,Materials!$D:$D,0),MATCH("diesel combustion",Materials!$1:$1,0))+SUMPRODUCT(Delay_emissions_table[Consumption of Petrol (kg) - Tertiary Scenario],IF(Delay_emissions_table[Form of Maintenance - Tertiary Scenario]="Life Extension",1,0))*INDEX(Indicators,MATCH('Additional Impact Indicators'!$A67,Materials!$D:$D,0),MATCH("petrol combustion",Materials!$1:$1,0))+IFERROR(SUMPRODUCT(TRANSPOSE(INDEX(elec_project_emissions,MATCH(Elec_scenario&amp;'Additional Impact Indicators'!$B67,INDEX(Electricity_projection,0,3),0)-1,0)),Delay_emissions_table[Consumption of electricity (MJ) - Tertiary Scenario],IF(Delay_emissions_table[Form of Maintenance - Tertiary Scenario]="Life Extension",1,0)),0))*Area_trans*Time_adj_Tert</f>
        <v>0</v>
      </c>
      <c r="EG67" s="251" cm="1">
        <f t="array" aca="1" ref="EG67" ca="1">(SUMPRODUCT(Delay_emissions_table[Consumption of Diesel (kg) - Tertiary Scenario],IF(Delay_emissions_table[Form of Maintenance - Tertiary Scenario]="Replacement",1,0))*INDEX(Indicators,MATCH('Additional Impact Indicators'!$A67,Materials!$D:$D,0),MATCH("diesel combustion",Materials!$1:$1,0))+SUMPRODUCT(Delay_emissions_table[Consumption of Petrol (kg) - Tertiary Scenario],IF(Delay_emissions_table[Form of Maintenance - Tertiary Scenario]="Replacement",1,0))*INDEX(Indicators,MATCH('Additional Impact Indicators'!$A67,Materials!$D:$D,0),MATCH("petrol combustion",Materials!$1:$1,0))+IFERROR(SUMPRODUCT(TRANSPOSE(INDEX(elec_project_emissions,MATCH(Elec_scenario&amp;'Additional Impact Indicators'!$B67,INDEX(Electricity_projection,0,3),0)-1,0)),Delay_emissions_table[Consumption of electricity (MJ) - Tertiary Scenario],IF(Delay_emissions_table[Form of Maintenance - Tertiary Scenario]="Replacement",1,0)),0))*Area_trans*Time_adj_Tert</f>
        <v>0</v>
      </c>
      <c r="EH67" s="252" t="e" cm="1">
        <f t="array" ref="EH6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7" s="252" t="e" cm="1">
        <f t="array" ref="EI6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7" s="253" t="e" cm="1">
        <f t="array" ref="EJ6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7" s="253" t="e" cm="1">
        <f t="array" ref="EK6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7" t="e">
        <f ca="1">SUMIF(Table611[[#This Row],[Raw-Materials]:[Transport to recycling facility]],"&lt;&gt;#N/A")</f>
        <v>#DIV/0!</v>
      </c>
    </row>
    <row r="68" spans="1:142" x14ac:dyDescent="0.35">
      <c r="A68" t="s">
        <v>564</v>
      </c>
      <c r="B68" t="s">
        <v>497</v>
      </c>
      <c r="C68" t="str">
        <f t="shared" si="1"/>
        <v>A1</v>
      </c>
      <c r="D68" t="s">
        <v>54</v>
      </c>
      <c r="F68">
        <f>MATCH(Impacts_Additional[[#This Row],[Indicator]],Material_Impacts[Look up],0)</f>
        <v>8</v>
      </c>
      <c r="G68" s="246" cm="1">
        <f t="array" aca="1" ref="G6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8" s="166" cm="1">
        <f t="array" ref="H6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8" s="166" t="e">
        <f>Diesel_RawM_Prim*INDEX(Indicators,MATCH(Impacts_Additional[[#This Row],[Indicator]],Materials!$D:$D,0),MATCH("Diesel Combustion",Materials!$1:$1,0))*Diesel_density*Project_Area*Prim_Lays*Area_trans</f>
        <v>#DIV/0!</v>
      </c>
      <c r="J68" s="20" t="e" cm="1">
        <f t="array" aca="1" ref="J6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8" s="20" t="e" cm="1">
        <f t="array" aca="1" ref="K6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8" s="20" t="e" cm="1">
        <f t="array" aca="1" ref="L6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8" s="20" t="e" cm="1">
        <f t="array" aca="1" ref="M6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8" s="20" t="e" cm="1">
        <f t="array" aca="1" ref="N6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8" s="20" t="e" cm="1">
        <f t="array" aca="1" ref="O6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8" s="20" t="e" cm="1">
        <f t="array" aca="1" ref="P6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8" s="20" t="e" cm="1">
        <f t="array" aca="1" ref="Q6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8" s="20" t="e" cm="1">
        <f t="array" aca="1" ref="R6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8" s="20" t="e" cm="1">
        <f t="array" aca="1" ref="S6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8" s="20" t="e" cm="1">
        <f t="array" aca="1" ref="T6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8" s="20" t="e" cm="1">
        <f t="array" aca="1" ref="U6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8" s="20" t="e" cm="1">
        <f t="array" aca="1" ref="V6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8" s="20" t="e" cm="1">
        <f t="array" aca="1" ref="W6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8" s="20" t="e" cm="1">
        <f t="array" aca="1" ref="X6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8" s="20" t="e" cm="1">
        <f t="array" aca="1" ref="Y6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8" s="20" t="e" cm="1">
        <f t="array" aca="1" ref="Z6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8" s="20" t="e" cm="1">
        <f t="array" aca="1" ref="AA6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8" s="20" t="e" cm="1">
        <f t="array" aca="1" ref="AB6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8" s="20" t="e" cm="1">
        <f t="array" aca="1" ref="AC6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8" s="20" t="e" cm="1">
        <f t="array" aca="1" ref="AD6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8" s="20" t="e" cm="1">
        <f t="array" aca="1" ref="AE6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8" s="20" t="e" cm="1">
        <f t="array" aca="1" ref="AF6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8" s="20" t="e" cm="1">
        <f t="array" aca="1" ref="AG6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8" s="20" t="e" cm="1">
        <f t="array" aca="1" ref="AH6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8" s="20" t="e" cm="1">
        <f t="array" aca="1" ref="AI6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8" s="20" t="e" cm="1">
        <f t="array" aca="1" ref="AJ6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8" s="166" cm="1">
        <f t="array" aca="1" ref="AK68"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68" s="1" cm="1">
        <f t="array" aca="1" ref="AL6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8" s="247" cm="1">
        <f t="array" aca="1" ref="AM68" ca="1">(SUMPRODUCT(Delay_emissions_table[Consumption of Diesel (kg) - Primary Scenario],IF(Delay_emissions_table[Form of Maintenance - Primary Scenario]="Life Extension",1,0))*INDEX(Indicators,MATCH('Additional Impact Indicators'!$A68,Materials!$D:$D,0),MATCH("diesel combustion",Materials!$1:$1,0))+SUMPRODUCT(Delay_emissions_table[Consumption of Petrol (kg) - Primary Scenario],IF(Delay_emissions_table[Form of Maintenance - Primary Scenario]="Life Extension",1,0))*INDEX(Indicators,MATCH('Additional Impact Indicators'!$A68,Materials!$D:$D,0),MATCH("petrol combustion",Materials!$1:$1,0))+IFERROR(SUMPRODUCT(TRANSPOSE(INDEX(elec_project_emissions,MATCH(Elec_scenario&amp;'Additional Impact Indicators'!$B68,INDEX(Electricity_projection,0,3),0)-1,0)),Delay_emissions_table[Consumption of electricity (MJ) - Primary Scenario],IF(Delay_emissions_table[Form of Maintenance - Primary Scenario]="Life Extension",1,0)),0))*Area_trans*Time_adj_Prim</f>
        <v>0</v>
      </c>
      <c r="AN68" s="247" cm="1">
        <f t="array" aca="1" ref="AN68" ca="1">(SUMPRODUCT(Delay_emissions_table[Consumption of Diesel (kg) - Primary Scenario],IF(Delay_emissions_table[Form of Maintenance - Primary Scenario]="Replacement",1,0))*INDEX(Indicators,MATCH('Additional Impact Indicators'!$A68,Materials!$D:$D,0),MATCH("diesel combustion",Materials!$1:$1,0))+SUMPRODUCT(Delay_emissions_table[Consumption of Petrol (kg) - Primary Scenario],IF(Delay_emissions_table[Form of Maintenance - Primary Scenario]="Replacement",1,0))*INDEX(Indicators,MATCH('Additional Impact Indicators'!$A68,Materials!$D:$D,0),MATCH("petrol combustion",Materials!$1:$1,0))+IFERROR(SUMPRODUCT(TRANSPOSE(INDEX(elec_project_emissions,MATCH(Elec_scenario&amp;'Additional Impact Indicators'!$B68,INDEX(Electricity_projection,0,3),0)-1,0)),Delay_emissions_table[Consumption of electricity (MJ) - Primary Scenario],IF(Delay_emissions_table[Form of Maintenance - Primary Scenario]="Replacement",1,0)),0))*Area_trans*Time_adj_Prim</f>
        <v>0</v>
      </c>
      <c r="AO68" s="248" t="e" cm="1">
        <f t="array" ref="AO6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8" s="248" t="e" cm="1">
        <f t="array" ref="AP6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8" s="249" t="e" cm="1">
        <f t="array" ref="AQ6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8" s="386" t="e" cm="1">
        <f t="array" ref="AR6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8" t="e">
        <f ca="1">SUMIF('Additional Impact Indicators'!$G68:$AQ68,"&lt;&gt;#N/A")</f>
        <v>#DIV/0!</v>
      </c>
      <c r="AW68" t="s">
        <v>564</v>
      </c>
      <c r="AX68" t="s">
        <v>497</v>
      </c>
      <c r="AY68" t="str">
        <f t="shared" si="4"/>
        <v>A1</v>
      </c>
      <c r="AZ68" t="s">
        <v>54</v>
      </c>
      <c r="BB68">
        <f>MATCH(Table3[[#This Row],[Indicator]],Material_Impacts[Look up],0)</f>
        <v>8</v>
      </c>
      <c r="BC68" s="246" cm="1">
        <f t="array" aca="1" ref="BC6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8" s="166" cm="1">
        <f t="array" ref="BD6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8" s="166" t="e">
        <f>Diesel_RawM_Sec*INDEX(Indicators,MATCH(Impacts_Additional[[#This Row],[Indicator]],Materials!$D:$D,0),MATCH("Diesel Combustion",Materials!$1:$1,0))*Diesel_density*Project_Area*Sec_Lays*Area_trans</f>
        <v>#DIV/0!</v>
      </c>
      <c r="BF68" s="35" t="e" cm="1">
        <f t="array" aca="1" ref="BF6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8" s="35" t="e" cm="1">
        <f t="array" aca="1" ref="BG6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8" t="e" cm="1">
        <f t="array" aca="1" ref="BH6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8" s="35" t="e" cm="1">
        <f t="array" aca="1" ref="BI6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8" s="35" t="e" cm="1">
        <f t="array" aca="1" ref="BJ6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8" t="e" cm="1">
        <f t="array" aca="1" ref="BK6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8" s="35" t="e" cm="1">
        <f t="array" aca="1" ref="BL6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8" s="35" t="e" cm="1">
        <f t="array" aca="1" ref="BM6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8" t="e" cm="1">
        <f t="array" aca="1" ref="BN6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8" s="35" t="e" cm="1">
        <f t="array" aca="1" ref="BO6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8" s="35" t="e" cm="1">
        <f t="array" aca="1" ref="BP6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8" t="e" cm="1">
        <f t="array" aca="1" ref="BQ6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8" s="35" t="e" cm="1">
        <f t="array" aca="1" ref="BR6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8" s="35" t="e" cm="1">
        <f t="array" aca="1" ref="BS6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8" t="e" cm="1">
        <f t="array" aca="1" ref="BT6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8" s="35" t="e" cm="1">
        <f t="array" aca="1" ref="BU6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8" s="35" t="e" cm="1">
        <f t="array" aca="1" ref="BV6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8" t="e" cm="1">
        <f t="array" aca="1" ref="BW6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8" s="35" t="e" cm="1">
        <f t="array" aca="1" ref="BX6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8" s="35" t="e" cm="1">
        <f t="array" aca="1" ref="BY6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8" t="e" cm="1">
        <f t="array" aca="1" ref="BZ6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8" s="35" t="e" cm="1">
        <f t="array" aca="1" ref="CA6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8" s="35" t="e" cm="1">
        <f t="array" aca="1" ref="CB6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8" t="e" cm="1">
        <f t="array" aca="1" ref="CC6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8" s="35" t="e" cm="1">
        <f t="array" aca="1" ref="CD6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8" s="35" t="e" cm="1">
        <f t="array" aca="1" ref="CE6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8" t="e" cm="1">
        <f t="array" aca="1" ref="CF6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8" s="166" cm="1">
        <f t="array" aca="1" ref="CG68"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68" s="375" cm="1">
        <f t="array" aca="1" ref="CH6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8" s="247" cm="1">
        <f t="array" aca="1" ref="CI68" ca="1">(SUMPRODUCT(Delay_emissions_table[Consumption of Diesel (kg) - Secondary Scenario],IF(Delay_emissions_table[Form of Maintenance - Secondary Scenario]="Life Extension",1,0))*INDEX(Indicators,MATCH('Additional Impact Indicators'!$A68,Materials!$D:$D,0),MATCH("diesel combustion",Materials!$1:$1,0))+SUMPRODUCT(Delay_emissions_table[Consumption of Petrol (kg) - Secondary Scenario],IF(Delay_emissions_table[Form of Maintenance - Secondary Scenario]="Life Extension",1,0))*INDEX(Indicators,MATCH('Additional Impact Indicators'!$A68,Materials!$D:$D,0),MATCH("petrol combustion",Materials!$1:$1,0))+IFERROR(SUMPRODUCT(TRANSPOSE(INDEX(elec_project_emissions,MATCH(Elec_scenario&amp;'Additional Impact Indicators'!$B68,INDEX(Electricity_projection,0,3),0)-1,0)),Delay_emissions_table[Consumption of electricity (MJ) - Secondary Scenario],IF(Delay_emissions_table[Form of Maintenance - Secondary Scenario]="Life Extension",1,0)),0))*Area_trans*time_adj_Sec</f>
        <v>0</v>
      </c>
      <c r="CJ68" s="247" cm="1">
        <f t="array" aca="1" ref="CJ68" ca="1">(SUMPRODUCT(Delay_emissions_table[Consumption of Diesel (kg) - Secondary Scenario],IF(Delay_emissions_table[Form of Maintenance - Secondary Scenario]="Replacement",1,0))*INDEX(Indicators,MATCH('Additional Impact Indicators'!$A68,Materials!$D:$D,0),MATCH("diesel combustion",Materials!$1:$1,0))+SUMPRODUCT(Delay_emissions_table[Consumption of Petrol (kg) - Secondary Scenario],IF(Delay_emissions_table[Form of Maintenance - Secondary Scenario]="Replacement",1,0))*INDEX(Indicators,MATCH('Additional Impact Indicators'!$A68,Materials!$D:$D,0),MATCH("petrol combustion",Materials!$1:$1,0))+IFERROR(SUMPRODUCT(TRANSPOSE(INDEX(elec_project_emissions,MATCH(Elec_scenario&amp;'Additional Impact Indicators'!$B68,INDEX(Electricity_projection,0,3),0)-1,0)),Delay_emissions_table[Consumption of electricity (MJ) - Secondary Scenario],IF(Delay_emissions_table[Form of Maintenance - Secondary Scenario]="Replacement",1,0)),0))*Area_trans*time_adj_Sec</f>
        <v>0</v>
      </c>
      <c r="CK68" s="248" t="e" cm="1">
        <f t="array" ref="CK6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8" s="248" t="e" cm="1">
        <f t="array" ref="CL6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8" s="249" t="e" cm="1">
        <f t="array" ref="CM6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8" s="387" t="e" cm="1">
        <f t="array" ref="CN6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8" s="51" t="e">
        <f ca="1">SUMIF(Table3[[#This Row],[Raw-Materials]:[Transport to recycling facility]],"&lt;&gt;#N/A")</f>
        <v>#DIV/0!</v>
      </c>
      <c r="CT68" t="s">
        <v>564</v>
      </c>
      <c r="CU68" t="s">
        <v>497</v>
      </c>
      <c r="CV68" t="str">
        <f t="shared" si="3"/>
        <v>A1</v>
      </c>
      <c r="CW68" t="s">
        <v>54</v>
      </c>
      <c r="CY68">
        <f>MATCH(Table611[[#This Row],[Indicator]],Material_Impacts[Look up],0)</f>
        <v>8</v>
      </c>
      <c r="CZ68" s="246" cm="1">
        <f t="array" aca="1" ref="CZ6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8" s="166" cm="1">
        <f t="array" ref="DA6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8" s="166" t="e">
        <f>Diesel_RawM_Tert*INDEX(Indicators,MATCH(Impacts_Additional[[#This Row],[Indicator]],Materials!$D:$D,0),MATCH("Diesel Combustion",Materials!$1:$1,0))*Diesel_density*Project_Area*Tert_Lays*Area_trans</f>
        <v>#DIV/0!</v>
      </c>
      <c r="DC68" s="35" t="e" cm="1">
        <f t="array" aca="1" ref="DC6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8" s="35" t="e" cm="1">
        <f t="array" aca="1" ref="DD6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8" t="e" cm="1">
        <f t="array" aca="1" ref="DE6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8" s="35" t="e" cm="1">
        <f t="array" aca="1" ref="DF6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8" s="35" t="e" cm="1">
        <f t="array" aca="1" ref="DG6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8" t="e" cm="1">
        <f t="array" aca="1" ref="DH6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8" s="35" t="e" cm="1">
        <f t="array" aca="1" ref="DI6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8" s="35" t="e" cm="1">
        <f t="array" aca="1" ref="DJ6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8" t="e" cm="1">
        <f t="array" aca="1" ref="DK6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8" s="35" t="e" cm="1">
        <f t="array" aca="1" ref="DL6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8" s="35" t="e" cm="1">
        <f t="array" aca="1" ref="DM6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8" t="e" cm="1">
        <f t="array" aca="1" ref="DN6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8" s="35" t="e" cm="1">
        <f t="array" aca="1" ref="DO6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8" s="35" t="e" cm="1">
        <f t="array" aca="1" ref="DP6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8" t="e" cm="1">
        <f t="array" aca="1" ref="DQ6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8" s="35" t="e" cm="1">
        <f t="array" aca="1" ref="DR6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8" s="35" t="e" cm="1">
        <f t="array" aca="1" ref="DS6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8" t="e" cm="1">
        <f t="array" aca="1" ref="DT6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8" s="35" t="e" cm="1">
        <f t="array" aca="1" ref="DU6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8" s="35" t="e" cm="1">
        <f t="array" aca="1" ref="DV6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8" t="e" cm="1">
        <f t="array" aca="1" ref="DW6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8" s="35" t="e" cm="1">
        <f t="array" aca="1" ref="DX6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8" s="35" t="e" cm="1">
        <f t="array" aca="1" ref="DY6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8" t="e" cm="1">
        <f t="array" aca="1" ref="DZ6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8" s="35" t="e" cm="1">
        <f t="array" aca="1" ref="EA6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8" s="35" t="e" cm="1">
        <f t="array" aca="1" ref="EB6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8" t="e" cm="1">
        <f t="array" aca="1" ref="EC6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8" s="166" cm="1">
        <f t="array" aca="1" ref="ED68"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68" s="375" cm="1">
        <f t="array" aca="1" ref="EE6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8" s="247" cm="1">
        <f t="array" aca="1" ref="EF68" ca="1">(SUMPRODUCT(Delay_emissions_table[Consumption of Diesel (kg) - Tertiary Scenario],IF(Delay_emissions_table[Form of Maintenance - Tertiary Scenario]="Life Extension",1,0))*INDEX(Indicators,MATCH('Additional Impact Indicators'!$A68,Materials!$D:$D,0),MATCH("diesel combustion",Materials!$1:$1,0))+SUMPRODUCT(Delay_emissions_table[Consumption of Petrol (kg) - Tertiary Scenario],IF(Delay_emissions_table[Form of Maintenance - Tertiary Scenario]="Life Extension",1,0))*INDEX(Indicators,MATCH('Additional Impact Indicators'!$A68,Materials!$D:$D,0),MATCH("petrol combustion",Materials!$1:$1,0))+IFERROR(SUMPRODUCT(TRANSPOSE(INDEX(elec_project_emissions,MATCH(Elec_scenario&amp;'Additional Impact Indicators'!$B68,INDEX(Electricity_projection,0,3),0)-1,0)),Delay_emissions_table[Consumption of electricity (MJ) - Tertiary Scenario],IF(Delay_emissions_table[Form of Maintenance - Tertiary Scenario]="Life Extension",1,0)),0))*Area_trans*Time_adj_Tert</f>
        <v>0</v>
      </c>
      <c r="EG68" s="247" cm="1">
        <f t="array" aca="1" ref="EG68" ca="1">(SUMPRODUCT(Delay_emissions_table[Consumption of Diesel (kg) - Tertiary Scenario],IF(Delay_emissions_table[Form of Maintenance - Tertiary Scenario]="Replacement",1,0))*INDEX(Indicators,MATCH('Additional Impact Indicators'!$A68,Materials!$D:$D,0),MATCH("diesel combustion",Materials!$1:$1,0))+SUMPRODUCT(Delay_emissions_table[Consumption of Petrol (kg) - Tertiary Scenario],IF(Delay_emissions_table[Form of Maintenance - Tertiary Scenario]="Replacement",1,0))*INDEX(Indicators,MATCH('Additional Impact Indicators'!$A68,Materials!$D:$D,0),MATCH("petrol combustion",Materials!$1:$1,0))+IFERROR(SUMPRODUCT(TRANSPOSE(INDEX(elec_project_emissions,MATCH(Elec_scenario&amp;'Additional Impact Indicators'!$B68,INDEX(Electricity_projection,0,3),0)-1,0)),Delay_emissions_table[Consumption of electricity (MJ) - Tertiary Scenario],IF(Delay_emissions_table[Form of Maintenance - Tertiary Scenario]="Replacement",1,0)),0))*Area_trans*Time_adj_Tert</f>
        <v>0</v>
      </c>
      <c r="EH68" s="248" t="e" cm="1">
        <f t="array" ref="EH6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8" s="248" t="e" cm="1">
        <f t="array" ref="EI6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8" s="249" t="e" cm="1">
        <f t="array" ref="EJ6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8" s="249" t="e" cm="1">
        <f t="array" ref="EK6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8" t="e">
        <f ca="1">SUMIF(Table611[[#This Row],[Raw-Materials]:[Transport to recycling facility]],"&lt;&gt;#N/A")</f>
        <v>#DIV/0!</v>
      </c>
    </row>
    <row r="69" spans="1:142" x14ac:dyDescent="0.35">
      <c r="A69" s="155" t="s">
        <v>565</v>
      </c>
      <c r="B69" s="155" t="s">
        <v>499</v>
      </c>
      <c r="C69" s="155" t="str">
        <f t="shared" si="1"/>
        <v>A1</v>
      </c>
      <c r="D69" s="155" t="s">
        <v>54</v>
      </c>
      <c r="E69" s="155"/>
      <c r="F69">
        <f>MATCH(Impacts_Additional[[#This Row],[Indicator]],Material_Impacts[Look up],0)</f>
        <v>9</v>
      </c>
      <c r="G69" s="246" cm="1">
        <f t="array" aca="1" ref="G6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69" s="165" cm="1">
        <f t="array" ref="H6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69" s="165" t="e">
        <f>Diesel_RawM_Prim*INDEX(Indicators,MATCH(Impacts_Additional[[#This Row],[Indicator]],Materials!$D:$D,0),MATCH("Diesel Combustion",Materials!$1:$1,0))*Diesel_density*Project_Area*Prim_Lays*Area_trans</f>
        <v>#DIV/0!</v>
      </c>
      <c r="J69" s="250" t="e" cm="1">
        <f t="array" aca="1" ref="J6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69" s="250" t="e" cm="1">
        <f t="array" aca="1" ref="K6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69" s="250" t="e" cm="1">
        <f t="array" aca="1" ref="L6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69" s="250" t="e" cm="1">
        <f t="array" aca="1" ref="M6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69" s="250" t="e" cm="1">
        <f t="array" aca="1" ref="N6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69" s="250" t="e" cm="1">
        <f t="array" aca="1" ref="O6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69" s="250" t="e" cm="1">
        <f t="array" aca="1" ref="P6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69" s="250" t="e" cm="1">
        <f t="array" aca="1" ref="Q6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69" s="250" t="e" cm="1">
        <f t="array" aca="1" ref="R6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69" s="250" t="e" cm="1">
        <f t="array" aca="1" ref="S6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69" s="250" t="e" cm="1">
        <f t="array" aca="1" ref="T6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69" s="250" t="e" cm="1">
        <f t="array" aca="1" ref="U6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69" s="250" t="e" cm="1">
        <f t="array" aca="1" ref="V6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69" s="250" t="e" cm="1">
        <f t="array" aca="1" ref="W6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69" s="250" t="e" cm="1">
        <f t="array" aca="1" ref="X6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69" s="250" t="e" cm="1">
        <f t="array" aca="1" ref="Y6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69" s="250" t="e" cm="1">
        <f t="array" aca="1" ref="Z6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69" s="250" t="e" cm="1">
        <f t="array" aca="1" ref="AA6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69" s="250" t="e" cm="1">
        <f t="array" aca="1" ref="AB6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69" s="250" t="e" cm="1">
        <f t="array" aca="1" ref="AC6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69" s="250" t="e" cm="1">
        <f t="array" aca="1" ref="AD6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69" s="250" t="e" cm="1">
        <f t="array" aca="1" ref="AE6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69" s="250" t="e" cm="1">
        <f t="array" aca="1" ref="AF6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69" s="250" t="e" cm="1">
        <f t="array" aca="1" ref="AG6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69" s="250" t="e" cm="1">
        <f t="array" aca="1" ref="AH6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69" s="250" t="e" cm="1">
        <f t="array" aca="1" ref="AI6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69" s="250" t="e" cm="1">
        <f t="array" aca="1" ref="AJ6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69" s="165" cm="1">
        <f t="array" aca="1" ref="AK69"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69" s="254" cm="1">
        <f t="array" aca="1" ref="AL6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69" s="251" cm="1">
        <f t="array" aca="1" ref="AM69" ca="1">(SUMPRODUCT(Delay_emissions_table[Consumption of Diesel (kg) - Primary Scenario],IF(Delay_emissions_table[Form of Maintenance - Primary Scenario]="Life Extension",1,0))*INDEX(Indicators,MATCH('Additional Impact Indicators'!$A69,Materials!$D:$D,0),MATCH("diesel combustion",Materials!$1:$1,0))+SUMPRODUCT(Delay_emissions_table[Consumption of Petrol (kg) - Primary Scenario],IF(Delay_emissions_table[Form of Maintenance - Primary Scenario]="Life Extension",1,0))*INDEX(Indicators,MATCH('Additional Impact Indicators'!$A69,Materials!$D:$D,0),MATCH("petrol combustion",Materials!$1:$1,0))+IFERROR(SUMPRODUCT(TRANSPOSE(INDEX(elec_project_emissions,MATCH(Elec_scenario&amp;'Additional Impact Indicators'!$B69,INDEX(Electricity_projection,0,3),0)-1,0)),Delay_emissions_table[Consumption of electricity (MJ) - Primary Scenario],IF(Delay_emissions_table[Form of Maintenance - Primary Scenario]="Life Extension",1,0)),0))*Area_trans*Time_adj_Prim</f>
        <v>0</v>
      </c>
      <c r="AN69" s="251" cm="1">
        <f t="array" aca="1" ref="AN69" ca="1">(SUMPRODUCT(Delay_emissions_table[Consumption of Diesel (kg) - Primary Scenario],IF(Delay_emissions_table[Form of Maintenance - Primary Scenario]="Replacement",1,0))*INDEX(Indicators,MATCH('Additional Impact Indicators'!$A69,Materials!$D:$D,0),MATCH("diesel combustion",Materials!$1:$1,0))+SUMPRODUCT(Delay_emissions_table[Consumption of Petrol (kg) - Primary Scenario],IF(Delay_emissions_table[Form of Maintenance - Primary Scenario]="Replacement",1,0))*INDEX(Indicators,MATCH('Additional Impact Indicators'!$A69,Materials!$D:$D,0),MATCH("petrol combustion",Materials!$1:$1,0))+IFERROR(SUMPRODUCT(TRANSPOSE(INDEX(elec_project_emissions,MATCH(Elec_scenario&amp;'Additional Impact Indicators'!$B69,INDEX(Electricity_projection,0,3),0)-1,0)),Delay_emissions_table[Consumption of electricity (MJ) - Primary Scenario],IF(Delay_emissions_table[Form of Maintenance - Primary Scenario]="Replacement",1,0)),0))*Area_trans*Time_adj_Prim</f>
        <v>0</v>
      </c>
      <c r="AO69" s="252" t="e" cm="1">
        <f t="array" ref="AO6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69" s="252" t="e" cm="1">
        <f t="array" ref="AP6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69" s="253" t="e" cm="1">
        <f t="array" ref="AQ6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69" s="385" t="e" cm="1">
        <f t="array" ref="AR6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69" t="e">
        <f ca="1">SUMIF('Additional Impact Indicators'!$G69:$AQ69,"&lt;&gt;#N/A")</f>
        <v>#DIV/0!</v>
      </c>
      <c r="AW69" s="155" t="s">
        <v>565</v>
      </c>
      <c r="AX69" s="155" t="s">
        <v>499</v>
      </c>
      <c r="AY69" t="str">
        <f t="shared" si="4"/>
        <v>A1</v>
      </c>
      <c r="AZ69" s="155" t="s">
        <v>54</v>
      </c>
      <c r="BB69">
        <f>MATCH(Table3[[#This Row],[Indicator]],Material_Impacts[Look up],0)</f>
        <v>9</v>
      </c>
      <c r="BC69" s="246" cm="1">
        <f t="array" aca="1" ref="BC6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69" s="165" cm="1">
        <f t="array" ref="BD6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69" s="165" t="e">
        <f>Diesel_RawM_Sec*INDEX(Indicators,MATCH(Impacts_Additional[[#This Row],[Indicator]],Materials!$D:$D,0),MATCH("Diesel Combustion",Materials!$1:$1,0))*Diesel_density*Project_Area*Sec_Lays*Area_trans</f>
        <v>#DIV/0!</v>
      </c>
      <c r="BF69" s="35" t="e" cm="1">
        <f t="array" aca="1" ref="BF6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69" s="35" t="e" cm="1">
        <f t="array" aca="1" ref="BG6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69" t="e" cm="1">
        <f t="array" aca="1" ref="BH6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69" s="35" t="e" cm="1">
        <f t="array" aca="1" ref="BI6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69" s="35" t="e" cm="1">
        <f t="array" aca="1" ref="BJ6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69" t="e" cm="1">
        <f t="array" aca="1" ref="BK6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69" s="35" t="e" cm="1">
        <f t="array" aca="1" ref="BL6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69" s="35" t="e" cm="1">
        <f t="array" aca="1" ref="BM6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69" t="e" cm="1">
        <f t="array" aca="1" ref="BN6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69" s="35" t="e" cm="1">
        <f t="array" aca="1" ref="BO6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69" s="35" t="e" cm="1">
        <f t="array" aca="1" ref="BP6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69" t="e" cm="1">
        <f t="array" aca="1" ref="BQ6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69" s="35" t="e" cm="1">
        <f t="array" aca="1" ref="BR6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69" s="35" t="e" cm="1">
        <f t="array" aca="1" ref="BS6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69" t="e" cm="1">
        <f t="array" aca="1" ref="BT6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69" s="35" t="e" cm="1">
        <f t="array" aca="1" ref="BU6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69" s="35" t="e" cm="1">
        <f t="array" aca="1" ref="BV6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69" t="e" cm="1">
        <f t="array" aca="1" ref="BW6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69" s="35" t="e" cm="1">
        <f t="array" aca="1" ref="BX6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69" s="35" t="e" cm="1">
        <f t="array" aca="1" ref="BY6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69" t="e" cm="1">
        <f t="array" aca="1" ref="BZ6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69" s="35" t="e" cm="1">
        <f t="array" aca="1" ref="CA6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69" s="35" t="e" cm="1">
        <f t="array" aca="1" ref="CB6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69" t="e" cm="1">
        <f t="array" aca="1" ref="CC6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69" s="35" t="e" cm="1">
        <f t="array" aca="1" ref="CD6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69" s="35" t="e" cm="1">
        <f t="array" aca="1" ref="CE6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69" t="e" cm="1">
        <f t="array" aca="1" ref="CF6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69" s="165" cm="1">
        <f t="array" aca="1" ref="CG69"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69" s="375" cm="1">
        <f t="array" aca="1" ref="CH6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69" s="251" cm="1">
        <f t="array" aca="1" ref="CI69" ca="1">(SUMPRODUCT(Delay_emissions_table[Consumption of Diesel (kg) - Secondary Scenario],IF(Delay_emissions_table[Form of Maintenance - Secondary Scenario]="Life Extension",1,0))*INDEX(Indicators,MATCH('Additional Impact Indicators'!$A69,Materials!$D:$D,0),MATCH("diesel combustion",Materials!$1:$1,0))+SUMPRODUCT(Delay_emissions_table[Consumption of Petrol (kg) - Secondary Scenario],IF(Delay_emissions_table[Form of Maintenance - Secondary Scenario]="Life Extension",1,0))*INDEX(Indicators,MATCH('Additional Impact Indicators'!$A69,Materials!$D:$D,0),MATCH("petrol combustion",Materials!$1:$1,0))+IFERROR(SUMPRODUCT(TRANSPOSE(INDEX(elec_project_emissions,MATCH(Elec_scenario&amp;'Additional Impact Indicators'!$B69,INDEX(Electricity_projection,0,3),0)-1,0)),Delay_emissions_table[Consumption of electricity (MJ) - Secondary Scenario],IF(Delay_emissions_table[Form of Maintenance - Secondary Scenario]="Life Extension",1,0)),0))*Area_trans*time_adj_Sec</f>
        <v>0</v>
      </c>
      <c r="CJ69" s="251" cm="1">
        <f t="array" aca="1" ref="CJ69" ca="1">(SUMPRODUCT(Delay_emissions_table[Consumption of Diesel (kg) - Secondary Scenario],IF(Delay_emissions_table[Form of Maintenance - Secondary Scenario]="Replacement",1,0))*INDEX(Indicators,MATCH('Additional Impact Indicators'!$A69,Materials!$D:$D,0),MATCH("diesel combustion",Materials!$1:$1,0))+SUMPRODUCT(Delay_emissions_table[Consumption of Petrol (kg) - Secondary Scenario],IF(Delay_emissions_table[Form of Maintenance - Secondary Scenario]="Replacement",1,0))*INDEX(Indicators,MATCH('Additional Impact Indicators'!$A69,Materials!$D:$D,0),MATCH("petrol combustion",Materials!$1:$1,0))+IFERROR(SUMPRODUCT(TRANSPOSE(INDEX(elec_project_emissions,MATCH(Elec_scenario&amp;'Additional Impact Indicators'!$B69,INDEX(Electricity_projection,0,3),0)-1,0)),Delay_emissions_table[Consumption of electricity (MJ) - Secondary Scenario],IF(Delay_emissions_table[Form of Maintenance - Secondary Scenario]="Replacement",1,0)),0))*Area_trans*time_adj_Sec</f>
        <v>0</v>
      </c>
      <c r="CK69" s="252" t="e" cm="1">
        <f t="array" ref="CK6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69" s="252" t="e" cm="1">
        <f t="array" ref="CL6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69" s="253" t="e" cm="1">
        <f t="array" ref="CM6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69" s="387" t="e" cm="1">
        <f t="array" ref="CN6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69" s="51" t="e">
        <f ca="1">SUMIF(Table3[[#This Row],[Raw-Materials]:[Transport to recycling facility]],"&lt;&gt;#N/A")</f>
        <v>#DIV/0!</v>
      </c>
      <c r="CT69" t="s">
        <v>565</v>
      </c>
      <c r="CU69" t="s">
        <v>499</v>
      </c>
      <c r="CV69" t="str">
        <f t="shared" si="3"/>
        <v>A1</v>
      </c>
      <c r="CW69" t="s">
        <v>54</v>
      </c>
      <c r="CY69">
        <f>MATCH(Table611[[#This Row],[Indicator]],Material_Impacts[Look up],0)</f>
        <v>9</v>
      </c>
      <c r="CZ69" s="246" cm="1">
        <f t="array" aca="1" ref="CZ6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69" s="165" cm="1">
        <f t="array" ref="DA6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69" s="165" t="e">
        <f>Diesel_RawM_Tert*INDEX(Indicators,MATCH(Impacts_Additional[[#This Row],[Indicator]],Materials!$D:$D,0),MATCH("Diesel Combustion",Materials!$1:$1,0))*Diesel_density*Project_Area*Tert_Lays*Area_trans</f>
        <v>#DIV/0!</v>
      </c>
      <c r="DC69" s="35" t="e" cm="1">
        <f t="array" aca="1" ref="DC6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69" s="35" t="e" cm="1">
        <f t="array" aca="1" ref="DD6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69" t="e" cm="1">
        <f t="array" aca="1" ref="DE6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69" s="35" t="e" cm="1">
        <f t="array" aca="1" ref="DF6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69" s="35" t="e" cm="1">
        <f t="array" aca="1" ref="DG6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69" t="e" cm="1">
        <f t="array" aca="1" ref="DH6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69" s="35" t="e" cm="1">
        <f t="array" aca="1" ref="DI6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69" s="35" t="e" cm="1">
        <f t="array" aca="1" ref="DJ6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69" t="e" cm="1">
        <f t="array" aca="1" ref="DK6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69" s="35" t="e" cm="1">
        <f t="array" aca="1" ref="DL6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69" s="35" t="e" cm="1">
        <f t="array" aca="1" ref="DM6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69" t="e" cm="1">
        <f t="array" aca="1" ref="DN6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69" s="35" t="e" cm="1">
        <f t="array" aca="1" ref="DO6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69" s="35" t="e" cm="1">
        <f t="array" aca="1" ref="DP6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69" t="e" cm="1">
        <f t="array" aca="1" ref="DQ6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69" s="35" t="e" cm="1">
        <f t="array" aca="1" ref="DR6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69" s="35" t="e" cm="1">
        <f t="array" aca="1" ref="DS6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69" t="e" cm="1">
        <f t="array" aca="1" ref="DT6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69" s="35" t="e" cm="1">
        <f t="array" aca="1" ref="DU6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69" s="35" t="e" cm="1">
        <f t="array" aca="1" ref="DV6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69" t="e" cm="1">
        <f t="array" aca="1" ref="DW6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69" s="35" t="e" cm="1">
        <f t="array" aca="1" ref="DX6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69" s="35" t="e" cm="1">
        <f t="array" aca="1" ref="DY6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69" t="e" cm="1">
        <f t="array" aca="1" ref="DZ6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69" s="35" t="e" cm="1">
        <f t="array" aca="1" ref="EA6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69" s="35" t="e" cm="1">
        <f t="array" aca="1" ref="EB6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69" t="e" cm="1">
        <f t="array" aca="1" ref="EC6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69" s="165" cm="1">
        <f t="array" aca="1" ref="ED69"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69" s="375" cm="1">
        <f t="array" aca="1" ref="EE6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69" s="251" cm="1">
        <f t="array" aca="1" ref="EF69" ca="1">(SUMPRODUCT(Delay_emissions_table[Consumption of Diesel (kg) - Tertiary Scenario],IF(Delay_emissions_table[Form of Maintenance - Tertiary Scenario]="Life Extension",1,0))*INDEX(Indicators,MATCH('Additional Impact Indicators'!$A69,Materials!$D:$D,0),MATCH("diesel combustion",Materials!$1:$1,0))+SUMPRODUCT(Delay_emissions_table[Consumption of Petrol (kg) - Tertiary Scenario],IF(Delay_emissions_table[Form of Maintenance - Tertiary Scenario]="Life Extension",1,0))*INDEX(Indicators,MATCH('Additional Impact Indicators'!$A69,Materials!$D:$D,0),MATCH("petrol combustion",Materials!$1:$1,0))+IFERROR(SUMPRODUCT(TRANSPOSE(INDEX(elec_project_emissions,MATCH(Elec_scenario&amp;'Additional Impact Indicators'!$B69,INDEX(Electricity_projection,0,3),0)-1,0)),Delay_emissions_table[Consumption of electricity (MJ) - Tertiary Scenario],IF(Delay_emissions_table[Form of Maintenance - Tertiary Scenario]="Life Extension",1,0)),0))*Area_trans*Time_adj_Tert</f>
        <v>0</v>
      </c>
      <c r="EG69" s="251" cm="1">
        <f t="array" aca="1" ref="EG69" ca="1">(SUMPRODUCT(Delay_emissions_table[Consumption of Diesel (kg) - Tertiary Scenario],IF(Delay_emissions_table[Form of Maintenance - Tertiary Scenario]="Replacement",1,0))*INDEX(Indicators,MATCH('Additional Impact Indicators'!$A69,Materials!$D:$D,0),MATCH("diesel combustion",Materials!$1:$1,0))+SUMPRODUCT(Delay_emissions_table[Consumption of Petrol (kg) - Tertiary Scenario],IF(Delay_emissions_table[Form of Maintenance - Tertiary Scenario]="Replacement",1,0))*INDEX(Indicators,MATCH('Additional Impact Indicators'!$A69,Materials!$D:$D,0),MATCH("petrol combustion",Materials!$1:$1,0))+IFERROR(SUMPRODUCT(TRANSPOSE(INDEX(elec_project_emissions,MATCH(Elec_scenario&amp;'Additional Impact Indicators'!$B69,INDEX(Electricity_projection,0,3),0)-1,0)),Delay_emissions_table[Consumption of electricity (MJ) - Tertiary Scenario],IF(Delay_emissions_table[Form of Maintenance - Tertiary Scenario]="Replacement",1,0)),0))*Area_trans*Time_adj_Tert</f>
        <v>0</v>
      </c>
      <c r="EH69" s="252" t="e" cm="1">
        <f t="array" ref="EH6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69" s="252" t="e" cm="1">
        <f t="array" ref="EI6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69" s="253" t="e" cm="1">
        <f t="array" ref="EJ6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69" s="253" t="e" cm="1">
        <f t="array" ref="EK6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69" t="e">
        <f ca="1">SUMIF(Table611[[#This Row],[Raw-Materials]:[Transport to recycling facility]],"&lt;&gt;#N/A")</f>
        <v>#DIV/0!</v>
      </c>
    </row>
    <row r="70" spans="1:142" x14ac:dyDescent="0.35">
      <c r="A70" t="s">
        <v>566</v>
      </c>
      <c r="B70" t="s">
        <v>501</v>
      </c>
      <c r="C70" t="str">
        <f t="shared" si="1"/>
        <v>A1</v>
      </c>
      <c r="D70" t="s">
        <v>54</v>
      </c>
      <c r="F70">
        <f>MATCH(Impacts_Additional[[#This Row],[Indicator]],Material_Impacts[Look up],0)</f>
        <v>10</v>
      </c>
      <c r="G70" s="246" cm="1">
        <f t="array" aca="1" ref="G7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0" s="166" cm="1">
        <f t="array" ref="H7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0" s="166" t="e">
        <f>Diesel_RawM_Prim*INDEX(Indicators,MATCH(Impacts_Additional[[#This Row],[Indicator]],Materials!$D:$D,0),MATCH("Diesel Combustion",Materials!$1:$1,0))*Diesel_density*Project_Area*Prim_Lays*Area_trans</f>
        <v>#DIV/0!</v>
      </c>
      <c r="J70" s="20" t="e" cm="1">
        <f t="array" aca="1" ref="J7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0" s="20" t="e" cm="1">
        <f t="array" aca="1" ref="K7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0" s="20" t="e" cm="1">
        <f t="array" aca="1" ref="L7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0" s="20" t="e" cm="1">
        <f t="array" aca="1" ref="M7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0" s="20" t="e" cm="1">
        <f t="array" aca="1" ref="N7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0" s="20" t="e" cm="1">
        <f t="array" aca="1" ref="O7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0" s="20" t="e" cm="1">
        <f t="array" aca="1" ref="P7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0" s="20" t="e" cm="1">
        <f t="array" aca="1" ref="Q7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0" s="20" t="e" cm="1">
        <f t="array" aca="1" ref="R7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0" s="20" t="e" cm="1">
        <f t="array" aca="1" ref="S7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0" s="20" t="e" cm="1">
        <f t="array" aca="1" ref="T7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0" s="20" t="e" cm="1">
        <f t="array" aca="1" ref="U7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0" s="20" t="e" cm="1">
        <f t="array" aca="1" ref="V7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0" s="20" t="e" cm="1">
        <f t="array" aca="1" ref="W7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0" s="20" t="e" cm="1">
        <f t="array" aca="1" ref="X7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0" s="20" t="e" cm="1">
        <f t="array" aca="1" ref="Y7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0" s="20" t="e" cm="1">
        <f t="array" aca="1" ref="Z7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0" s="20" t="e" cm="1">
        <f t="array" aca="1" ref="AA7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0" s="20" t="e" cm="1">
        <f t="array" aca="1" ref="AB7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0" s="20" t="e" cm="1">
        <f t="array" aca="1" ref="AC7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0" s="20" t="e" cm="1">
        <f t="array" aca="1" ref="AD7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0" s="20" t="e" cm="1">
        <f t="array" aca="1" ref="AE7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0" s="20" t="e" cm="1">
        <f t="array" aca="1" ref="AF7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0" s="20" t="e" cm="1">
        <f t="array" aca="1" ref="AG7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0" s="20" t="e" cm="1">
        <f t="array" aca="1" ref="AH7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0" s="20" t="e" cm="1">
        <f t="array" aca="1" ref="AI7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0" s="20" t="e" cm="1">
        <f t="array" aca="1" ref="AJ7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0" s="166" cm="1">
        <f t="array" aca="1" ref="AK70"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0" s="1" cm="1">
        <f t="array" aca="1" ref="AL7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0" s="247" cm="1">
        <f t="array" aca="1" ref="AM70" ca="1">(SUMPRODUCT(Delay_emissions_table[Consumption of Diesel (kg) - Primary Scenario],IF(Delay_emissions_table[Form of Maintenance - Primary Scenario]="Life Extension",1,0))*INDEX(Indicators,MATCH('Additional Impact Indicators'!$A70,Materials!$D:$D,0),MATCH("diesel combustion",Materials!$1:$1,0))+SUMPRODUCT(Delay_emissions_table[Consumption of Petrol (kg) - Primary Scenario],IF(Delay_emissions_table[Form of Maintenance - Primary Scenario]="Life Extension",1,0))*INDEX(Indicators,MATCH('Additional Impact Indicators'!$A70,Materials!$D:$D,0),MATCH("petrol combustion",Materials!$1:$1,0))+IFERROR(SUMPRODUCT(TRANSPOSE(INDEX(elec_project_emissions,MATCH(Elec_scenario&amp;'Additional Impact Indicators'!$B70,INDEX(Electricity_projection,0,3),0)-1,0)),Delay_emissions_table[Consumption of electricity (MJ) - Primary Scenario],IF(Delay_emissions_table[Form of Maintenance - Primary Scenario]="Life Extension",1,0)),0))*Area_trans*Time_adj_Prim</f>
        <v>0</v>
      </c>
      <c r="AN70" s="247" cm="1">
        <f t="array" aca="1" ref="AN70" ca="1">(SUMPRODUCT(Delay_emissions_table[Consumption of Diesel (kg) - Primary Scenario],IF(Delay_emissions_table[Form of Maintenance - Primary Scenario]="Replacement",1,0))*INDEX(Indicators,MATCH('Additional Impact Indicators'!$A70,Materials!$D:$D,0),MATCH("diesel combustion",Materials!$1:$1,0))+SUMPRODUCT(Delay_emissions_table[Consumption of Petrol (kg) - Primary Scenario],IF(Delay_emissions_table[Form of Maintenance - Primary Scenario]="Replacement",1,0))*INDEX(Indicators,MATCH('Additional Impact Indicators'!$A70,Materials!$D:$D,0),MATCH("petrol combustion",Materials!$1:$1,0))+IFERROR(SUMPRODUCT(TRANSPOSE(INDEX(elec_project_emissions,MATCH(Elec_scenario&amp;'Additional Impact Indicators'!$B70,INDEX(Electricity_projection,0,3),0)-1,0)),Delay_emissions_table[Consumption of electricity (MJ) - Primary Scenario],IF(Delay_emissions_table[Form of Maintenance - Primary Scenario]="Replacement",1,0)),0))*Area_trans*Time_adj_Prim</f>
        <v>0</v>
      </c>
      <c r="AO70" s="248" t="e" cm="1">
        <f t="array" ref="AO7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0" s="248" t="e" cm="1">
        <f t="array" ref="AP7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0" s="249" t="e" cm="1">
        <f t="array" ref="AQ7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0" s="386" t="e" cm="1">
        <f t="array" ref="AR7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0" t="e">
        <f ca="1">SUMIF('Additional Impact Indicators'!$G70:$AQ70,"&lt;&gt;#N/A")</f>
        <v>#DIV/0!</v>
      </c>
      <c r="AW70" t="s">
        <v>566</v>
      </c>
      <c r="AX70" t="s">
        <v>501</v>
      </c>
      <c r="AY70" t="str">
        <f t="shared" si="4"/>
        <v>A1</v>
      </c>
      <c r="AZ70" t="s">
        <v>54</v>
      </c>
      <c r="BB70">
        <f>MATCH(Table3[[#This Row],[Indicator]],Material_Impacts[Look up],0)</f>
        <v>10</v>
      </c>
      <c r="BC70" s="246" cm="1">
        <f t="array" aca="1" ref="BC7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0" s="166" cm="1">
        <f t="array" ref="BD7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0" s="166" t="e">
        <f>Diesel_RawM_Sec*INDEX(Indicators,MATCH(Impacts_Additional[[#This Row],[Indicator]],Materials!$D:$D,0),MATCH("Diesel Combustion",Materials!$1:$1,0))*Diesel_density*Project_Area*Sec_Lays*Area_trans</f>
        <v>#DIV/0!</v>
      </c>
      <c r="BF70" s="35" t="e" cm="1">
        <f t="array" aca="1" ref="BF7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0" s="35" t="e" cm="1">
        <f t="array" aca="1" ref="BG7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0" t="e" cm="1">
        <f t="array" aca="1" ref="BH7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0" s="35" t="e" cm="1">
        <f t="array" aca="1" ref="BI7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0" s="35" t="e" cm="1">
        <f t="array" aca="1" ref="BJ7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0" t="e" cm="1">
        <f t="array" aca="1" ref="BK7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0" s="35" t="e" cm="1">
        <f t="array" aca="1" ref="BL7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0" s="35" t="e" cm="1">
        <f t="array" aca="1" ref="BM7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0" t="e" cm="1">
        <f t="array" aca="1" ref="BN7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0" s="35" t="e" cm="1">
        <f t="array" aca="1" ref="BO7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0" s="35" t="e" cm="1">
        <f t="array" aca="1" ref="BP7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0" t="e" cm="1">
        <f t="array" aca="1" ref="BQ7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0" s="35" t="e" cm="1">
        <f t="array" aca="1" ref="BR7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0" s="35" t="e" cm="1">
        <f t="array" aca="1" ref="BS7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0" t="e" cm="1">
        <f t="array" aca="1" ref="BT7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0" s="35" t="e" cm="1">
        <f t="array" aca="1" ref="BU7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0" s="35" t="e" cm="1">
        <f t="array" aca="1" ref="BV7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0" t="e" cm="1">
        <f t="array" aca="1" ref="BW7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0" s="35" t="e" cm="1">
        <f t="array" aca="1" ref="BX7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0" s="35" t="e" cm="1">
        <f t="array" aca="1" ref="BY7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0" t="e" cm="1">
        <f t="array" aca="1" ref="BZ7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0" s="35" t="e" cm="1">
        <f t="array" aca="1" ref="CA7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0" s="35" t="e" cm="1">
        <f t="array" aca="1" ref="CB7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0" t="e" cm="1">
        <f t="array" aca="1" ref="CC7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0" s="35" t="e" cm="1">
        <f t="array" aca="1" ref="CD7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0" s="35" t="e" cm="1">
        <f t="array" aca="1" ref="CE7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0" t="e" cm="1">
        <f t="array" aca="1" ref="CF7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0" s="166" cm="1">
        <f t="array" aca="1" ref="CG70"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0" s="375" cm="1">
        <f t="array" aca="1" ref="CH7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0" s="247" cm="1">
        <f t="array" aca="1" ref="CI70" ca="1">(SUMPRODUCT(Delay_emissions_table[Consumption of Diesel (kg) - Secondary Scenario],IF(Delay_emissions_table[Form of Maintenance - Secondary Scenario]="Life Extension",1,0))*INDEX(Indicators,MATCH('Additional Impact Indicators'!$A70,Materials!$D:$D,0),MATCH("diesel combustion",Materials!$1:$1,0))+SUMPRODUCT(Delay_emissions_table[Consumption of Petrol (kg) - Secondary Scenario],IF(Delay_emissions_table[Form of Maintenance - Secondary Scenario]="Life Extension",1,0))*INDEX(Indicators,MATCH('Additional Impact Indicators'!$A70,Materials!$D:$D,0),MATCH("petrol combustion",Materials!$1:$1,0))+IFERROR(SUMPRODUCT(TRANSPOSE(INDEX(elec_project_emissions,MATCH(Elec_scenario&amp;'Additional Impact Indicators'!$B70,INDEX(Electricity_projection,0,3),0)-1,0)),Delay_emissions_table[Consumption of electricity (MJ) - Secondary Scenario],IF(Delay_emissions_table[Form of Maintenance - Secondary Scenario]="Life Extension",1,0)),0))*Area_trans*time_adj_Sec</f>
        <v>0</v>
      </c>
      <c r="CJ70" s="247" cm="1">
        <f t="array" aca="1" ref="CJ70" ca="1">(SUMPRODUCT(Delay_emissions_table[Consumption of Diesel (kg) - Secondary Scenario],IF(Delay_emissions_table[Form of Maintenance - Secondary Scenario]="Replacement",1,0))*INDEX(Indicators,MATCH('Additional Impact Indicators'!$A70,Materials!$D:$D,0),MATCH("diesel combustion",Materials!$1:$1,0))+SUMPRODUCT(Delay_emissions_table[Consumption of Petrol (kg) - Secondary Scenario],IF(Delay_emissions_table[Form of Maintenance - Secondary Scenario]="Replacement",1,0))*INDEX(Indicators,MATCH('Additional Impact Indicators'!$A70,Materials!$D:$D,0),MATCH("petrol combustion",Materials!$1:$1,0))+IFERROR(SUMPRODUCT(TRANSPOSE(INDEX(elec_project_emissions,MATCH(Elec_scenario&amp;'Additional Impact Indicators'!$B70,INDEX(Electricity_projection,0,3),0)-1,0)),Delay_emissions_table[Consumption of electricity (MJ) - Secondary Scenario],IF(Delay_emissions_table[Form of Maintenance - Secondary Scenario]="Replacement",1,0)),0))*Area_trans*time_adj_Sec</f>
        <v>0</v>
      </c>
      <c r="CK70" s="248" t="e" cm="1">
        <f t="array" ref="CK7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0" s="248" t="e" cm="1">
        <f t="array" ref="CL7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0" s="249" t="e" cm="1">
        <f t="array" ref="CM7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0" s="387" t="e" cm="1">
        <f t="array" ref="CN7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0" s="51" t="e">
        <f ca="1">SUMIF(Table3[[#This Row],[Raw-Materials]:[Transport to recycling facility]],"&lt;&gt;#N/A")</f>
        <v>#DIV/0!</v>
      </c>
      <c r="CT70" t="s">
        <v>566</v>
      </c>
      <c r="CU70" t="s">
        <v>501</v>
      </c>
      <c r="CV70" t="str">
        <f t="shared" si="3"/>
        <v>A1</v>
      </c>
      <c r="CW70" t="s">
        <v>54</v>
      </c>
      <c r="CY70">
        <f>MATCH(Table611[[#This Row],[Indicator]],Material_Impacts[Look up],0)</f>
        <v>10</v>
      </c>
      <c r="CZ70" s="246" cm="1">
        <f t="array" aca="1" ref="CZ7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0" s="166" cm="1">
        <f t="array" ref="DA7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0" s="166" t="e">
        <f>Diesel_RawM_Tert*INDEX(Indicators,MATCH(Impacts_Additional[[#This Row],[Indicator]],Materials!$D:$D,0),MATCH("Diesel Combustion",Materials!$1:$1,0))*Diesel_density*Project_Area*Tert_Lays*Area_trans</f>
        <v>#DIV/0!</v>
      </c>
      <c r="DC70" s="35" t="e" cm="1">
        <f t="array" aca="1" ref="DC7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0" s="35" t="e" cm="1">
        <f t="array" aca="1" ref="DD7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0" t="e" cm="1">
        <f t="array" aca="1" ref="DE7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0" s="35" t="e" cm="1">
        <f t="array" aca="1" ref="DF7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0" s="35" t="e" cm="1">
        <f t="array" aca="1" ref="DG7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0" t="e" cm="1">
        <f t="array" aca="1" ref="DH7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0" s="35" t="e" cm="1">
        <f t="array" aca="1" ref="DI7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0" s="35" t="e" cm="1">
        <f t="array" aca="1" ref="DJ7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0" t="e" cm="1">
        <f t="array" aca="1" ref="DK7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0" s="35" t="e" cm="1">
        <f t="array" aca="1" ref="DL7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0" s="35" t="e" cm="1">
        <f t="array" aca="1" ref="DM7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0" t="e" cm="1">
        <f t="array" aca="1" ref="DN7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0" s="35" t="e" cm="1">
        <f t="array" aca="1" ref="DO7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0" s="35" t="e" cm="1">
        <f t="array" aca="1" ref="DP7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0" t="e" cm="1">
        <f t="array" aca="1" ref="DQ7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0" s="35" t="e" cm="1">
        <f t="array" aca="1" ref="DR7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0" s="35" t="e" cm="1">
        <f t="array" aca="1" ref="DS7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0" t="e" cm="1">
        <f t="array" aca="1" ref="DT7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0" s="35" t="e" cm="1">
        <f t="array" aca="1" ref="DU7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0" s="35" t="e" cm="1">
        <f t="array" aca="1" ref="DV7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0" t="e" cm="1">
        <f t="array" aca="1" ref="DW7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0" s="35" t="e" cm="1">
        <f t="array" aca="1" ref="DX7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0" s="35" t="e" cm="1">
        <f t="array" aca="1" ref="DY7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0" t="e" cm="1">
        <f t="array" aca="1" ref="DZ7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0" s="35" t="e" cm="1">
        <f t="array" aca="1" ref="EA7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0" s="35" t="e" cm="1">
        <f t="array" aca="1" ref="EB7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0" t="e" cm="1">
        <f t="array" aca="1" ref="EC7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0" s="166" cm="1">
        <f t="array" aca="1" ref="ED70"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0" s="375" cm="1">
        <f t="array" aca="1" ref="EE7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0" s="247" cm="1">
        <f t="array" aca="1" ref="EF70" ca="1">(SUMPRODUCT(Delay_emissions_table[Consumption of Diesel (kg) - Tertiary Scenario],IF(Delay_emissions_table[Form of Maintenance - Tertiary Scenario]="Life Extension",1,0))*INDEX(Indicators,MATCH('Additional Impact Indicators'!$A70,Materials!$D:$D,0),MATCH("diesel combustion",Materials!$1:$1,0))+SUMPRODUCT(Delay_emissions_table[Consumption of Petrol (kg) - Tertiary Scenario],IF(Delay_emissions_table[Form of Maintenance - Tertiary Scenario]="Life Extension",1,0))*INDEX(Indicators,MATCH('Additional Impact Indicators'!$A70,Materials!$D:$D,0),MATCH("petrol combustion",Materials!$1:$1,0))+IFERROR(SUMPRODUCT(TRANSPOSE(INDEX(elec_project_emissions,MATCH(Elec_scenario&amp;'Additional Impact Indicators'!$B70,INDEX(Electricity_projection,0,3),0)-1,0)),Delay_emissions_table[Consumption of electricity (MJ) - Tertiary Scenario],IF(Delay_emissions_table[Form of Maintenance - Tertiary Scenario]="Life Extension",1,0)),0))*Area_trans*Time_adj_Tert</f>
        <v>0</v>
      </c>
      <c r="EG70" s="247" cm="1">
        <f t="array" aca="1" ref="EG70" ca="1">(SUMPRODUCT(Delay_emissions_table[Consumption of Diesel (kg) - Tertiary Scenario],IF(Delay_emissions_table[Form of Maintenance - Tertiary Scenario]="Replacement",1,0))*INDEX(Indicators,MATCH('Additional Impact Indicators'!$A70,Materials!$D:$D,0),MATCH("diesel combustion",Materials!$1:$1,0))+SUMPRODUCT(Delay_emissions_table[Consumption of Petrol (kg) - Tertiary Scenario],IF(Delay_emissions_table[Form of Maintenance - Tertiary Scenario]="Replacement",1,0))*INDEX(Indicators,MATCH('Additional Impact Indicators'!$A70,Materials!$D:$D,0),MATCH("petrol combustion",Materials!$1:$1,0))+IFERROR(SUMPRODUCT(TRANSPOSE(INDEX(elec_project_emissions,MATCH(Elec_scenario&amp;'Additional Impact Indicators'!$B70,INDEX(Electricity_projection,0,3),0)-1,0)),Delay_emissions_table[Consumption of electricity (MJ) - Tertiary Scenario],IF(Delay_emissions_table[Form of Maintenance - Tertiary Scenario]="Replacement",1,0)),0))*Area_trans*Time_adj_Tert</f>
        <v>0</v>
      </c>
      <c r="EH70" s="248" t="e" cm="1">
        <f t="array" ref="EH7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0" s="248" t="e" cm="1">
        <f t="array" ref="EI7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0" s="249" t="e" cm="1">
        <f t="array" ref="EJ7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0" s="249" t="e" cm="1">
        <f t="array" ref="EK7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0" t="e">
        <f ca="1">SUMIF(Table611[[#This Row],[Raw-Materials]:[Transport to recycling facility]],"&lt;&gt;#N/A")</f>
        <v>#DIV/0!</v>
      </c>
    </row>
    <row r="71" spans="1:142" x14ac:dyDescent="0.35">
      <c r="A71" s="155" t="s">
        <v>567</v>
      </c>
      <c r="B71" s="155" t="s">
        <v>503</v>
      </c>
      <c r="C71" s="155" t="str">
        <f t="shared" si="1"/>
        <v>A1</v>
      </c>
      <c r="D71" s="155" t="s">
        <v>54</v>
      </c>
      <c r="E71" s="155"/>
      <c r="F71">
        <f>MATCH(Impacts_Additional[[#This Row],[Indicator]],Material_Impacts[Look up],0)</f>
        <v>11</v>
      </c>
      <c r="G71" s="246" cm="1">
        <f t="array" aca="1" ref="G7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1" s="165" cm="1">
        <f t="array" ref="H7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1" s="165" t="e">
        <f>Diesel_RawM_Prim*INDEX(Indicators,MATCH(Impacts_Additional[[#This Row],[Indicator]],Materials!$D:$D,0),MATCH("Diesel Combustion",Materials!$1:$1,0))*Diesel_density*Project_Area*Prim_Lays*Area_trans</f>
        <v>#DIV/0!</v>
      </c>
      <c r="J71" s="250" t="e" cm="1">
        <f t="array" aca="1" ref="J7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1" s="250" t="e" cm="1">
        <f t="array" aca="1" ref="K7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1" s="250" t="e" cm="1">
        <f t="array" aca="1" ref="L7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1" s="250" t="e" cm="1">
        <f t="array" aca="1" ref="M7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1" s="250" t="e" cm="1">
        <f t="array" aca="1" ref="N7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1" s="250" t="e" cm="1">
        <f t="array" aca="1" ref="O7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1" s="250" t="e" cm="1">
        <f t="array" aca="1" ref="P7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1" s="250" t="e" cm="1">
        <f t="array" aca="1" ref="Q7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1" s="250" t="e" cm="1">
        <f t="array" aca="1" ref="R7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1" s="250" t="e" cm="1">
        <f t="array" aca="1" ref="S7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1" s="250" t="e" cm="1">
        <f t="array" aca="1" ref="T7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1" s="250" t="e" cm="1">
        <f t="array" aca="1" ref="U7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1" s="250" t="e" cm="1">
        <f t="array" aca="1" ref="V7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1" s="250" t="e" cm="1">
        <f t="array" aca="1" ref="W7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1" s="250" t="e" cm="1">
        <f t="array" aca="1" ref="X7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1" s="250" t="e" cm="1">
        <f t="array" aca="1" ref="Y7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1" s="250" t="e" cm="1">
        <f t="array" aca="1" ref="Z7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1" s="250" t="e" cm="1">
        <f t="array" aca="1" ref="AA7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1" s="250" t="e" cm="1">
        <f t="array" aca="1" ref="AB7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1" s="250" t="e" cm="1">
        <f t="array" aca="1" ref="AC7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1" s="250" t="e" cm="1">
        <f t="array" aca="1" ref="AD7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1" s="250" t="e" cm="1">
        <f t="array" aca="1" ref="AE7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1" s="250" t="e" cm="1">
        <f t="array" aca="1" ref="AF7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1" s="250" t="e" cm="1">
        <f t="array" aca="1" ref="AG7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1" s="250" t="e" cm="1">
        <f t="array" aca="1" ref="AH7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1" s="250" t="e" cm="1">
        <f t="array" aca="1" ref="AI7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1" s="250" t="e" cm="1">
        <f t="array" aca="1" ref="AJ7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1" s="165" cm="1">
        <f t="array" aca="1" ref="AK71"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1" s="254" cm="1">
        <f t="array" aca="1" ref="AL7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1" s="251" cm="1">
        <f t="array" aca="1" ref="AM71" ca="1">(SUMPRODUCT(Delay_emissions_table[Consumption of Diesel (kg) - Primary Scenario],IF(Delay_emissions_table[Form of Maintenance - Primary Scenario]="Life Extension",1,0))*INDEX(Indicators,MATCH('Additional Impact Indicators'!$A71,Materials!$D:$D,0),MATCH("diesel combustion",Materials!$1:$1,0))+SUMPRODUCT(Delay_emissions_table[Consumption of Petrol (kg) - Primary Scenario],IF(Delay_emissions_table[Form of Maintenance - Primary Scenario]="Life Extension",1,0))*INDEX(Indicators,MATCH('Additional Impact Indicators'!$A71,Materials!$D:$D,0),MATCH("petrol combustion",Materials!$1:$1,0))+IFERROR(SUMPRODUCT(TRANSPOSE(INDEX(elec_project_emissions,MATCH(Elec_scenario&amp;'Additional Impact Indicators'!$B71,INDEX(Electricity_projection,0,3),0)-1,0)),Delay_emissions_table[Consumption of electricity (MJ) - Primary Scenario],IF(Delay_emissions_table[Form of Maintenance - Primary Scenario]="Life Extension",1,0)),0))*Area_trans*Time_adj_Prim</f>
        <v>0</v>
      </c>
      <c r="AN71" s="251" cm="1">
        <f t="array" aca="1" ref="AN71" ca="1">(SUMPRODUCT(Delay_emissions_table[Consumption of Diesel (kg) - Primary Scenario],IF(Delay_emissions_table[Form of Maintenance - Primary Scenario]="Replacement",1,0))*INDEX(Indicators,MATCH('Additional Impact Indicators'!$A71,Materials!$D:$D,0),MATCH("diesel combustion",Materials!$1:$1,0))+SUMPRODUCT(Delay_emissions_table[Consumption of Petrol (kg) - Primary Scenario],IF(Delay_emissions_table[Form of Maintenance - Primary Scenario]="Replacement",1,0))*INDEX(Indicators,MATCH('Additional Impact Indicators'!$A71,Materials!$D:$D,0),MATCH("petrol combustion",Materials!$1:$1,0))+IFERROR(SUMPRODUCT(TRANSPOSE(INDEX(elec_project_emissions,MATCH(Elec_scenario&amp;'Additional Impact Indicators'!$B71,INDEX(Electricity_projection,0,3),0)-1,0)),Delay_emissions_table[Consumption of electricity (MJ) - Primary Scenario],IF(Delay_emissions_table[Form of Maintenance - Primary Scenario]="Replacement",1,0)),0))*Area_trans*Time_adj_Prim</f>
        <v>0</v>
      </c>
      <c r="AO71" s="252" t="e" cm="1">
        <f t="array" ref="AO7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1" s="252" t="e" cm="1">
        <f t="array" ref="AP7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1" s="253" t="e" cm="1">
        <f t="array" ref="AQ7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1" s="385" t="e" cm="1">
        <f t="array" ref="AR7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1" t="e">
        <f ca="1">SUMIF('Additional Impact Indicators'!$G71:$AQ71,"&lt;&gt;#N/A")</f>
        <v>#DIV/0!</v>
      </c>
      <c r="AW71" s="155" t="s">
        <v>567</v>
      </c>
      <c r="AX71" s="155" t="s">
        <v>503</v>
      </c>
      <c r="AY71" t="str">
        <f t="shared" si="4"/>
        <v>A1</v>
      </c>
      <c r="AZ71" s="155" t="s">
        <v>54</v>
      </c>
      <c r="BB71">
        <f>MATCH(Table3[[#This Row],[Indicator]],Material_Impacts[Look up],0)</f>
        <v>11</v>
      </c>
      <c r="BC71" s="246" cm="1">
        <f t="array" aca="1" ref="BC7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1" s="165" cm="1">
        <f t="array" ref="BD7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1" s="165" t="e">
        <f>Diesel_RawM_Sec*INDEX(Indicators,MATCH(Impacts_Additional[[#This Row],[Indicator]],Materials!$D:$D,0),MATCH("Diesel Combustion",Materials!$1:$1,0))*Diesel_density*Project_Area*Sec_Lays*Area_trans</f>
        <v>#DIV/0!</v>
      </c>
      <c r="BF71" s="35" t="e" cm="1">
        <f t="array" aca="1" ref="BF7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1" s="35" t="e" cm="1">
        <f t="array" aca="1" ref="BG7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1" t="e" cm="1">
        <f t="array" aca="1" ref="BH7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1" s="35" t="e" cm="1">
        <f t="array" aca="1" ref="BI7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1" s="35" t="e" cm="1">
        <f t="array" aca="1" ref="BJ7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1" t="e" cm="1">
        <f t="array" aca="1" ref="BK7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1" s="35" t="e" cm="1">
        <f t="array" aca="1" ref="BL7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1" s="35" t="e" cm="1">
        <f t="array" aca="1" ref="BM7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1" t="e" cm="1">
        <f t="array" aca="1" ref="BN7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1" s="35" t="e" cm="1">
        <f t="array" aca="1" ref="BO7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1" s="35" t="e" cm="1">
        <f t="array" aca="1" ref="BP7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1" t="e" cm="1">
        <f t="array" aca="1" ref="BQ7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1" s="35" t="e" cm="1">
        <f t="array" aca="1" ref="BR7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1" s="35" t="e" cm="1">
        <f t="array" aca="1" ref="BS7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1" t="e" cm="1">
        <f t="array" aca="1" ref="BT7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1" s="35" t="e" cm="1">
        <f t="array" aca="1" ref="BU7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1" s="35" t="e" cm="1">
        <f t="array" aca="1" ref="BV7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1" t="e" cm="1">
        <f t="array" aca="1" ref="BW7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1" s="35" t="e" cm="1">
        <f t="array" aca="1" ref="BX7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1" s="35" t="e" cm="1">
        <f t="array" aca="1" ref="BY7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1" t="e" cm="1">
        <f t="array" aca="1" ref="BZ7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1" s="35" t="e" cm="1">
        <f t="array" aca="1" ref="CA7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1" s="35" t="e" cm="1">
        <f t="array" aca="1" ref="CB7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1" t="e" cm="1">
        <f t="array" aca="1" ref="CC7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1" s="35" t="e" cm="1">
        <f t="array" aca="1" ref="CD7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1" s="35" t="e" cm="1">
        <f t="array" aca="1" ref="CE7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1" t="e" cm="1">
        <f t="array" aca="1" ref="CF7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1" s="165" cm="1">
        <f t="array" aca="1" ref="CG71"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1" s="375" cm="1">
        <f t="array" aca="1" ref="CH7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1" s="251" cm="1">
        <f t="array" aca="1" ref="CI71" ca="1">(SUMPRODUCT(Delay_emissions_table[Consumption of Diesel (kg) - Secondary Scenario],IF(Delay_emissions_table[Form of Maintenance - Secondary Scenario]="Life Extension",1,0))*INDEX(Indicators,MATCH('Additional Impact Indicators'!$A71,Materials!$D:$D,0),MATCH("diesel combustion",Materials!$1:$1,0))+SUMPRODUCT(Delay_emissions_table[Consumption of Petrol (kg) - Secondary Scenario],IF(Delay_emissions_table[Form of Maintenance - Secondary Scenario]="Life Extension",1,0))*INDEX(Indicators,MATCH('Additional Impact Indicators'!$A71,Materials!$D:$D,0),MATCH("petrol combustion",Materials!$1:$1,0))+IFERROR(SUMPRODUCT(TRANSPOSE(INDEX(elec_project_emissions,MATCH(Elec_scenario&amp;'Additional Impact Indicators'!$B71,INDEX(Electricity_projection,0,3),0)-1,0)),Delay_emissions_table[Consumption of electricity (MJ) - Secondary Scenario],IF(Delay_emissions_table[Form of Maintenance - Secondary Scenario]="Life Extension",1,0)),0))*Area_trans*time_adj_Sec</f>
        <v>0</v>
      </c>
      <c r="CJ71" s="251" cm="1">
        <f t="array" aca="1" ref="CJ71" ca="1">(SUMPRODUCT(Delay_emissions_table[Consumption of Diesel (kg) - Secondary Scenario],IF(Delay_emissions_table[Form of Maintenance - Secondary Scenario]="Replacement",1,0))*INDEX(Indicators,MATCH('Additional Impact Indicators'!$A71,Materials!$D:$D,0),MATCH("diesel combustion",Materials!$1:$1,0))+SUMPRODUCT(Delay_emissions_table[Consumption of Petrol (kg) - Secondary Scenario],IF(Delay_emissions_table[Form of Maintenance - Secondary Scenario]="Replacement",1,0))*INDEX(Indicators,MATCH('Additional Impact Indicators'!$A71,Materials!$D:$D,0),MATCH("petrol combustion",Materials!$1:$1,0))+IFERROR(SUMPRODUCT(TRANSPOSE(INDEX(elec_project_emissions,MATCH(Elec_scenario&amp;'Additional Impact Indicators'!$B71,INDEX(Electricity_projection,0,3),0)-1,0)),Delay_emissions_table[Consumption of electricity (MJ) - Secondary Scenario],IF(Delay_emissions_table[Form of Maintenance - Secondary Scenario]="Replacement",1,0)),0))*Area_trans*time_adj_Sec</f>
        <v>0</v>
      </c>
      <c r="CK71" s="252" t="e" cm="1">
        <f t="array" ref="CK7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1" s="252" t="e" cm="1">
        <f t="array" ref="CL7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1" s="253" t="e" cm="1">
        <f t="array" ref="CM7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1" s="387" t="e" cm="1">
        <f t="array" ref="CN7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1" s="51" t="e">
        <f ca="1">SUMIF(Table3[[#This Row],[Raw-Materials]:[Transport to recycling facility]],"&lt;&gt;#N/A")</f>
        <v>#DIV/0!</v>
      </c>
      <c r="CT71" t="s">
        <v>567</v>
      </c>
      <c r="CU71" t="s">
        <v>503</v>
      </c>
      <c r="CV71" t="str">
        <f t="shared" si="3"/>
        <v>A1</v>
      </c>
      <c r="CW71" t="s">
        <v>54</v>
      </c>
      <c r="CY71">
        <f>MATCH(Table611[[#This Row],[Indicator]],Material_Impacts[Look up],0)</f>
        <v>11</v>
      </c>
      <c r="CZ71" s="246" cm="1">
        <f t="array" aca="1" ref="CZ7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1" s="165" cm="1">
        <f t="array" ref="DA7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1" s="165" t="e">
        <f>Diesel_RawM_Tert*INDEX(Indicators,MATCH(Impacts_Additional[[#This Row],[Indicator]],Materials!$D:$D,0),MATCH("Diesel Combustion",Materials!$1:$1,0))*Diesel_density*Project_Area*Tert_Lays*Area_trans</f>
        <v>#DIV/0!</v>
      </c>
      <c r="DC71" s="35" t="e" cm="1">
        <f t="array" aca="1" ref="DC7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1" s="35" t="e" cm="1">
        <f t="array" aca="1" ref="DD7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1" t="e" cm="1">
        <f t="array" aca="1" ref="DE7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1" s="35" t="e" cm="1">
        <f t="array" aca="1" ref="DF7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1" s="35" t="e" cm="1">
        <f t="array" aca="1" ref="DG7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1" t="e" cm="1">
        <f t="array" aca="1" ref="DH7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1" s="35" t="e" cm="1">
        <f t="array" aca="1" ref="DI7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1" s="35" t="e" cm="1">
        <f t="array" aca="1" ref="DJ7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1" t="e" cm="1">
        <f t="array" aca="1" ref="DK7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1" s="35" t="e" cm="1">
        <f t="array" aca="1" ref="DL7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1" s="35" t="e" cm="1">
        <f t="array" aca="1" ref="DM7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1" t="e" cm="1">
        <f t="array" aca="1" ref="DN7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1" s="35" t="e" cm="1">
        <f t="array" aca="1" ref="DO7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1" s="35" t="e" cm="1">
        <f t="array" aca="1" ref="DP7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1" t="e" cm="1">
        <f t="array" aca="1" ref="DQ7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1" s="35" t="e" cm="1">
        <f t="array" aca="1" ref="DR7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1" s="35" t="e" cm="1">
        <f t="array" aca="1" ref="DS7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1" t="e" cm="1">
        <f t="array" aca="1" ref="DT7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1" s="35" t="e" cm="1">
        <f t="array" aca="1" ref="DU7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1" s="35" t="e" cm="1">
        <f t="array" aca="1" ref="DV7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1" t="e" cm="1">
        <f t="array" aca="1" ref="DW7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1" s="35" t="e" cm="1">
        <f t="array" aca="1" ref="DX7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1" s="35" t="e" cm="1">
        <f t="array" aca="1" ref="DY7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1" t="e" cm="1">
        <f t="array" aca="1" ref="DZ7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1" s="35" t="e" cm="1">
        <f t="array" aca="1" ref="EA7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1" s="35" t="e" cm="1">
        <f t="array" aca="1" ref="EB7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1" t="e" cm="1">
        <f t="array" aca="1" ref="EC7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1" s="165" cm="1">
        <f t="array" aca="1" ref="ED71"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1" s="375" cm="1">
        <f t="array" aca="1" ref="EE7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1" s="251" cm="1">
        <f t="array" aca="1" ref="EF71" ca="1">(SUMPRODUCT(Delay_emissions_table[Consumption of Diesel (kg) - Tertiary Scenario],IF(Delay_emissions_table[Form of Maintenance - Tertiary Scenario]="Life Extension",1,0))*INDEX(Indicators,MATCH('Additional Impact Indicators'!$A71,Materials!$D:$D,0),MATCH("diesel combustion",Materials!$1:$1,0))+SUMPRODUCT(Delay_emissions_table[Consumption of Petrol (kg) - Tertiary Scenario],IF(Delay_emissions_table[Form of Maintenance - Tertiary Scenario]="Life Extension",1,0))*INDEX(Indicators,MATCH('Additional Impact Indicators'!$A71,Materials!$D:$D,0),MATCH("petrol combustion",Materials!$1:$1,0))+IFERROR(SUMPRODUCT(TRANSPOSE(INDEX(elec_project_emissions,MATCH(Elec_scenario&amp;'Additional Impact Indicators'!$B71,INDEX(Electricity_projection,0,3),0)-1,0)),Delay_emissions_table[Consumption of electricity (MJ) - Tertiary Scenario],IF(Delay_emissions_table[Form of Maintenance - Tertiary Scenario]="Life Extension",1,0)),0))*Area_trans*Time_adj_Tert</f>
        <v>0</v>
      </c>
      <c r="EG71" s="251" cm="1">
        <f t="array" aca="1" ref="EG71" ca="1">(SUMPRODUCT(Delay_emissions_table[Consumption of Diesel (kg) - Tertiary Scenario],IF(Delay_emissions_table[Form of Maintenance - Tertiary Scenario]="Replacement",1,0))*INDEX(Indicators,MATCH('Additional Impact Indicators'!$A71,Materials!$D:$D,0),MATCH("diesel combustion",Materials!$1:$1,0))+SUMPRODUCT(Delay_emissions_table[Consumption of Petrol (kg) - Tertiary Scenario],IF(Delay_emissions_table[Form of Maintenance - Tertiary Scenario]="Replacement",1,0))*INDEX(Indicators,MATCH('Additional Impact Indicators'!$A71,Materials!$D:$D,0),MATCH("petrol combustion",Materials!$1:$1,0))+IFERROR(SUMPRODUCT(TRANSPOSE(INDEX(elec_project_emissions,MATCH(Elec_scenario&amp;'Additional Impact Indicators'!$B71,INDEX(Electricity_projection,0,3),0)-1,0)),Delay_emissions_table[Consumption of electricity (MJ) - Tertiary Scenario],IF(Delay_emissions_table[Form of Maintenance - Tertiary Scenario]="Replacement",1,0)),0))*Area_trans*Time_adj_Tert</f>
        <v>0</v>
      </c>
      <c r="EH71" s="252" t="e" cm="1">
        <f t="array" ref="EH7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1" s="252" t="e" cm="1">
        <f t="array" ref="EI7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1" s="253" t="e" cm="1">
        <f t="array" ref="EJ7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1" s="253" t="e" cm="1">
        <f t="array" ref="EK7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1" t="e">
        <f ca="1">SUMIF(Table611[[#This Row],[Raw-Materials]:[Transport to recycling facility]],"&lt;&gt;#N/A")</f>
        <v>#DIV/0!</v>
      </c>
    </row>
    <row r="72" spans="1:142" x14ac:dyDescent="0.35">
      <c r="A72" t="s">
        <v>568</v>
      </c>
      <c r="B72" t="s">
        <v>409</v>
      </c>
      <c r="C72" t="str">
        <f t="shared" si="1"/>
        <v>A1</v>
      </c>
      <c r="D72" t="s">
        <v>54</v>
      </c>
      <c r="F72">
        <f>MATCH(Impacts_Additional[[#This Row],[Indicator]],Material_Impacts[Look up],0)</f>
        <v>12</v>
      </c>
      <c r="G72" s="246" cm="1">
        <f t="array" aca="1" ref="G7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2" s="166" cm="1">
        <f t="array" ref="H7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2" s="166" t="e">
        <f>Diesel_RawM_Prim*INDEX(Indicators,MATCH(Impacts_Additional[[#This Row],[Indicator]],Materials!$D:$D,0),MATCH("Diesel Combustion",Materials!$1:$1,0))*Diesel_density*Project_Area*Prim_Lays*Area_trans</f>
        <v>#DIV/0!</v>
      </c>
      <c r="J72" s="20" t="e" cm="1">
        <f t="array" aca="1" ref="J7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2" s="20" t="e" cm="1">
        <f t="array" aca="1" ref="K7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2" s="20" t="e" cm="1">
        <f t="array" aca="1" ref="L7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2" s="20" t="e" cm="1">
        <f t="array" aca="1" ref="M7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2" s="20" t="e" cm="1">
        <f t="array" aca="1" ref="N7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2" s="20" t="e" cm="1">
        <f t="array" aca="1" ref="O7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2" s="20" t="e" cm="1">
        <f t="array" aca="1" ref="P7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2" s="20" t="e" cm="1">
        <f t="array" aca="1" ref="Q7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2" s="20" t="e" cm="1">
        <f t="array" aca="1" ref="R7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2" s="20" t="e" cm="1">
        <f t="array" aca="1" ref="S7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2" s="20" t="e" cm="1">
        <f t="array" aca="1" ref="T7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2" s="20" t="e" cm="1">
        <f t="array" aca="1" ref="U7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2" s="20" t="e" cm="1">
        <f t="array" aca="1" ref="V7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2" s="20" t="e" cm="1">
        <f t="array" aca="1" ref="W7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2" s="20" t="e" cm="1">
        <f t="array" aca="1" ref="X7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2" s="20" t="e" cm="1">
        <f t="array" aca="1" ref="Y7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2" s="20" t="e" cm="1">
        <f t="array" aca="1" ref="Z7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2" s="20" t="e" cm="1">
        <f t="array" aca="1" ref="AA7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2" s="20" t="e" cm="1">
        <f t="array" aca="1" ref="AB7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2" s="20" t="e" cm="1">
        <f t="array" aca="1" ref="AC7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2" s="20" t="e" cm="1">
        <f t="array" aca="1" ref="AD7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2" s="20" t="e" cm="1">
        <f t="array" aca="1" ref="AE7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2" s="20" t="e" cm="1">
        <f t="array" aca="1" ref="AF7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2" s="20" t="e" cm="1">
        <f t="array" aca="1" ref="AG7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2" s="20" t="e" cm="1">
        <f t="array" aca="1" ref="AH7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2" s="20" t="e" cm="1">
        <f t="array" aca="1" ref="AI7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2" s="20" t="e" cm="1">
        <f t="array" aca="1" ref="AJ7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2" s="166" cm="1">
        <f t="array" aca="1" ref="AK72"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2" s="1" cm="1">
        <f t="array" aca="1" ref="AL7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2" s="247" cm="1">
        <f t="array" aca="1" ref="AM72" ca="1">(SUMPRODUCT(Delay_emissions_table[Consumption of Diesel (kg) - Primary Scenario],IF(Delay_emissions_table[Form of Maintenance - Primary Scenario]="Life Extension",1,0))*INDEX(Indicators,MATCH('Additional Impact Indicators'!$A72,Materials!$D:$D,0),MATCH("diesel combustion",Materials!$1:$1,0))+SUMPRODUCT(Delay_emissions_table[Consumption of Petrol (kg) - Primary Scenario],IF(Delay_emissions_table[Form of Maintenance - Primary Scenario]="Life Extension",1,0))*INDEX(Indicators,MATCH('Additional Impact Indicators'!$A72,Materials!$D:$D,0),MATCH("petrol combustion",Materials!$1:$1,0))+IFERROR(SUMPRODUCT(TRANSPOSE(INDEX(elec_project_emissions,MATCH(Elec_scenario&amp;'Additional Impact Indicators'!$B72,INDEX(Electricity_projection,0,3),0)-1,0)),Delay_emissions_table[Consumption of electricity (MJ) - Primary Scenario],IF(Delay_emissions_table[Form of Maintenance - Primary Scenario]="Life Extension",1,0)),0))*Area_trans*Time_adj_Prim</f>
        <v>0</v>
      </c>
      <c r="AN72" s="247" cm="1">
        <f t="array" aca="1" ref="AN72" ca="1">(SUMPRODUCT(Delay_emissions_table[Consumption of Diesel (kg) - Primary Scenario],IF(Delay_emissions_table[Form of Maintenance - Primary Scenario]="Replacement",1,0))*INDEX(Indicators,MATCH('Additional Impact Indicators'!$A72,Materials!$D:$D,0),MATCH("diesel combustion",Materials!$1:$1,0))+SUMPRODUCT(Delay_emissions_table[Consumption of Petrol (kg) - Primary Scenario],IF(Delay_emissions_table[Form of Maintenance - Primary Scenario]="Replacement",1,0))*INDEX(Indicators,MATCH('Additional Impact Indicators'!$A72,Materials!$D:$D,0),MATCH("petrol combustion",Materials!$1:$1,0))+IFERROR(SUMPRODUCT(TRANSPOSE(INDEX(elec_project_emissions,MATCH(Elec_scenario&amp;'Additional Impact Indicators'!$B72,INDEX(Electricity_projection,0,3),0)-1,0)),Delay_emissions_table[Consumption of electricity (MJ) - Primary Scenario],IF(Delay_emissions_table[Form of Maintenance - Primary Scenario]="Replacement",1,0)),0))*Area_trans*Time_adj_Prim</f>
        <v>0</v>
      </c>
      <c r="AO72" s="248" t="e" cm="1">
        <f t="array" ref="AO7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2" s="248" t="e" cm="1">
        <f t="array" ref="AP7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2" s="249" t="e" cm="1">
        <f t="array" ref="AQ7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2" s="386" t="e" cm="1">
        <f t="array" ref="AR7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2" t="e">
        <f ca="1">SUMIF('Additional Impact Indicators'!$G72:$AQ72,"&lt;&gt;#N/A")</f>
        <v>#DIV/0!</v>
      </c>
      <c r="AW72" t="s">
        <v>568</v>
      </c>
      <c r="AX72" t="s">
        <v>409</v>
      </c>
      <c r="AY72" t="str">
        <f t="shared" si="4"/>
        <v>A1</v>
      </c>
      <c r="AZ72" t="s">
        <v>54</v>
      </c>
      <c r="BB72">
        <f>MATCH(Table3[[#This Row],[Indicator]],Material_Impacts[Look up],0)</f>
        <v>12</v>
      </c>
      <c r="BC72" s="246" cm="1">
        <f t="array" aca="1" ref="BC7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2" s="166" cm="1">
        <f t="array" ref="BD7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2" s="166" t="e">
        <f>Diesel_RawM_Sec*INDEX(Indicators,MATCH(Impacts_Additional[[#This Row],[Indicator]],Materials!$D:$D,0),MATCH("Diesel Combustion",Materials!$1:$1,0))*Diesel_density*Project_Area*Sec_Lays*Area_trans</f>
        <v>#DIV/0!</v>
      </c>
      <c r="BF72" s="35" t="e" cm="1">
        <f t="array" aca="1" ref="BF7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2" s="35" t="e" cm="1">
        <f t="array" aca="1" ref="BG7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2" t="e" cm="1">
        <f t="array" aca="1" ref="BH7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2" s="35" t="e" cm="1">
        <f t="array" aca="1" ref="BI7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2" s="35" t="e" cm="1">
        <f t="array" aca="1" ref="BJ7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2" t="e" cm="1">
        <f t="array" aca="1" ref="BK7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2" s="35" t="e" cm="1">
        <f t="array" aca="1" ref="BL7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2" s="35" t="e" cm="1">
        <f t="array" aca="1" ref="BM7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2" t="e" cm="1">
        <f t="array" aca="1" ref="BN7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2" s="35" t="e" cm="1">
        <f t="array" aca="1" ref="BO7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2" s="35" t="e" cm="1">
        <f t="array" aca="1" ref="BP7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2" t="e" cm="1">
        <f t="array" aca="1" ref="BQ7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2" s="35" t="e" cm="1">
        <f t="array" aca="1" ref="BR7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2" s="35" t="e" cm="1">
        <f t="array" aca="1" ref="BS7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2" t="e" cm="1">
        <f t="array" aca="1" ref="BT7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2" s="35" t="e" cm="1">
        <f t="array" aca="1" ref="BU7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2" s="35" t="e" cm="1">
        <f t="array" aca="1" ref="BV7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2" t="e" cm="1">
        <f t="array" aca="1" ref="BW7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2" s="35" t="e" cm="1">
        <f t="array" aca="1" ref="BX7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2" s="35" t="e" cm="1">
        <f t="array" aca="1" ref="BY7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2" t="e" cm="1">
        <f t="array" aca="1" ref="BZ7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2" s="35" t="e" cm="1">
        <f t="array" aca="1" ref="CA7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2" s="35" t="e" cm="1">
        <f t="array" aca="1" ref="CB7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2" t="e" cm="1">
        <f t="array" aca="1" ref="CC7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2" s="35" t="e" cm="1">
        <f t="array" aca="1" ref="CD7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2" s="35" t="e" cm="1">
        <f t="array" aca="1" ref="CE7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2" t="e" cm="1">
        <f t="array" aca="1" ref="CF7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2" s="166" cm="1">
        <f t="array" aca="1" ref="CG72"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2" s="375" cm="1">
        <f t="array" aca="1" ref="CH7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2" s="247" cm="1">
        <f t="array" aca="1" ref="CI72" ca="1">(SUMPRODUCT(Delay_emissions_table[Consumption of Diesel (kg) - Secondary Scenario],IF(Delay_emissions_table[Form of Maintenance - Secondary Scenario]="Life Extension",1,0))*INDEX(Indicators,MATCH('Additional Impact Indicators'!$A72,Materials!$D:$D,0),MATCH("diesel combustion",Materials!$1:$1,0))+SUMPRODUCT(Delay_emissions_table[Consumption of Petrol (kg) - Secondary Scenario],IF(Delay_emissions_table[Form of Maintenance - Secondary Scenario]="Life Extension",1,0))*INDEX(Indicators,MATCH('Additional Impact Indicators'!$A72,Materials!$D:$D,0),MATCH("petrol combustion",Materials!$1:$1,0))+IFERROR(SUMPRODUCT(TRANSPOSE(INDEX(elec_project_emissions,MATCH(Elec_scenario&amp;'Additional Impact Indicators'!$B72,INDEX(Electricity_projection,0,3),0)-1,0)),Delay_emissions_table[Consumption of electricity (MJ) - Secondary Scenario],IF(Delay_emissions_table[Form of Maintenance - Secondary Scenario]="Life Extension",1,0)),0))*Area_trans*time_adj_Sec</f>
        <v>0</v>
      </c>
      <c r="CJ72" s="247" cm="1">
        <f t="array" aca="1" ref="CJ72" ca="1">(SUMPRODUCT(Delay_emissions_table[Consumption of Diesel (kg) - Secondary Scenario],IF(Delay_emissions_table[Form of Maintenance - Secondary Scenario]="Replacement",1,0))*INDEX(Indicators,MATCH('Additional Impact Indicators'!$A72,Materials!$D:$D,0),MATCH("diesel combustion",Materials!$1:$1,0))+SUMPRODUCT(Delay_emissions_table[Consumption of Petrol (kg) - Secondary Scenario],IF(Delay_emissions_table[Form of Maintenance - Secondary Scenario]="Replacement",1,0))*INDEX(Indicators,MATCH('Additional Impact Indicators'!$A72,Materials!$D:$D,0),MATCH("petrol combustion",Materials!$1:$1,0))+IFERROR(SUMPRODUCT(TRANSPOSE(INDEX(elec_project_emissions,MATCH(Elec_scenario&amp;'Additional Impact Indicators'!$B72,INDEX(Electricity_projection,0,3),0)-1,0)),Delay_emissions_table[Consumption of electricity (MJ) - Secondary Scenario],IF(Delay_emissions_table[Form of Maintenance - Secondary Scenario]="Replacement",1,0)),0))*Area_trans*time_adj_Sec</f>
        <v>0</v>
      </c>
      <c r="CK72" s="248" t="e" cm="1">
        <f t="array" ref="CK7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2" s="248" t="e" cm="1">
        <f t="array" ref="CL7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2" s="249" t="e" cm="1">
        <f t="array" ref="CM7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2" s="387" t="e" cm="1">
        <f t="array" ref="CN7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2" s="51" t="e">
        <f ca="1">SUMIF(Table3[[#This Row],[Raw-Materials]:[Transport to recycling facility]],"&lt;&gt;#N/A")</f>
        <v>#DIV/0!</v>
      </c>
      <c r="CT72" t="s">
        <v>568</v>
      </c>
      <c r="CU72" t="s">
        <v>409</v>
      </c>
      <c r="CV72" t="str">
        <f t="shared" si="3"/>
        <v>A1</v>
      </c>
      <c r="CW72" t="s">
        <v>54</v>
      </c>
      <c r="CY72">
        <f>MATCH(Table611[[#This Row],[Indicator]],Material_Impacts[Look up],0)</f>
        <v>12</v>
      </c>
      <c r="CZ72" s="246" cm="1">
        <f t="array" aca="1" ref="CZ7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2" s="166" cm="1">
        <f t="array" ref="DA7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2" s="166" t="e">
        <f>Diesel_RawM_Tert*INDEX(Indicators,MATCH(Impacts_Additional[[#This Row],[Indicator]],Materials!$D:$D,0),MATCH("Diesel Combustion",Materials!$1:$1,0))*Diesel_density*Project_Area*Tert_Lays*Area_trans</f>
        <v>#DIV/0!</v>
      </c>
      <c r="DC72" s="35" t="e" cm="1">
        <f t="array" aca="1" ref="DC7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2" s="35" t="e" cm="1">
        <f t="array" aca="1" ref="DD7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2" t="e" cm="1">
        <f t="array" aca="1" ref="DE7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2" s="35" t="e" cm="1">
        <f t="array" aca="1" ref="DF7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2" s="35" t="e" cm="1">
        <f t="array" aca="1" ref="DG7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2" t="e" cm="1">
        <f t="array" aca="1" ref="DH7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2" s="35" t="e" cm="1">
        <f t="array" aca="1" ref="DI7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2" s="35" t="e" cm="1">
        <f t="array" aca="1" ref="DJ7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2" t="e" cm="1">
        <f t="array" aca="1" ref="DK7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2" s="35" t="e" cm="1">
        <f t="array" aca="1" ref="DL7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2" s="35" t="e" cm="1">
        <f t="array" aca="1" ref="DM7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2" t="e" cm="1">
        <f t="array" aca="1" ref="DN7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2" s="35" t="e" cm="1">
        <f t="array" aca="1" ref="DO7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2" s="35" t="e" cm="1">
        <f t="array" aca="1" ref="DP7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2" t="e" cm="1">
        <f t="array" aca="1" ref="DQ7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2" s="35" t="e" cm="1">
        <f t="array" aca="1" ref="DR7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2" s="35" t="e" cm="1">
        <f t="array" aca="1" ref="DS7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2" t="e" cm="1">
        <f t="array" aca="1" ref="DT7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2" s="35" t="e" cm="1">
        <f t="array" aca="1" ref="DU7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2" s="35" t="e" cm="1">
        <f t="array" aca="1" ref="DV7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2" t="e" cm="1">
        <f t="array" aca="1" ref="DW7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2" s="35" t="e" cm="1">
        <f t="array" aca="1" ref="DX7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2" s="35" t="e" cm="1">
        <f t="array" aca="1" ref="DY7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2" t="e" cm="1">
        <f t="array" aca="1" ref="DZ7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2" s="35" t="e" cm="1">
        <f t="array" aca="1" ref="EA7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2" s="35" t="e" cm="1">
        <f t="array" aca="1" ref="EB7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2" t="e" cm="1">
        <f t="array" aca="1" ref="EC7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2" s="166" cm="1">
        <f t="array" aca="1" ref="ED72"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2" s="375" cm="1">
        <f t="array" aca="1" ref="EE7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2" s="247" cm="1">
        <f t="array" aca="1" ref="EF72" ca="1">(SUMPRODUCT(Delay_emissions_table[Consumption of Diesel (kg) - Tertiary Scenario],IF(Delay_emissions_table[Form of Maintenance - Tertiary Scenario]="Life Extension",1,0))*INDEX(Indicators,MATCH('Additional Impact Indicators'!$A72,Materials!$D:$D,0),MATCH("diesel combustion",Materials!$1:$1,0))+SUMPRODUCT(Delay_emissions_table[Consumption of Petrol (kg) - Tertiary Scenario],IF(Delay_emissions_table[Form of Maintenance - Tertiary Scenario]="Life Extension",1,0))*INDEX(Indicators,MATCH('Additional Impact Indicators'!$A72,Materials!$D:$D,0),MATCH("petrol combustion",Materials!$1:$1,0))+IFERROR(SUMPRODUCT(TRANSPOSE(INDEX(elec_project_emissions,MATCH(Elec_scenario&amp;'Additional Impact Indicators'!$B72,INDEX(Electricity_projection,0,3),0)-1,0)),Delay_emissions_table[Consumption of electricity (MJ) - Tertiary Scenario],IF(Delay_emissions_table[Form of Maintenance - Tertiary Scenario]="Life Extension",1,0)),0))*Area_trans*Time_adj_Tert</f>
        <v>0</v>
      </c>
      <c r="EG72" s="247" cm="1">
        <f t="array" aca="1" ref="EG72" ca="1">(SUMPRODUCT(Delay_emissions_table[Consumption of Diesel (kg) - Tertiary Scenario],IF(Delay_emissions_table[Form of Maintenance - Tertiary Scenario]="Replacement",1,0))*INDEX(Indicators,MATCH('Additional Impact Indicators'!$A72,Materials!$D:$D,0),MATCH("diesel combustion",Materials!$1:$1,0))+SUMPRODUCT(Delay_emissions_table[Consumption of Petrol (kg) - Tertiary Scenario],IF(Delay_emissions_table[Form of Maintenance - Tertiary Scenario]="Replacement",1,0))*INDEX(Indicators,MATCH('Additional Impact Indicators'!$A72,Materials!$D:$D,0),MATCH("petrol combustion",Materials!$1:$1,0))+IFERROR(SUMPRODUCT(TRANSPOSE(INDEX(elec_project_emissions,MATCH(Elec_scenario&amp;'Additional Impact Indicators'!$B72,INDEX(Electricity_projection,0,3),0)-1,0)),Delay_emissions_table[Consumption of electricity (MJ) - Tertiary Scenario],IF(Delay_emissions_table[Form of Maintenance - Tertiary Scenario]="Replacement",1,0)),0))*Area_trans*Time_adj_Tert</f>
        <v>0</v>
      </c>
      <c r="EH72" s="248" t="e" cm="1">
        <f t="array" ref="EH7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2" s="248" t="e" cm="1">
        <f t="array" ref="EI7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2" s="249" t="e" cm="1">
        <f t="array" ref="EJ7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2" s="249" t="e" cm="1">
        <f t="array" ref="EK7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2" t="e">
        <f ca="1">SUMIF(Table611[[#This Row],[Raw-Materials]:[Transport to recycling facility]],"&lt;&gt;#N/A")</f>
        <v>#DIV/0!</v>
      </c>
    </row>
    <row r="73" spans="1:142" x14ac:dyDescent="0.35">
      <c r="A73" s="155" t="s">
        <v>569</v>
      </c>
      <c r="B73" s="155" t="s">
        <v>411</v>
      </c>
      <c r="C73" s="155" t="str">
        <f t="shared" ref="C73:C112" si="5">IF(ISNUMBER(SEARCH("A1",A73)),"A1","A2")</f>
        <v>A1</v>
      </c>
      <c r="D73" s="155" t="s">
        <v>54</v>
      </c>
      <c r="E73" s="155"/>
      <c r="F73">
        <f>MATCH(Impacts_Additional[[#This Row],[Indicator]],Material_Impacts[Look up],0)</f>
        <v>13</v>
      </c>
      <c r="G73" s="246" cm="1">
        <f t="array" aca="1" ref="G7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3" s="165" cm="1">
        <f t="array" ref="H7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3" s="165" t="e">
        <f>Diesel_RawM_Prim*INDEX(Indicators,MATCH(Impacts_Additional[[#This Row],[Indicator]],Materials!$D:$D,0),MATCH("Diesel Combustion",Materials!$1:$1,0))*Diesel_density*Project_Area*Prim_Lays*Area_trans</f>
        <v>#DIV/0!</v>
      </c>
      <c r="J73" s="250" t="e" cm="1">
        <f t="array" aca="1" ref="J7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3" s="250" t="e" cm="1">
        <f t="array" aca="1" ref="K7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3" s="250" t="e" cm="1">
        <f t="array" aca="1" ref="L7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3" s="250" t="e" cm="1">
        <f t="array" aca="1" ref="M7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3" s="250" t="e" cm="1">
        <f t="array" aca="1" ref="N7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3" s="250" t="e" cm="1">
        <f t="array" aca="1" ref="O7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3" s="250" t="e" cm="1">
        <f t="array" aca="1" ref="P7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3" s="250" t="e" cm="1">
        <f t="array" aca="1" ref="Q7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3" s="250" t="e" cm="1">
        <f t="array" aca="1" ref="R7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3" s="250" t="e" cm="1">
        <f t="array" aca="1" ref="S7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3" s="250" t="e" cm="1">
        <f t="array" aca="1" ref="T7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3" s="250" t="e" cm="1">
        <f t="array" aca="1" ref="U7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3" s="250" t="e" cm="1">
        <f t="array" aca="1" ref="V7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3" s="250" t="e" cm="1">
        <f t="array" aca="1" ref="W7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3" s="250" t="e" cm="1">
        <f t="array" aca="1" ref="X7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3" s="250" t="e" cm="1">
        <f t="array" aca="1" ref="Y7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3" s="250" t="e" cm="1">
        <f t="array" aca="1" ref="Z7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3" s="250" t="e" cm="1">
        <f t="array" aca="1" ref="AA7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3" s="250" t="e" cm="1">
        <f t="array" aca="1" ref="AB7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3" s="250" t="e" cm="1">
        <f t="array" aca="1" ref="AC7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3" s="250" t="e" cm="1">
        <f t="array" aca="1" ref="AD7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3" s="250" t="e" cm="1">
        <f t="array" aca="1" ref="AE7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3" s="250" t="e" cm="1">
        <f t="array" aca="1" ref="AF7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3" s="250" t="e" cm="1">
        <f t="array" aca="1" ref="AG7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3" s="250" t="e" cm="1">
        <f t="array" aca="1" ref="AH7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3" s="250" t="e" cm="1">
        <f t="array" aca="1" ref="AI7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3" s="250" t="e" cm="1">
        <f t="array" aca="1" ref="AJ7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3" s="165" cm="1">
        <f t="array" aca="1" ref="AK73"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3" s="254" cm="1">
        <f t="array" aca="1" ref="AL7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3" s="251" cm="1">
        <f t="array" aca="1" ref="AM73" ca="1">(SUMPRODUCT(Delay_emissions_table[Consumption of Diesel (kg) - Primary Scenario],IF(Delay_emissions_table[Form of Maintenance - Primary Scenario]="Life Extension",1,0))*INDEX(Indicators,MATCH('Additional Impact Indicators'!$A73,Materials!$D:$D,0),MATCH("diesel combustion",Materials!$1:$1,0))+SUMPRODUCT(Delay_emissions_table[Consumption of Petrol (kg) - Primary Scenario],IF(Delay_emissions_table[Form of Maintenance - Primary Scenario]="Life Extension",1,0))*INDEX(Indicators,MATCH('Additional Impact Indicators'!$A73,Materials!$D:$D,0),MATCH("petrol combustion",Materials!$1:$1,0))+IFERROR(SUMPRODUCT(TRANSPOSE(INDEX(elec_project_emissions,MATCH(Elec_scenario&amp;'Additional Impact Indicators'!$B73,INDEX(Electricity_projection,0,3),0)-1,0)),Delay_emissions_table[Consumption of electricity (MJ) - Primary Scenario],IF(Delay_emissions_table[Form of Maintenance - Primary Scenario]="Life Extension",1,0)),0))*Area_trans*Time_adj_Prim</f>
        <v>0</v>
      </c>
      <c r="AN73" s="251" cm="1">
        <f t="array" aca="1" ref="AN73" ca="1">(SUMPRODUCT(Delay_emissions_table[Consumption of Diesel (kg) - Primary Scenario],IF(Delay_emissions_table[Form of Maintenance - Primary Scenario]="Replacement",1,0))*INDEX(Indicators,MATCH('Additional Impact Indicators'!$A73,Materials!$D:$D,0),MATCH("diesel combustion",Materials!$1:$1,0))+SUMPRODUCT(Delay_emissions_table[Consumption of Petrol (kg) - Primary Scenario],IF(Delay_emissions_table[Form of Maintenance - Primary Scenario]="Replacement",1,0))*INDEX(Indicators,MATCH('Additional Impact Indicators'!$A73,Materials!$D:$D,0),MATCH("petrol combustion",Materials!$1:$1,0))+IFERROR(SUMPRODUCT(TRANSPOSE(INDEX(elec_project_emissions,MATCH(Elec_scenario&amp;'Additional Impact Indicators'!$B73,INDEX(Electricity_projection,0,3),0)-1,0)),Delay_emissions_table[Consumption of electricity (MJ) - Primary Scenario],IF(Delay_emissions_table[Form of Maintenance - Primary Scenario]="Replacement",1,0)),0))*Area_trans*Time_adj_Prim</f>
        <v>0</v>
      </c>
      <c r="AO73" s="252" t="e" cm="1">
        <f t="array" ref="AO7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3" s="252" t="e" cm="1">
        <f t="array" ref="AP7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3" s="253" t="e" cm="1">
        <f t="array" ref="AQ7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3" s="385" t="e" cm="1">
        <f t="array" ref="AR7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3" t="e">
        <f ca="1">SUMIF('Additional Impact Indicators'!$G73:$AQ73,"&lt;&gt;#N/A")</f>
        <v>#DIV/0!</v>
      </c>
      <c r="AW73" s="155" t="s">
        <v>569</v>
      </c>
      <c r="AX73" s="155" t="s">
        <v>411</v>
      </c>
      <c r="AY73" t="str">
        <f t="shared" si="4"/>
        <v>A1</v>
      </c>
      <c r="AZ73" s="155" t="s">
        <v>54</v>
      </c>
      <c r="BB73">
        <f>MATCH(Table3[[#This Row],[Indicator]],Material_Impacts[Look up],0)</f>
        <v>13</v>
      </c>
      <c r="BC73" s="246" cm="1">
        <f t="array" aca="1" ref="BC7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3" s="165" cm="1">
        <f t="array" ref="BD7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3" s="165" t="e">
        <f>Diesel_RawM_Sec*INDEX(Indicators,MATCH(Impacts_Additional[[#This Row],[Indicator]],Materials!$D:$D,0),MATCH("Diesel Combustion",Materials!$1:$1,0))*Diesel_density*Project_Area*Sec_Lays*Area_trans</f>
        <v>#DIV/0!</v>
      </c>
      <c r="BF73" s="35" t="e" cm="1">
        <f t="array" aca="1" ref="BF7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3" s="35" t="e" cm="1">
        <f t="array" aca="1" ref="BG7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3" t="e" cm="1">
        <f t="array" aca="1" ref="BH7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3" s="35" t="e" cm="1">
        <f t="array" aca="1" ref="BI7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3" s="35" t="e" cm="1">
        <f t="array" aca="1" ref="BJ7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3" t="e" cm="1">
        <f t="array" aca="1" ref="BK7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3" s="35" t="e" cm="1">
        <f t="array" aca="1" ref="BL7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3" s="35" t="e" cm="1">
        <f t="array" aca="1" ref="BM7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3" t="e" cm="1">
        <f t="array" aca="1" ref="BN7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3" s="35" t="e" cm="1">
        <f t="array" aca="1" ref="BO7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3" s="35" t="e" cm="1">
        <f t="array" aca="1" ref="BP7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3" t="e" cm="1">
        <f t="array" aca="1" ref="BQ7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3" s="35" t="e" cm="1">
        <f t="array" aca="1" ref="BR7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3" s="35" t="e" cm="1">
        <f t="array" aca="1" ref="BS7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3" t="e" cm="1">
        <f t="array" aca="1" ref="BT7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3" s="35" t="e" cm="1">
        <f t="array" aca="1" ref="BU7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3" s="35" t="e" cm="1">
        <f t="array" aca="1" ref="BV7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3" t="e" cm="1">
        <f t="array" aca="1" ref="BW7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3" s="35" t="e" cm="1">
        <f t="array" aca="1" ref="BX7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3" s="35" t="e" cm="1">
        <f t="array" aca="1" ref="BY7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3" t="e" cm="1">
        <f t="array" aca="1" ref="BZ7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3" s="35" t="e" cm="1">
        <f t="array" aca="1" ref="CA7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3" s="35" t="e" cm="1">
        <f t="array" aca="1" ref="CB7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3" t="e" cm="1">
        <f t="array" aca="1" ref="CC7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3" s="35" t="e" cm="1">
        <f t="array" aca="1" ref="CD7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3" s="35" t="e" cm="1">
        <f t="array" aca="1" ref="CE7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3" t="e" cm="1">
        <f t="array" aca="1" ref="CF7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3" s="165" cm="1">
        <f t="array" aca="1" ref="CG73"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3" s="375" cm="1">
        <f t="array" aca="1" ref="CH7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3" s="251" cm="1">
        <f t="array" aca="1" ref="CI73" ca="1">(SUMPRODUCT(Delay_emissions_table[Consumption of Diesel (kg) - Secondary Scenario],IF(Delay_emissions_table[Form of Maintenance - Secondary Scenario]="Life Extension",1,0))*INDEX(Indicators,MATCH('Additional Impact Indicators'!$A73,Materials!$D:$D,0),MATCH("diesel combustion",Materials!$1:$1,0))+SUMPRODUCT(Delay_emissions_table[Consumption of Petrol (kg) - Secondary Scenario],IF(Delay_emissions_table[Form of Maintenance - Secondary Scenario]="Life Extension",1,0))*INDEX(Indicators,MATCH('Additional Impact Indicators'!$A73,Materials!$D:$D,0),MATCH("petrol combustion",Materials!$1:$1,0))+IFERROR(SUMPRODUCT(TRANSPOSE(INDEX(elec_project_emissions,MATCH(Elec_scenario&amp;'Additional Impact Indicators'!$B73,INDEX(Electricity_projection,0,3),0)-1,0)),Delay_emissions_table[Consumption of electricity (MJ) - Secondary Scenario],IF(Delay_emissions_table[Form of Maintenance - Secondary Scenario]="Life Extension",1,0)),0))*Area_trans*time_adj_Sec</f>
        <v>0</v>
      </c>
      <c r="CJ73" s="251" cm="1">
        <f t="array" aca="1" ref="CJ73" ca="1">(SUMPRODUCT(Delay_emissions_table[Consumption of Diesel (kg) - Secondary Scenario],IF(Delay_emissions_table[Form of Maintenance - Secondary Scenario]="Replacement",1,0))*INDEX(Indicators,MATCH('Additional Impact Indicators'!$A73,Materials!$D:$D,0),MATCH("diesel combustion",Materials!$1:$1,0))+SUMPRODUCT(Delay_emissions_table[Consumption of Petrol (kg) - Secondary Scenario],IF(Delay_emissions_table[Form of Maintenance - Secondary Scenario]="Replacement",1,0))*INDEX(Indicators,MATCH('Additional Impact Indicators'!$A73,Materials!$D:$D,0),MATCH("petrol combustion",Materials!$1:$1,0))+IFERROR(SUMPRODUCT(TRANSPOSE(INDEX(elec_project_emissions,MATCH(Elec_scenario&amp;'Additional Impact Indicators'!$B73,INDEX(Electricity_projection,0,3),0)-1,0)),Delay_emissions_table[Consumption of electricity (MJ) - Secondary Scenario],IF(Delay_emissions_table[Form of Maintenance - Secondary Scenario]="Replacement",1,0)),0))*Area_trans*time_adj_Sec</f>
        <v>0</v>
      </c>
      <c r="CK73" s="252" t="e" cm="1">
        <f t="array" ref="CK7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3" s="252" t="e" cm="1">
        <f t="array" ref="CL7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3" s="253" t="e" cm="1">
        <f t="array" ref="CM7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3" s="387" t="e" cm="1">
        <f t="array" ref="CN7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3" s="51" t="e">
        <f ca="1">SUMIF(Table3[[#This Row],[Raw-Materials]:[Transport to recycling facility]],"&lt;&gt;#N/A")</f>
        <v>#DIV/0!</v>
      </c>
      <c r="CT73" t="s">
        <v>569</v>
      </c>
      <c r="CU73" t="s">
        <v>411</v>
      </c>
      <c r="CV73" t="str">
        <f t="shared" si="3"/>
        <v>A1</v>
      </c>
      <c r="CW73" t="s">
        <v>54</v>
      </c>
      <c r="CY73">
        <f>MATCH(Table611[[#This Row],[Indicator]],Material_Impacts[Look up],0)</f>
        <v>13</v>
      </c>
      <c r="CZ73" s="246" cm="1">
        <f t="array" aca="1" ref="CZ7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3" s="165" cm="1">
        <f t="array" ref="DA7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3" s="165" t="e">
        <f>Diesel_RawM_Tert*INDEX(Indicators,MATCH(Impacts_Additional[[#This Row],[Indicator]],Materials!$D:$D,0),MATCH("Diesel Combustion",Materials!$1:$1,0))*Diesel_density*Project_Area*Tert_Lays*Area_trans</f>
        <v>#DIV/0!</v>
      </c>
      <c r="DC73" s="35" t="e" cm="1">
        <f t="array" aca="1" ref="DC7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3" s="35" t="e" cm="1">
        <f t="array" aca="1" ref="DD7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3" t="e" cm="1">
        <f t="array" aca="1" ref="DE7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3" s="35" t="e" cm="1">
        <f t="array" aca="1" ref="DF7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3" s="35" t="e" cm="1">
        <f t="array" aca="1" ref="DG7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3" t="e" cm="1">
        <f t="array" aca="1" ref="DH7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3" s="35" t="e" cm="1">
        <f t="array" aca="1" ref="DI7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3" s="35" t="e" cm="1">
        <f t="array" aca="1" ref="DJ7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3" t="e" cm="1">
        <f t="array" aca="1" ref="DK7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3" s="35" t="e" cm="1">
        <f t="array" aca="1" ref="DL7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3" s="35" t="e" cm="1">
        <f t="array" aca="1" ref="DM7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3" t="e" cm="1">
        <f t="array" aca="1" ref="DN7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3" s="35" t="e" cm="1">
        <f t="array" aca="1" ref="DO7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3" s="35" t="e" cm="1">
        <f t="array" aca="1" ref="DP7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3" t="e" cm="1">
        <f t="array" aca="1" ref="DQ7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3" s="35" t="e" cm="1">
        <f t="array" aca="1" ref="DR7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3" s="35" t="e" cm="1">
        <f t="array" aca="1" ref="DS7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3" t="e" cm="1">
        <f t="array" aca="1" ref="DT7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3" s="35" t="e" cm="1">
        <f t="array" aca="1" ref="DU7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3" s="35" t="e" cm="1">
        <f t="array" aca="1" ref="DV7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3" t="e" cm="1">
        <f t="array" aca="1" ref="DW7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3" s="35" t="e" cm="1">
        <f t="array" aca="1" ref="DX7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3" s="35" t="e" cm="1">
        <f t="array" aca="1" ref="DY7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3" t="e" cm="1">
        <f t="array" aca="1" ref="DZ7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3" s="35" t="e" cm="1">
        <f t="array" aca="1" ref="EA7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3" s="35" t="e" cm="1">
        <f t="array" aca="1" ref="EB7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3" t="e" cm="1">
        <f t="array" aca="1" ref="EC7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3" s="165" cm="1">
        <f t="array" aca="1" ref="ED73"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3" s="375" cm="1">
        <f t="array" aca="1" ref="EE7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3" s="251" cm="1">
        <f t="array" aca="1" ref="EF73" ca="1">(SUMPRODUCT(Delay_emissions_table[Consumption of Diesel (kg) - Tertiary Scenario],IF(Delay_emissions_table[Form of Maintenance - Tertiary Scenario]="Life Extension",1,0))*INDEX(Indicators,MATCH('Additional Impact Indicators'!$A73,Materials!$D:$D,0),MATCH("diesel combustion",Materials!$1:$1,0))+SUMPRODUCT(Delay_emissions_table[Consumption of Petrol (kg) - Tertiary Scenario],IF(Delay_emissions_table[Form of Maintenance - Tertiary Scenario]="Life Extension",1,0))*INDEX(Indicators,MATCH('Additional Impact Indicators'!$A73,Materials!$D:$D,0),MATCH("petrol combustion",Materials!$1:$1,0))+IFERROR(SUMPRODUCT(TRANSPOSE(INDEX(elec_project_emissions,MATCH(Elec_scenario&amp;'Additional Impact Indicators'!$B73,INDEX(Electricity_projection,0,3),0)-1,0)),Delay_emissions_table[Consumption of electricity (MJ) - Tertiary Scenario],IF(Delay_emissions_table[Form of Maintenance - Tertiary Scenario]="Life Extension",1,0)),0))*Area_trans*Time_adj_Tert</f>
        <v>0</v>
      </c>
      <c r="EG73" s="251" cm="1">
        <f t="array" aca="1" ref="EG73" ca="1">(SUMPRODUCT(Delay_emissions_table[Consumption of Diesel (kg) - Tertiary Scenario],IF(Delay_emissions_table[Form of Maintenance - Tertiary Scenario]="Replacement",1,0))*INDEX(Indicators,MATCH('Additional Impact Indicators'!$A73,Materials!$D:$D,0),MATCH("diesel combustion",Materials!$1:$1,0))+SUMPRODUCT(Delay_emissions_table[Consumption of Petrol (kg) - Tertiary Scenario],IF(Delay_emissions_table[Form of Maintenance - Tertiary Scenario]="Replacement",1,0))*INDEX(Indicators,MATCH('Additional Impact Indicators'!$A73,Materials!$D:$D,0),MATCH("petrol combustion",Materials!$1:$1,0))+IFERROR(SUMPRODUCT(TRANSPOSE(INDEX(elec_project_emissions,MATCH(Elec_scenario&amp;'Additional Impact Indicators'!$B73,INDEX(Electricity_projection,0,3),0)-1,0)),Delay_emissions_table[Consumption of electricity (MJ) - Tertiary Scenario],IF(Delay_emissions_table[Form of Maintenance - Tertiary Scenario]="Replacement",1,0)),0))*Area_trans*Time_adj_Tert</f>
        <v>0</v>
      </c>
      <c r="EH73" s="252" t="e" cm="1">
        <f t="array" ref="EH7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3" s="252" t="e" cm="1">
        <f t="array" ref="EI7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3" s="253" t="e" cm="1">
        <f t="array" ref="EJ7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3" s="253" t="e" cm="1">
        <f t="array" ref="EK7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3" t="e">
        <f ca="1">SUMIF(Table611[[#This Row],[Raw-Materials]:[Transport to recycling facility]],"&lt;&gt;#N/A")</f>
        <v>#DIV/0!</v>
      </c>
    </row>
    <row r="74" spans="1:142" x14ac:dyDescent="0.35">
      <c r="A74" t="s">
        <v>570</v>
      </c>
      <c r="B74" t="s">
        <v>413</v>
      </c>
      <c r="C74" t="str">
        <f t="shared" si="5"/>
        <v>A1</v>
      </c>
      <c r="D74" t="s">
        <v>54</v>
      </c>
      <c r="F74">
        <f>MATCH(Impacts_Additional[[#This Row],[Indicator]],Material_Impacts[Look up],0)</f>
        <v>14</v>
      </c>
      <c r="G74" s="246" cm="1">
        <f t="array" aca="1" ref="G7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4" s="166" cm="1">
        <f t="array" ref="H7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4" s="166" t="e">
        <f>Diesel_RawM_Prim*INDEX(Indicators,MATCH(Impacts_Additional[[#This Row],[Indicator]],Materials!$D:$D,0),MATCH("Diesel Combustion",Materials!$1:$1,0))*Diesel_density*Project_Area*Prim_Lays*Area_trans</f>
        <v>#DIV/0!</v>
      </c>
      <c r="J74" s="20" t="e" cm="1">
        <f t="array" aca="1" ref="J7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4" s="20" t="e" cm="1">
        <f t="array" aca="1" ref="K7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4" s="20" t="e" cm="1">
        <f t="array" aca="1" ref="L7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4" s="20" t="e" cm="1">
        <f t="array" aca="1" ref="M7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4" s="20" t="e" cm="1">
        <f t="array" aca="1" ref="N7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4" s="20" t="e" cm="1">
        <f t="array" aca="1" ref="O7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4" s="20" t="e" cm="1">
        <f t="array" aca="1" ref="P7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4" s="20" t="e" cm="1">
        <f t="array" aca="1" ref="Q7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4" s="20" t="e" cm="1">
        <f t="array" aca="1" ref="R7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4" s="20" t="e" cm="1">
        <f t="array" aca="1" ref="S7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4" s="20" t="e" cm="1">
        <f t="array" aca="1" ref="T7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4" s="20" t="e" cm="1">
        <f t="array" aca="1" ref="U7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4" s="20" t="e" cm="1">
        <f t="array" aca="1" ref="V7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4" s="20" t="e" cm="1">
        <f t="array" aca="1" ref="W7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4" s="20" t="e" cm="1">
        <f t="array" aca="1" ref="X7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4" s="20" t="e" cm="1">
        <f t="array" aca="1" ref="Y7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4" s="20" t="e" cm="1">
        <f t="array" aca="1" ref="Z7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4" s="20" t="e" cm="1">
        <f t="array" aca="1" ref="AA7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4" s="20" t="e" cm="1">
        <f t="array" aca="1" ref="AB7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4" s="20" t="e" cm="1">
        <f t="array" aca="1" ref="AC7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4" s="20" t="e" cm="1">
        <f t="array" aca="1" ref="AD7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4" s="20" t="e" cm="1">
        <f t="array" aca="1" ref="AE7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4" s="20" t="e" cm="1">
        <f t="array" aca="1" ref="AF7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4" s="20" t="e" cm="1">
        <f t="array" aca="1" ref="AG7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4" s="20" t="e" cm="1">
        <f t="array" aca="1" ref="AH7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4" s="20" t="e" cm="1">
        <f t="array" aca="1" ref="AI7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4" s="20" t="e" cm="1">
        <f t="array" aca="1" ref="AJ7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4" s="166" cm="1">
        <f t="array" aca="1" ref="AK74"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4" s="1" cm="1">
        <f t="array" aca="1" ref="AL7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4" s="247" cm="1">
        <f t="array" aca="1" ref="AM74" ca="1">(SUMPRODUCT(Delay_emissions_table[Consumption of Diesel (kg) - Primary Scenario],IF(Delay_emissions_table[Form of Maintenance - Primary Scenario]="Life Extension",1,0))*INDEX(Indicators,MATCH('Additional Impact Indicators'!$A74,Materials!$D:$D,0),MATCH("diesel combustion",Materials!$1:$1,0))+SUMPRODUCT(Delay_emissions_table[Consumption of Petrol (kg) - Primary Scenario],IF(Delay_emissions_table[Form of Maintenance - Primary Scenario]="Life Extension",1,0))*INDEX(Indicators,MATCH('Additional Impact Indicators'!$A74,Materials!$D:$D,0),MATCH("petrol combustion",Materials!$1:$1,0))+IFERROR(SUMPRODUCT(TRANSPOSE(INDEX(elec_project_emissions,MATCH(Elec_scenario&amp;'Additional Impact Indicators'!$B74,INDEX(Electricity_projection,0,3),0)-1,0)),Delay_emissions_table[Consumption of electricity (MJ) - Primary Scenario],IF(Delay_emissions_table[Form of Maintenance - Primary Scenario]="Life Extension",1,0)),0))*Area_trans*Time_adj_Prim</f>
        <v>0</v>
      </c>
      <c r="AN74" s="247" cm="1">
        <f t="array" aca="1" ref="AN74" ca="1">(SUMPRODUCT(Delay_emissions_table[Consumption of Diesel (kg) - Primary Scenario],IF(Delay_emissions_table[Form of Maintenance - Primary Scenario]="Replacement",1,0))*INDEX(Indicators,MATCH('Additional Impact Indicators'!$A74,Materials!$D:$D,0),MATCH("diesel combustion",Materials!$1:$1,0))+SUMPRODUCT(Delay_emissions_table[Consumption of Petrol (kg) - Primary Scenario],IF(Delay_emissions_table[Form of Maintenance - Primary Scenario]="Replacement",1,0))*INDEX(Indicators,MATCH('Additional Impact Indicators'!$A74,Materials!$D:$D,0),MATCH("petrol combustion",Materials!$1:$1,0))+IFERROR(SUMPRODUCT(TRANSPOSE(INDEX(elec_project_emissions,MATCH(Elec_scenario&amp;'Additional Impact Indicators'!$B74,INDEX(Electricity_projection,0,3),0)-1,0)),Delay_emissions_table[Consumption of electricity (MJ) - Primary Scenario],IF(Delay_emissions_table[Form of Maintenance - Primary Scenario]="Replacement",1,0)),0))*Area_trans*Time_adj_Prim</f>
        <v>0</v>
      </c>
      <c r="AO74" s="248" t="e" cm="1">
        <f t="array" ref="AO7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4" s="248" t="e" cm="1">
        <f t="array" ref="AP7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4" s="249" t="e" cm="1">
        <f t="array" ref="AQ7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4" s="386" t="e" cm="1">
        <f t="array" ref="AR7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4" t="e">
        <f ca="1">SUMIF('Additional Impact Indicators'!$G74:$AQ74,"&lt;&gt;#N/A")</f>
        <v>#DIV/0!</v>
      </c>
      <c r="AW74" t="s">
        <v>570</v>
      </c>
      <c r="AX74" t="s">
        <v>413</v>
      </c>
      <c r="AY74" t="str">
        <f t="shared" si="4"/>
        <v>A1</v>
      </c>
      <c r="AZ74" t="s">
        <v>54</v>
      </c>
      <c r="BB74">
        <f>MATCH(Table3[[#This Row],[Indicator]],Material_Impacts[Look up],0)</f>
        <v>14</v>
      </c>
      <c r="BC74" s="246" cm="1">
        <f t="array" aca="1" ref="BC7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4" s="166" cm="1">
        <f t="array" ref="BD7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4" s="166" t="e">
        <f>Diesel_RawM_Sec*INDEX(Indicators,MATCH(Impacts_Additional[[#This Row],[Indicator]],Materials!$D:$D,0),MATCH("Diesel Combustion",Materials!$1:$1,0))*Diesel_density*Project_Area*Sec_Lays*Area_trans</f>
        <v>#DIV/0!</v>
      </c>
      <c r="BF74" s="35" t="e" cm="1">
        <f t="array" aca="1" ref="BF7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4" s="35" t="e" cm="1">
        <f t="array" aca="1" ref="BG7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4" t="e" cm="1">
        <f t="array" aca="1" ref="BH7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4" s="35" t="e" cm="1">
        <f t="array" aca="1" ref="BI7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4" s="35" t="e" cm="1">
        <f t="array" aca="1" ref="BJ7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4" t="e" cm="1">
        <f t="array" aca="1" ref="BK7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4" s="35" t="e" cm="1">
        <f t="array" aca="1" ref="BL7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4" s="35" t="e" cm="1">
        <f t="array" aca="1" ref="BM7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4" t="e" cm="1">
        <f t="array" aca="1" ref="BN7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4" s="35" t="e" cm="1">
        <f t="array" aca="1" ref="BO7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4" s="35" t="e" cm="1">
        <f t="array" aca="1" ref="BP7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4" t="e" cm="1">
        <f t="array" aca="1" ref="BQ7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4" s="35" t="e" cm="1">
        <f t="array" aca="1" ref="BR7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4" s="35" t="e" cm="1">
        <f t="array" aca="1" ref="BS7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4" t="e" cm="1">
        <f t="array" aca="1" ref="BT7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4" s="35" t="e" cm="1">
        <f t="array" aca="1" ref="BU7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4" s="35" t="e" cm="1">
        <f t="array" aca="1" ref="BV7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4" t="e" cm="1">
        <f t="array" aca="1" ref="BW7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4" s="35" t="e" cm="1">
        <f t="array" aca="1" ref="BX7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4" s="35" t="e" cm="1">
        <f t="array" aca="1" ref="BY7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4" t="e" cm="1">
        <f t="array" aca="1" ref="BZ7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4" s="35" t="e" cm="1">
        <f t="array" aca="1" ref="CA7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4" s="35" t="e" cm="1">
        <f t="array" aca="1" ref="CB7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4" t="e" cm="1">
        <f t="array" aca="1" ref="CC7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4" s="35" t="e" cm="1">
        <f t="array" aca="1" ref="CD7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4" s="35" t="e" cm="1">
        <f t="array" aca="1" ref="CE7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4" t="e" cm="1">
        <f t="array" aca="1" ref="CF7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4" s="166" cm="1">
        <f t="array" aca="1" ref="CG74"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4" s="375" cm="1">
        <f t="array" aca="1" ref="CH7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4" s="247" cm="1">
        <f t="array" aca="1" ref="CI74" ca="1">(SUMPRODUCT(Delay_emissions_table[Consumption of Diesel (kg) - Secondary Scenario],IF(Delay_emissions_table[Form of Maintenance - Secondary Scenario]="Life Extension",1,0))*INDEX(Indicators,MATCH('Additional Impact Indicators'!$A74,Materials!$D:$D,0),MATCH("diesel combustion",Materials!$1:$1,0))+SUMPRODUCT(Delay_emissions_table[Consumption of Petrol (kg) - Secondary Scenario],IF(Delay_emissions_table[Form of Maintenance - Secondary Scenario]="Life Extension",1,0))*INDEX(Indicators,MATCH('Additional Impact Indicators'!$A74,Materials!$D:$D,0),MATCH("petrol combustion",Materials!$1:$1,0))+IFERROR(SUMPRODUCT(TRANSPOSE(INDEX(elec_project_emissions,MATCH(Elec_scenario&amp;'Additional Impact Indicators'!$B74,INDEX(Electricity_projection,0,3),0)-1,0)),Delay_emissions_table[Consumption of electricity (MJ) - Secondary Scenario],IF(Delay_emissions_table[Form of Maintenance - Secondary Scenario]="Life Extension",1,0)),0))*Area_trans*time_adj_Sec</f>
        <v>0</v>
      </c>
      <c r="CJ74" s="247" cm="1">
        <f t="array" aca="1" ref="CJ74" ca="1">(SUMPRODUCT(Delay_emissions_table[Consumption of Diesel (kg) - Secondary Scenario],IF(Delay_emissions_table[Form of Maintenance - Secondary Scenario]="Replacement",1,0))*INDEX(Indicators,MATCH('Additional Impact Indicators'!$A74,Materials!$D:$D,0),MATCH("diesel combustion",Materials!$1:$1,0))+SUMPRODUCT(Delay_emissions_table[Consumption of Petrol (kg) - Secondary Scenario],IF(Delay_emissions_table[Form of Maintenance - Secondary Scenario]="Replacement",1,0))*INDEX(Indicators,MATCH('Additional Impact Indicators'!$A74,Materials!$D:$D,0),MATCH("petrol combustion",Materials!$1:$1,0))+IFERROR(SUMPRODUCT(TRANSPOSE(INDEX(elec_project_emissions,MATCH(Elec_scenario&amp;'Additional Impact Indicators'!$B74,INDEX(Electricity_projection,0,3),0)-1,0)),Delay_emissions_table[Consumption of electricity (MJ) - Secondary Scenario],IF(Delay_emissions_table[Form of Maintenance - Secondary Scenario]="Replacement",1,0)),0))*Area_trans*time_adj_Sec</f>
        <v>0</v>
      </c>
      <c r="CK74" s="248" t="e" cm="1">
        <f t="array" ref="CK7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4" s="248" t="e" cm="1">
        <f t="array" ref="CL7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4" s="249" t="e" cm="1">
        <f t="array" ref="CM7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4" s="387" t="e" cm="1">
        <f t="array" ref="CN7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4" s="51" t="e">
        <f ca="1">SUMIF(Table3[[#This Row],[Raw-Materials]:[Transport to recycling facility]],"&lt;&gt;#N/A")</f>
        <v>#DIV/0!</v>
      </c>
      <c r="CT74" t="s">
        <v>570</v>
      </c>
      <c r="CU74" t="s">
        <v>413</v>
      </c>
      <c r="CV74" t="str">
        <f t="shared" ref="CV74:CV112" si="6">IF(ISNUMBER(SEARCH("A1",CT74)),"A1","A2")</f>
        <v>A1</v>
      </c>
      <c r="CW74" t="s">
        <v>54</v>
      </c>
      <c r="CY74">
        <f>MATCH(Table611[[#This Row],[Indicator]],Material_Impacts[Look up],0)</f>
        <v>14</v>
      </c>
      <c r="CZ74" s="246" cm="1">
        <f t="array" aca="1" ref="CZ7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4" s="166" cm="1">
        <f t="array" ref="DA7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4" s="166" t="e">
        <f>Diesel_RawM_Tert*INDEX(Indicators,MATCH(Impacts_Additional[[#This Row],[Indicator]],Materials!$D:$D,0),MATCH("Diesel Combustion",Materials!$1:$1,0))*Diesel_density*Project_Area*Tert_Lays*Area_trans</f>
        <v>#DIV/0!</v>
      </c>
      <c r="DC74" s="35" t="e" cm="1">
        <f t="array" aca="1" ref="DC7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4" s="35" t="e" cm="1">
        <f t="array" aca="1" ref="DD7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4" t="e" cm="1">
        <f t="array" aca="1" ref="DE7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4" s="35" t="e" cm="1">
        <f t="array" aca="1" ref="DF7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4" s="35" t="e" cm="1">
        <f t="array" aca="1" ref="DG7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4" t="e" cm="1">
        <f t="array" aca="1" ref="DH7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4" s="35" t="e" cm="1">
        <f t="array" aca="1" ref="DI7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4" s="35" t="e" cm="1">
        <f t="array" aca="1" ref="DJ7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4" t="e" cm="1">
        <f t="array" aca="1" ref="DK7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4" s="35" t="e" cm="1">
        <f t="array" aca="1" ref="DL7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4" s="35" t="e" cm="1">
        <f t="array" aca="1" ref="DM7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4" t="e" cm="1">
        <f t="array" aca="1" ref="DN7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4" s="35" t="e" cm="1">
        <f t="array" aca="1" ref="DO7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4" s="35" t="e" cm="1">
        <f t="array" aca="1" ref="DP7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4" t="e" cm="1">
        <f t="array" aca="1" ref="DQ7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4" s="35" t="e" cm="1">
        <f t="array" aca="1" ref="DR7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4" s="35" t="e" cm="1">
        <f t="array" aca="1" ref="DS7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4" t="e" cm="1">
        <f t="array" aca="1" ref="DT7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4" s="35" t="e" cm="1">
        <f t="array" aca="1" ref="DU7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4" s="35" t="e" cm="1">
        <f t="array" aca="1" ref="DV7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4" t="e" cm="1">
        <f t="array" aca="1" ref="DW7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4" s="35" t="e" cm="1">
        <f t="array" aca="1" ref="DX7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4" s="35" t="e" cm="1">
        <f t="array" aca="1" ref="DY7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4" t="e" cm="1">
        <f t="array" aca="1" ref="DZ7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4" s="35" t="e" cm="1">
        <f t="array" aca="1" ref="EA7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4" s="35" t="e" cm="1">
        <f t="array" aca="1" ref="EB7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4" t="e" cm="1">
        <f t="array" aca="1" ref="EC7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4" s="166" cm="1">
        <f t="array" aca="1" ref="ED74"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4" s="375" cm="1">
        <f t="array" aca="1" ref="EE7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4" s="247" cm="1">
        <f t="array" aca="1" ref="EF74" ca="1">(SUMPRODUCT(Delay_emissions_table[Consumption of Diesel (kg) - Tertiary Scenario],IF(Delay_emissions_table[Form of Maintenance - Tertiary Scenario]="Life Extension",1,0))*INDEX(Indicators,MATCH('Additional Impact Indicators'!$A74,Materials!$D:$D,0),MATCH("diesel combustion",Materials!$1:$1,0))+SUMPRODUCT(Delay_emissions_table[Consumption of Petrol (kg) - Tertiary Scenario],IF(Delay_emissions_table[Form of Maintenance - Tertiary Scenario]="Life Extension",1,0))*INDEX(Indicators,MATCH('Additional Impact Indicators'!$A74,Materials!$D:$D,0),MATCH("petrol combustion",Materials!$1:$1,0))+IFERROR(SUMPRODUCT(TRANSPOSE(INDEX(elec_project_emissions,MATCH(Elec_scenario&amp;'Additional Impact Indicators'!$B74,INDEX(Electricity_projection,0,3),0)-1,0)),Delay_emissions_table[Consumption of electricity (MJ) - Tertiary Scenario],IF(Delay_emissions_table[Form of Maintenance - Tertiary Scenario]="Life Extension",1,0)),0))*Area_trans*Time_adj_Tert</f>
        <v>0</v>
      </c>
      <c r="EG74" s="247" cm="1">
        <f t="array" aca="1" ref="EG74" ca="1">(SUMPRODUCT(Delay_emissions_table[Consumption of Diesel (kg) - Tertiary Scenario],IF(Delay_emissions_table[Form of Maintenance - Tertiary Scenario]="Replacement",1,0))*INDEX(Indicators,MATCH('Additional Impact Indicators'!$A74,Materials!$D:$D,0),MATCH("diesel combustion",Materials!$1:$1,0))+SUMPRODUCT(Delay_emissions_table[Consumption of Petrol (kg) - Tertiary Scenario],IF(Delay_emissions_table[Form of Maintenance - Tertiary Scenario]="Replacement",1,0))*INDEX(Indicators,MATCH('Additional Impact Indicators'!$A74,Materials!$D:$D,0),MATCH("petrol combustion",Materials!$1:$1,0))+IFERROR(SUMPRODUCT(TRANSPOSE(INDEX(elec_project_emissions,MATCH(Elec_scenario&amp;'Additional Impact Indicators'!$B74,INDEX(Electricity_projection,0,3),0)-1,0)),Delay_emissions_table[Consumption of electricity (MJ) - Tertiary Scenario],IF(Delay_emissions_table[Form of Maintenance - Tertiary Scenario]="Replacement",1,0)),0))*Area_trans*Time_adj_Tert</f>
        <v>0</v>
      </c>
      <c r="EH74" s="248" t="e" cm="1">
        <f t="array" ref="EH7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4" s="248" t="e" cm="1">
        <f t="array" ref="EI7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4" s="249" t="e" cm="1">
        <f t="array" ref="EJ7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4" s="249" t="e" cm="1">
        <f t="array" ref="EK7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4" t="e">
        <f ca="1">SUMIF(Table611[[#This Row],[Raw-Materials]:[Transport to recycling facility]],"&lt;&gt;#N/A")</f>
        <v>#DIV/0!</v>
      </c>
    </row>
    <row r="75" spans="1:142" x14ac:dyDescent="0.35">
      <c r="A75" s="155" t="s">
        <v>571</v>
      </c>
      <c r="B75" s="155" t="s">
        <v>508</v>
      </c>
      <c r="C75" s="155" t="str">
        <f t="shared" si="5"/>
        <v>A1</v>
      </c>
      <c r="D75" s="155" t="s">
        <v>54</v>
      </c>
      <c r="E75" s="155"/>
      <c r="F75">
        <f>MATCH(Impacts_Additional[[#This Row],[Indicator]],Material_Impacts[Look up],0)</f>
        <v>15</v>
      </c>
      <c r="G75" s="246" cm="1">
        <f t="array" aca="1" ref="G7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5" s="165" cm="1">
        <f t="array" ref="H7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5" s="165" t="e">
        <f>Diesel_RawM_Prim*INDEX(Indicators,MATCH(Impacts_Additional[[#This Row],[Indicator]],Materials!$D:$D,0),MATCH("Diesel Combustion",Materials!$1:$1,0))*Diesel_density*Project_Area*Prim_Lays*Area_trans</f>
        <v>#DIV/0!</v>
      </c>
      <c r="J75" s="250" t="e" cm="1">
        <f t="array" aca="1" ref="J7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5" s="250" t="e" cm="1">
        <f t="array" aca="1" ref="K7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5" s="250" t="e" cm="1">
        <f t="array" aca="1" ref="L7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5" s="250" t="e" cm="1">
        <f t="array" aca="1" ref="M7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5" s="250" t="e" cm="1">
        <f t="array" aca="1" ref="N7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5" s="250" t="e" cm="1">
        <f t="array" aca="1" ref="O7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5" s="250" t="e" cm="1">
        <f t="array" aca="1" ref="P7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5" s="250" t="e" cm="1">
        <f t="array" aca="1" ref="Q7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5" s="250" t="e" cm="1">
        <f t="array" aca="1" ref="R7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5" s="250" t="e" cm="1">
        <f t="array" aca="1" ref="S7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5" s="250" t="e" cm="1">
        <f t="array" aca="1" ref="T7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5" s="250" t="e" cm="1">
        <f t="array" aca="1" ref="U7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5" s="250" t="e" cm="1">
        <f t="array" aca="1" ref="V7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5" s="250" t="e" cm="1">
        <f t="array" aca="1" ref="W7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5" s="250" t="e" cm="1">
        <f t="array" aca="1" ref="X7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5" s="250" t="e" cm="1">
        <f t="array" aca="1" ref="Y7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5" s="250" t="e" cm="1">
        <f t="array" aca="1" ref="Z7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5" s="250" t="e" cm="1">
        <f t="array" aca="1" ref="AA7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5" s="250" t="e" cm="1">
        <f t="array" aca="1" ref="AB7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5" s="250" t="e" cm="1">
        <f t="array" aca="1" ref="AC7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5" s="250" t="e" cm="1">
        <f t="array" aca="1" ref="AD7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5" s="250" t="e" cm="1">
        <f t="array" aca="1" ref="AE7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5" s="250" t="e" cm="1">
        <f t="array" aca="1" ref="AF7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5" s="250" t="e" cm="1">
        <f t="array" aca="1" ref="AG7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5" s="250" t="e" cm="1">
        <f t="array" aca="1" ref="AH7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5" s="250" t="e" cm="1">
        <f t="array" aca="1" ref="AI7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5" s="250" t="e" cm="1">
        <f t="array" aca="1" ref="AJ7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5" s="165" cm="1">
        <f t="array" aca="1" ref="AK75"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5" s="254" cm="1">
        <f t="array" aca="1" ref="AL7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5" s="251" cm="1">
        <f t="array" aca="1" ref="AM75" ca="1">(SUMPRODUCT(Delay_emissions_table[Consumption of Diesel (kg) - Primary Scenario],IF(Delay_emissions_table[Form of Maintenance - Primary Scenario]="Life Extension",1,0))*INDEX(Indicators,MATCH('Additional Impact Indicators'!$A75,Materials!$D:$D,0),MATCH("diesel combustion",Materials!$1:$1,0))+SUMPRODUCT(Delay_emissions_table[Consumption of Petrol (kg) - Primary Scenario],IF(Delay_emissions_table[Form of Maintenance - Primary Scenario]="Life Extension",1,0))*INDEX(Indicators,MATCH('Additional Impact Indicators'!$A75,Materials!$D:$D,0),MATCH("petrol combustion",Materials!$1:$1,0))+IFERROR(SUMPRODUCT(TRANSPOSE(INDEX(elec_project_emissions,MATCH(Elec_scenario&amp;'Additional Impact Indicators'!$B75,INDEX(Electricity_projection,0,3),0)-1,0)),Delay_emissions_table[Consumption of electricity (MJ) - Primary Scenario],IF(Delay_emissions_table[Form of Maintenance - Primary Scenario]="Life Extension",1,0)),0))*Area_trans*Time_adj_Prim</f>
        <v>0</v>
      </c>
      <c r="AN75" s="251" cm="1">
        <f t="array" aca="1" ref="AN75" ca="1">(SUMPRODUCT(Delay_emissions_table[Consumption of Diesel (kg) - Primary Scenario],IF(Delay_emissions_table[Form of Maintenance - Primary Scenario]="Replacement",1,0))*INDEX(Indicators,MATCH('Additional Impact Indicators'!$A75,Materials!$D:$D,0),MATCH("diesel combustion",Materials!$1:$1,0))+SUMPRODUCT(Delay_emissions_table[Consumption of Petrol (kg) - Primary Scenario],IF(Delay_emissions_table[Form of Maintenance - Primary Scenario]="Replacement",1,0))*INDEX(Indicators,MATCH('Additional Impact Indicators'!$A75,Materials!$D:$D,0),MATCH("petrol combustion",Materials!$1:$1,0))+IFERROR(SUMPRODUCT(TRANSPOSE(INDEX(elec_project_emissions,MATCH(Elec_scenario&amp;'Additional Impact Indicators'!$B75,INDEX(Electricity_projection,0,3),0)-1,0)),Delay_emissions_table[Consumption of electricity (MJ) - Primary Scenario],IF(Delay_emissions_table[Form of Maintenance - Primary Scenario]="Replacement",1,0)),0))*Area_trans*Time_adj_Prim</f>
        <v>0</v>
      </c>
      <c r="AO75" s="252" t="e" cm="1">
        <f t="array" ref="AO7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5" s="252" t="e" cm="1">
        <f t="array" ref="AP7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5" s="253" t="e" cm="1">
        <f t="array" ref="AQ7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5" s="385" t="e" cm="1">
        <f t="array" ref="AR7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5" t="e">
        <f ca="1">SUMIF('Additional Impact Indicators'!$G75:$AQ75,"&lt;&gt;#N/A")</f>
        <v>#DIV/0!</v>
      </c>
      <c r="AW75" s="155" t="s">
        <v>571</v>
      </c>
      <c r="AX75" s="155" t="s">
        <v>508</v>
      </c>
      <c r="AY75" t="str">
        <f t="shared" si="4"/>
        <v>A1</v>
      </c>
      <c r="AZ75" s="155" t="s">
        <v>54</v>
      </c>
      <c r="BB75">
        <f>MATCH(Table3[[#This Row],[Indicator]],Material_Impacts[Look up],0)</f>
        <v>15</v>
      </c>
      <c r="BC75" s="246" cm="1">
        <f t="array" aca="1" ref="BC7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5" s="165" cm="1">
        <f t="array" ref="BD7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5" s="165" t="e">
        <f>Diesel_RawM_Sec*INDEX(Indicators,MATCH(Impacts_Additional[[#This Row],[Indicator]],Materials!$D:$D,0),MATCH("Diesel Combustion",Materials!$1:$1,0))*Diesel_density*Project_Area*Sec_Lays*Area_trans</f>
        <v>#DIV/0!</v>
      </c>
      <c r="BF75" s="35" t="e" cm="1">
        <f t="array" aca="1" ref="BF7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5" s="35" t="e" cm="1">
        <f t="array" aca="1" ref="BG7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5" t="e" cm="1">
        <f t="array" aca="1" ref="BH7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5" s="35" t="e" cm="1">
        <f t="array" aca="1" ref="BI7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5" s="35" t="e" cm="1">
        <f t="array" aca="1" ref="BJ7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5" t="e" cm="1">
        <f t="array" aca="1" ref="BK7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5" s="35" t="e" cm="1">
        <f t="array" aca="1" ref="BL7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5" s="35" t="e" cm="1">
        <f t="array" aca="1" ref="BM7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5" t="e" cm="1">
        <f t="array" aca="1" ref="BN7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5" s="35" t="e" cm="1">
        <f t="array" aca="1" ref="BO7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5" s="35" t="e" cm="1">
        <f t="array" aca="1" ref="BP7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5" t="e" cm="1">
        <f t="array" aca="1" ref="BQ7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5" s="35" t="e" cm="1">
        <f t="array" aca="1" ref="BR7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5" s="35" t="e" cm="1">
        <f t="array" aca="1" ref="BS7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5" t="e" cm="1">
        <f t="array" aca="1" ref="BT7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5" s="35" t="e" cm="1">
        <f t="array" aca="1" ref="BU7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5" s="35" t="e" cm="1">
        <f t="array" aca="1" ref="BV7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5" t="e" cm="1">
        <f t="array" aca="1" ref="BW7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5" s="35" t="e" cm="1">
        <f t="array" aca="1" ref="BX7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5" s="35" t="e" cm="1">
        <f t="array" aca="1" ref="BY7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5" t="e" cm="1">
        <f t="array" aca="1" ref="BZ7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5" s="35" t="e" cm="1">
        <f t="array" aca="1" ref="CA7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5" s="35" t="e" cm="1">
        <f t="array" aca="1" ref="CB7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5" t="e" cm="1">
        <f t="array" aca="1" ref="CC7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5" s="35" t="e" cm="1">
        <f t="array" aca="1" ref="CD7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5" s="35" t="e" cm="1">
        <f t="array" aca="1" ref="CE7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5" t="e" cm="1">
        <f t="array" aca="1" ref="CF7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5" s="165" cm="1">
        <f t="array" aca="1" ref="CG75"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5" s="375" cm="1">
        <f t="array" aca="1" ref="CH7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5" s="251" cm="1">
        <f t="array" aca="1" ref="CI75" ca="1">(SUMPRODUCT(Delay_emissions_table[Consumption of Diesel (kg) - Secondary Scenario],IF(Delay_emissions_table[Form of Maintenance - Secondary Scenario]="Life Extension",1,0))*INDEX(Indicators,MATCH('Additional Impact Indicators'!$A75,Materials!$D:$D,0),MATCH("diesel combustion",Materials!$1:$1,0))+SUMPRODUCT(Delay_emissions_table[Consumption of Petrol (kg) - Secondary Scenario],IF(Delay_emissions_table[Form of Maintenance - Secondary Scenario]="Life Extension",1,0))*INDEX(Indicators,MATCH('Additional Impact Indicators'!$A75,Materials!$D:$D,0),MATCH("petrol combustion",Materials!$1:$1,0))+IFERROR(SUMPRODUCT(TRANSPOSE(INDEX(elec_project_emissions,MATCH(Elec_scenario&amp;'Additional Impact Indicators'!$B75,INDEX(Electricity_projection,0,3),0)-1,0)),Delay_emissions_table[Consumption of electricity (MJ) - Secondary Scenario],IF(Delay_emissions_table[Form of Maintenance - Secondary Scenario]="Life Extension",1,0)),0))*Area_trans*time_adj_Sec</f>
        <v>0</v>
      </c>
      <c r="CJ75" s="251" cm="1">
        <f t="array" aca="1" ref="CJ75" ca="1">(SUMPRODUCT(Delay_emissions_table[Consumption of Diesel (kg) - Secondary Scenario],IF(Delay_emissions_table[Form of Maintenance - Secondary Scenario]="Replacement",1,0))*INDEX(Indicators,MATCH('Additional Impact Indicators'!$A75,Materials!$D:$D,0),MATCH("diesel combustion",Materials!$1:$1,0))+SUMPRODUCT(Delay_emissions_table[Consumption of Petrol (kg) - Secondary Scenario],IF(Delay_emissions_table[Form of Maintenance - Secondary Scenario]="Replacement",1,0))*INDEX(Indicators,MATCH('Additional Impact Indicators'!$A75,Materials!$D:$D,0),MATCH("petrol combustion",Materials!$1:$1,0))+IFERROR(SUMPRODUCT(TRANSPOSE(INDEX(elec_project_emissions,MATCH(Elec_scenario&amp;'Additional Impact Indicators'!$B75,INDEX(Electricity_projection,0,3),0)-1,0)),Delay_emissions_table[Consumption of electricity (MJ) - Secondary Scenario],IF(Delay_emissions_table[Form of Maintenance - Secondary Scenario]="Replacement",1,0)),0))*Area_trans*time_adj_Sec</f>
        <v>0</v>
      </c>
      <c r="CK75" s="252" t="e" cm="1">
        <f t="array" ref="CK7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5" s="252" t="e" cm="1">
        <f t="array" ref="CL7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5" s="253" t="e" cm="1">
        <f t="array" ref="CM7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5" s="387" t="e" cm="1">
        <f t="array" ref="CN7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5" s="51" t="e">
        <f ca="1">SUMIF(Table3[[#This Row],[Raw-Materials]:[Transport to recycling facility]],"&lt;&gt;#N/A")</f>
        <v>#DIV/0!</v>
      </c>
      <c r="CT75" t="s">
        <v>571</v>
      </c>
      <c r="CU75" t="s">
        <v>508</v>
      </c>
      <c r="CV75" t="str">
        <f t="shared" si="6"/>
        <v>A1</v>
      </c>
      <c r="CW75" t="s">
        <v>54</v>
      </c>
      <c r="CY75">
        <f>MATCH(Table611[[#This Row],[Indicator]],Material_Impacts[Look up],0)</f>
        <v>15</v>
      </c>
      <c r="CZ75" s="246" cm="1">
        <f t="array" aca="1" ref="CZ7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5" s="165" cm="1">
        <f t="array" ref="DA7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5" s="165" t="e">
        <f>Diesel_RawM_Tert*INDEX(Indicators,MATCH(Impacts_Additional[[#This Row],[Indicator]],Materials!$D:$D,0),MATCH("Diesel Combustion",Materials!$1:$1,0))*Diesel_density*Project_Area*Tert_Lays*Area_trans</f>
        <v>#DIV/0!</v>
      </c>
      <c r="DC75" s="35" t="e" cm="1">
        <f t="array" aca="1" ref="DC7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5" s="35" t="e" cm="1">
        <f t="array" aca="1" ref="DD7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5" t="e" cm="1">
        <f t="array" aca="1" ref="DE7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5" s="35" t="e" cm="1">
        <f t="array" aca="1" ref="DF7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5" s="35" t="e" cm="1">
        <f t="array" aca="1" ref="DG7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5" t="e" cm="1">
        <f t="array" aca="1" ref="DH7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5" s="35" t="e" cm="1">
        <f t="array" aca="1" ref="DI7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5" s="35" t="e" cm="1">
        <f t="array" aca="1" ref="DJ7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5" t="e" cm="1">
        <f t="array" aca="1" ref="DK7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5" s="35" t="e" cm="1">
        <f t="array" aca="1" ref="DL7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5" s="35" t="e" cm="1">
        <f t="array" aca="1" ref="DM7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5" t="e" cm="1">
        <f t="array" aca="1" ref="DN7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5" s="35" t="e" cm="1">
        <f t="array" aca="1" ref="DO7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5" s="35" t="e" cm="1">
        <f t="array" aca="1" ref="DP7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5" t="e" cm="1">
        <f t="array" aca="1" ref="DQ7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5" s="35" t="e" cm="1">
        <f t="array" aca="1" ref="DR7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5" s="35" t="e" cm="1">
        <f t="array" aca="1" ref="DS7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5" t="e" cm="1">
        <f t="array" aca="1" ref="DT7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5" s="35" t="e" cm="1">
        <f t="array" aca="1" ref="DU7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5" s="35" t="e" cm="1">
        <f t="array" aca="1" ref="DV7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5" t="e" cm="1">
        <f t="array" aca="1" ref="DW7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5" s="35" t="e" cm="1">
        <f t="array" aca="1" ref="DX7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5" s="35" t="e" cm="1">
        <f t="array" aca="1" ref="DY7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5" t="e" cm="1">
        <f t="array" aca="1" ref="DZ7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5" s="35" t="e" cm="1">
        <f t="array" aca="1" ref="EA7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5" s="35" t="e" cm="1">
        <f t="array" aca="1" ref="EB7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5" t="e" cm="1">
        <f t="array" aca="1" ref="EC7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5" s="165" cm="1">
        <f t="array" aca="1" ref="ED75"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5" s="375" cm="1">
        <f t="array" aca="1" ref="EE7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5" s="251" cm="1">
        <f t="array" aca="1" ref="EF75" ca="1">(SUMPRODUCT(Delay_emissions_table[Consumption of Diesel (kg) - Tertiary Scenario],IF(Delay_emissions_table[Form of Maintenance - Tertiary Scenario]="Life Extension",1,0))*INDEX(Indicators,MATCH('Additional Impact Indicators'!$A75,Materials!$D:$D,0),MATCH("diesel combustion",Materials!$1:$1,0))+SUMPRODUCT(Delay_emissions_table[Consumption of Petrol (kg) - Tertiary Scenario],IF(Delay_emissions_table[Form of Maintenance - Tertiary Scenario]="Life Extension",1,0))*INDEX(Indicators,MATCH('Additional Impact Indicators'!$A75,Materials!$D:$D,0),MATCH("petrol combustion",Materials!$1:$1,0))+IFERROR(SUMPRODUCT(TRANSPOSE(INDEX(elec_project_emissions,MATCH(Elec_scenario&amp;'Additional Impact Indicators'!$B75,INDEX(Electricity_projection,0,3),0)-1,0)),Delay_emissions_table[Consumption of electricity (MJ) - Tertiary Scenario],IF(Delay_emissions_table[Form of Maintenance - Tertiary Scenario]="Life Extension",1,0)),0))*Area_trans*Time_adj_Tert</f>
        <v>0</v>
      </c>
      <c r="EG75" s="251" cm="1">
        <f t="array" aca="1" ref="EG75" ca="1">(SUMPRODUCT(Delay_emissions_table[Consumption of Diesel (kg) - Tertiary Scenario],IF(Delay_emissions_table[Form of Maintenance - Tertiary Scenario]="Replacement",1,0))*INDEX(Indicators,MATCH('Additional Impact Indicators'!$A75,Materials!$D:$D,0),MATCH("diesel combustion",Materials!$1:$1,0))+SUMPRODUCT(Delay_emissions_table[Consumption of Petrol (kg) - Tertiary Scenario],IF(Delay_emissions_table[Form of Maintenance - Tertiary Scenario]="Replacement",1,0))*INDEX(Indicators,MATCH('Additional Impact Indicators'!$A75,Materials!$D:$D,0),MATCH("petrol combustion",Materials!$1:$1,0))+IFERROR(SUMPRODUCT(TRANSPOSE(INDEX(elec_project_emissions,MATCH(Elec_scenario&amp;'Additional Impact Indicators'!$B75,INDEX(Electricity_projection,0,3),0)-1,0)),Delay_emissions_table[Consumption of electricity (MJ) - Tertiary Scenario],IF(Delay_emissions_table[Form of Maintenance - Tertiary Scenario]="Replacement",1,0)),0))*Area_trans*Time_adj_Tert</f>
        <v>0</v>
      </c>
      <c r="EH75" s="252" t="e" cm="1">
        <f t="array" ref="EH7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5" s="252" t="e" cm="1">
        <f t="array" ref="EI7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5" s="253" t="e" cm="1">
        <f t="array" ref="EJ7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5" s="253" t="e" cm="1">
        <f t="array" ref="EK7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5" t="e">
        <f ca="1">SUMIF(Table611[[#This Row],[Raw-Materials]:[Transport to recycling facility]],"&lt;&gt;#N/A")</f>
        <v>#DIV/0!</v>
      </c>
    </row>
    <row r="76" spans="1:142" x14ac:dyDescent="0.35">
      <c r="A76" t="s">
        <v>572</v>
      </c>
      <c r="B76" t="s">
        <v>510</v>
      </c>
      <c r="C76" t="str">
        <f t="shared" si="5"/>
        <v>A1</v>
      </c>
      <c r="D76" t="s">
        <v>54</v>
      </c>
      <c r="F76">
        <f>MATCH(Impacts_Additional[[#This Row],[Indicator]],Material_Impacts[Look up],0)</f>
        <v>16</v>
      </c>
      <c r="G76" s="246" cm="1">
        <f t="array" aca="1" ref="G7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6" s="166" cm="1">
        <f t="array" ref="H7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6" s="166" t="e">
        <f>Diesel_RawM_Prim*INDEX(Indicators,MATCH(Impacts_Additional[[#This Row],[Indicator]],Materials!$D:$D,0),MATCH("Diesel Combustion",Materials!$1:$1,0))*Diesel_density*Project_Area*Prim_Lays*Area_trans</f>
        <v>#DIV/0!</v>
      </c>
      <c r="J76" s="20" t="e" cm="1">
        <f t="array" aca="1" ref="J7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6" s="20" t="e" cm="1">
        <f t="array" aca="1" ref="K7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6" s="20" t="e" cm="1">
        <f t="array" aca="1" ref="L7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6" s="20" t="e" cm="1">
        <f t="array" aca="1" ref="M7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6" s="20" t="e" cm="1">
        <f t="array" aca="1" ref="N7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6" s="20" t="e" cm="1">
        <f t="array" aca="1" ref="O7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6" s="20" t="e" cm="1">
        <f t="array" aca="1" ref="P7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6" s="20" t="e" cm="1">
        <f t="array" aca="1" ref="Q7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6" s="20" t="e" cm="1">
        <f t="array" aca="1" ref="R7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6" s="20" t="e" cm="1">
        <f t="array" aca="1" ref="S7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6" s="20" t="e" cm="1">
        <f t="array" aca="1" ref="T7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6" s="20" t="e" cm="1">
        <f t="array" aca="1" ref="U7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6" s="20" t="e" cm="1">
        <f t="array" aca="1" ref="V7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6" s="20" t="e" cm="1">
        <f t="array" aca="1" ref="W7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6" s="20" t="e" cm="1">
        <f t="array" aca="1" ref="X7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6" s="20" t="e" cm="1">
        <f t="array" aca="1" ref="Y7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6" s="20" t="e" cm="1">
        <f t="array" aca="1" ref="Z7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6" s="20" t="e" cm="1">
        <f t="array" aca="1" ref="AA7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6" s="20" t="e" cm="1">
        <f t="array" aca="1" ref="AB7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6" s="20" t="e" cm="1">
        <f t="array" aca="1" ref="AC7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6" s="20" t="e" cm="1">
        <f t="array" aca="1" ref="AD7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6" s="20" t="e" cm="1">
        <f t="array" aca="1" ref="AE7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6" s="20" t="e" cm="1">
        <f t="array" aca="1" ref="AF7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6" s="20" t="e" cm="1">
        <f t="array" aca="1" ref="AG7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6" s="20" t="e" cm="1">
        <f t="array" aca="1" ref="AH7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6" s="20" t="e" cm="1">
        <f t="array" aca="1" ref="AI7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6" s="20" t="e" cm="1">
        <f t="array" aca="1" ref="AJ7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6" s="166" cm="1">
        <f t="array" aca="1" ref="AK76"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6" s="1" cm="1">
        <f t="array" aca="1" ref="AL7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6" s="247" cm="1">
        <f t="array" aca="1" ref="AM76" ca="1">(SUMPRODUCT(Delay_emissions_table[Consumption of Diesel (kg) - Primary Scenario],IF(Delay_emissions_table[Form of Maintenance - Primary Scenario]="Life Extension",1,0))*INDEX(Indicators,MATCH('Additional Impact Indicators'!$A76,Materials!$D:$D,0),MATCH("diesel combustion",Materials!$1:$1,0))+SUMPRODUCT(Delay_emissions_table[Consumption of Petrol (kg) - Primary Scenario],IF(Delay_emissions_table[Form of Maintenance - Primary Scenario]="Life Extension",1,0))*INDEX(Indicators,MATCH('Additional Impact Indicators'!$A76,Materials!$D:$D,0),MATCH("petrol combustion",Materials!$1:$1,0))+IFERROR(SUMPRODUCT(TRANSPOSE(INDEX(elec_project_emissions,MATCH(Elec_scenario&amp;'Additional Impact Indicators'!$B76,INDEX(Electricity_projection,0,3),0)-1,0)),Delay_emissions_table[Consumption of electricity (MJ) - Primary Scenario],IF(Delay_emissions_table[Form of Maintenance - Primary Scenario]="Life Extension",1,0)),0))*Area_trans*Time_adj_Prim</f>
        <v>0</v>
      </c>
      <c r="AN76" s="247" cm="1">
        <f t="array" aca="1" ref="AN76" ca="1">(SUMPRODUCT(Delay_emissions_table[Consumption of Diesel (kg) - Primary Scenario],IF(Delay_emissions_table[Form of Maintenance - Primary Scenario]="Replacement",1,0))*INDEX(Indicators,MATCH('Additional Impact Indicators'!$A76,Materials!$D:$D,0),MATCH("diesel combustion",Materials!$1:$1,0))+SUMPRODUCT(Delay_emissions_table[Consumption of Petrol (kg) - Primary Scenario],IF(Delay_emissions_table[Form of Maintenance - Primary Scenario]="Replacement",1,0))*INDEX(Indicators,MATCH('Additional Impact Indicators'!$A76,Materials!$D:$D,0),MATCH("petrol combustion",Materials!$1:$1,0))+IFERROR(SUMPRODUCT(TRANSPOSE(INDEX(elec_project_emissions,MATCH(Elec_scenario&amp;'Additional Impact Indicators'!$B76,INDEX(Electricity_projection,0,3),0)-1,0)),Delay_emissions_table[Consumption of electricity (MJ) - Primary Scenario],IF(Delay_emissions_table[Form of Maintenance - Primary Scenario]="Replacement",1,0)),0))*Area_trans*Time_adj_Prim</f>
        <v>0</v>
      </c>
      <c r="AO76" s="248" t="e" cm="1">
        <f t="array" ref="AO7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6" s="248" t="e" cm="1">
        <f t="array" ref="AP7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6" s="249" t="e" cm="1">
        <f t="array" ref="AQ7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6" s="386" t="e" cm="1">
        <f t="array" ref="AR7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6" t="e">
        <f ca="1">SUMIF('Additional Impact Indicators'!$G76:$AQ76,"&lt;&gt;#N/A")</f>
        <v>#DIV/0!</v>
      </c>
      <c r="AW76" t="s">
        <v>572</v>
      </c>
      <c r="AX76" t="s">
        <v>510</v>
      </c>
      <c r="AY76" t="str">
        <f t="shared" si="4"/>
        <v>A1</v>
      </c>
      <c r="AZ76" t="s">
        <v>54</v>
      </c>
      <c r="BB76">
        <f>MATCH(Table3[[#This Row],[Indicator]],Material_Impacts[Look up],0)</f>
        <v>16</v>
      </c>
      <c r="BC76" s="246" cm="1">
        <f t="array" aca="1" ref="BC7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6" s="166" cm="1">
        <f t="array" ref="BD7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6" s="166" t="e">
        <f>Diesel_RawM_Sec*INDEX(Indicators,MATCH(Impacts_Additional[[#This Row],[Indicator]],Materials!$D:$D,0),MATCH("Diesel Combustion",Materials!$1:$1,0))*Diesel_density*Project_Area*Sec_Lays*Area_trans</f>
        <v>#DIV/0!</v>
      </c>
      <c r="BF76" s="35" t="e" cm="1">
        <f t="array" aca="1" ref="BF7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6" s="35" t="e" cm="1">
        <f t="array" aca="1" ref="BG7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6" t="e" cm="1">
        <f t="array" aca="1" ref="BH7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6" s="35" t="e" cm="1">
        <f t="array" aca="1" ref="BI7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6" s="35" t="e" cm="1">
        <f t="array" aca="1" ref="BJ7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6" t="e" cm="1">
        <f t="array" aca="1" ref="BK7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6" s="35" t="e" cm="1">
        <f t="array" aca="1" ref="BL7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6" s="35" t="e" cm="1">
        <f t="array" aca="1" ref="BM7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6" t="e" cm="1">
        <f t="array" aca="1" ref="BN7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6" s="35" t="e" cm="1">
        <f t="array" aca="1" ref="BO7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6" s="35" t="e" cm="1">
        <f t="array" aca="1" ref="BP7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6" t="e" cm="1">
        <f t="array" aca="1" ref="BQ7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6" s="35" t="e" cm="1">
        <f t="array" aca="1" ref="BR7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6" s="35" t="e" cm="1">
        <f t="array" aca="1" ref="BS7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6" t="e" cm="1">
        <f t="array" aca="1" ref="BT7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6" s="35" t="e" cm="1">
        <f t="array" aca="1" ref="BU7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6" s="35" t="e" cm="1">
        <f t="array" aca="1" ref="BV7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6" t="e" cm="1">
        <f t="array" aca="1" ref="BW7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6" s="35" t="e" cm="1">
        <f t="array" aca="1" ref="BX7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6" s="35" t="e" cm="1">
        <f t="array" aca="1" ref="BY7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6" t="e" cm="1">
        <f t="array" aca="1" ref="BZ7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6" s="35" t="e" cm="1">
        <f t="array" aca="1" ref="CA7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6" s="35" t="e" cm="1">
        <f t="array" aca="1" ref="CB7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6" t="e" cm="1">
        <f t="array" aca="1" ref="CC7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6" s="35" t="e" cm="1">
        <f t="array" aca="1" ref="CD7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6" s="35" t="e" cm="1">
        <f t="array" aca="1" ref="CE7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6" t="e" cm="1">
        <f t="array" aca="1" ref="CF7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6" s="166" cm="1">
        <f t="array" aca="1" ref="CG76"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6" s="375" cm="1">
        <f t="array" aca="1" ref="CH7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6" s="247" cm="1">
        <f t="array" aca="1" ref="CI76" ca="1">(SUMPRODUCT(Delay_emissions_table[Consumption of Diesel (kg) - Secondary Scenario],IF(Delay_emissions_table[Form of Maintenance - Secondary Scenario]="Life Extension",1,0))*INDEX(Indicators,MATCH('Additional Impact Indicators'!$A76,Materials!$D:$D,0),MATCH("diesel combustion",Materials!$1:$1,0))+SUMPRODUCT(Delay_emissions_table[Consumption of Petrol (kg) - Secondary Scenario],IF(Delay_emissions_table[Form of Maintenance - Secondary Scenario]="Life Extension",1,0))*INDEX(Indicators,MATCH('Additional Impact Indicators'!$A76,Materials!$D:$D,0),MATCH("petrol combustion",Materials!$1:$1,0))+IFERROR(SUMPRODUCT(TRANSPOSE(INDEX(elec_project_emissions,MATCH(Elec_scenario&amp;'Additional Impact Indicators'!$B76,INDEX(Electricity_projection,0,3),0)-1,0)),Delay_emissions_table[Consumption of electricity (MJ) - Secondary Scenario],IF(Delay_emissions_table[Form of Maintenance - Secondary Scenario]="Life Extension",1,0)),0))*Area_trans*time_adj_Sec</f>
        <v>0</v>
      </c>
      <c r="CJ76" s="247" cm="1">
        <f t="array" aca="1" ref="CJ76" ca="1">(SUMPRODUCT(Delay_emissions_table[Consumption of Diesel (kg) - Secondary Scenario],IF(Delay_emissions_table[Form of Maintenance - Secondary Scenario]="Replacement",1,0))*INDEX(Indicators,MATCH('Additional Impact Indicators'!$A76,Materials!$D:$D,0),MATCH("diesel combustion",Materials!$1:$1,0))+SUMPRODUCT(Delay_emissions_table[Consumption of Petrol (kg) - Secondary Scenario],IF(Delay_emissions_table[Form of Maintenance - Secondary Scenario]="Replacement",1,0))*INDEX(Indicators,MATCH('Additional Impact Indicators'!$A76,Materials!$D:$D,0),MATCH("petrol combustion",Materials!$1:$1,0))+IFERROR(SUMPRODUCT(TRANSPOSE(INDEX(elec_project_emissions,MATCH(Elec_scenario&amp;'Additional Impact Indicators'!$B76,INDEX(Electricity_projection,0,3),0)-1,0)),Delay_emissions_table[Consumption of electricity (MJ) - Secondary Scenario],IF(Delay_emissions_table[Form of Maintenance - Secondary Scenario]="Replacement",1,0)),0))*Area_trans*time_adj_Sec</f>
        <v>0</v>
      </c>
      <c r="CK76" s="248" t="e" cm="1">
        <f t="array" ref="CK7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6" s="248" t="e" cm="1">
        <f t="array" ref="CL7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6" s="249" t="e" cm="1">
        <f t="array" ref="CM7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6" s="387" t="e" cm="1">
        <f t="array" ref="CN7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6" s="51" t="e">
        <f ca="1">SUMIF(Table3[[#This Row],[Raw-Materials]:[Transport to recycling facility]],"&lt;&gt;#N/A")</f>
        <v>#DIV/0!</v>
      </c>
      <c r="CT76" t="s">
        <v>572</v>
      </c>
      <c r="CU76" t="s">
        <v>510</v>
      </c>
      <c r="CV76" t="str">
        <f t="shared" si="6"/>
        <v>A1</v>
      </c>
      <c r="CW76" t="s">
        <v>54</v>
      </c>
      <c r="CY76">
        <f>MATCH(Table611[[#This Row],[Indicator]],Material_Impacts[Look up],0)</f>
        <v>16</v>
      </c>
      <c r="CZ76" s="246" cm="1">
        <f t="array" aca="1" ref="CZ7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6" s="166" cm="1">
        <f t="array" ref="DA7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6" s="166" t="e">
        <f>Diesel_RawM_Tert*INDEX(Indicators,MATCH(Impacts_Additional[[#This Row],[Indicator]],Materials!$D:$D,0),MATCH("Diesel Combustion",Materials!$1:$1,0))*Diesel_density*Project_Area*Tert_Lays*Area_trans</f>
        <v>#DIV/0!</v>
      </c>
      <c r="DC76" s="35" t="e" cm="1">
        <f t="array" aca="1" ref="DC7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6" s="35" t="e" cm="1">
        <f t="array" aca="1" ref="DD7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6" t="e" cm="1">
        <f t="array" aca="1" ref="DE7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6" s="35" t="e" cm="1">
        <f t="array" aca="1" ref="DF7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6" s="35" t="e" cm="1">
        <f t="array" aca="1" ref="DG7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6" t="e" cm="1">
        <f t="array" aca="1" ref="DH7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6" s="35" t="e" cm="1">
        <f t="array" aca="1" ref="DI7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6" s="35" t="e" cm="1">
        <f t="array" aca="1" ref="DJ7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6" t="e" cm="1">
        <f t="array" aca="1" ref="DK7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6" s="35" t="e" cm="1">
        <f t="array" aca="1" ref="DL7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6" s="35" t="e" cm="1">
        <f t="array" aca="1" ref="DM7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6" t="e" cm="1">
        <f t="array" aca="1" ref="DN7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6" s="35" t="e" cm="1">
        <f t="array" aca="1" ref="DO7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6" s="35" t="e" cm="1">
        <f t="array" aca="1" ref="DP7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6" t="e" cm="1">
        <f t="array" aca="1" ref="DQ7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6" s="35" t="e" cm="1">
        <f t="array" aca="1" ref="DR7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6" s="35" t="e" cm="1">
        <f t="array" aca="1" ref="DS7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6" t="e" cm="1">
        <f t="array" aca="1" ref="DT7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6" s="35" t="e" cm="1">
        <f t="array" aca="1" ref="DU7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6" s="35" t="e" cm="1">
        <f t="array" aca="1" ref="DV7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6" t="e" cm="1">
        <f t="array" aca="1" ref="DW7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6" s="35" t="e" cm="1">
        <f t="array" aca="1" ref="DX7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6" s="35" t="e" cm="1">
        <f t="array" aca="1" ref="DY7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6" t="e" cm="1">
        <f t="array" aca="1" ref="DZ7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6" s="35" t="e" cm="1">
        <f t="array" aca="1" ref="EA7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6" s="35" t="e" cm="1">
        <f t="array" aca="1" ref="EB7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6" t="e" cm="1">
        <f t="array" aca="1" ref="EC7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6" s="166" cm="1">
        <f t="array" aca="1" ref="ED76"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6" s="375" cm="1">
        <f t="array" aca="1" ref="EE7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6" s="247" cm="1">
        <f t="array" aca="1" ref="EF76" ca="1">(SUMPRODUCT(Delay_emissions_table[Consumption of Diesel (kg) - Tertiary Scenario],IF(Delay_emissions_table[Form of Maintenance - Tertiary Scenario]="Life Extension",1,0))*INDEX(Indicators,MATCH('Additional Impact Indicators'!$A76,Materials!$D:$D,0),MATCH("diesel combustion",Materials!$1:$1,0))+SUMPRODUCT(Delay_emissions_table[Consumption of Petrol (kg) - Tertiary Scenario],IF(Delay_emissions_table[Form of Maintenance - Tertiary Scenario]="Life Extension",1,0))*INDEX(Indicators,MATCH('Additional Impact Indicators'!$A76,Materials!$D:$D,0),MATCH("petrol combustion",Materials!$1:$1,0))+IFERROR(SUMPRODUCT(TRANSPOSE(INDEX(elec_project_emissions,MATCH(Elec_scenario&amp;'Additional Impact Indicators'!$B76,INDEX(Electricity_projection,0,3),0)-1,0)),Delay_emissions_table[Consumption of electricity (MJ) - Tertiary Scenario],IF(Delay_emissions_table[Form of Maintenance - Tertiary Scenario]="Life Extension",1,0)),0))*Area_trans*Time_adj_Tert</f>
        <v>0</v>
      </c>
      <c r="EG76" s="247" cm="1">
        <f t="array" aca="1" ref="EG76" ca="1">(SUMPRODUCT(Delay_emissions_table[Consumption of Diesel (kg) - Tertiary Scenario],IF(Delay_emissions_table[Form of Maintenance - Tertiary Scenario]="Replacement",1,0))*INDEX(Indicators,MATCH('Additional Impact Indicators'!$A76,Materials!$D:$D,0),MATCH("diesel combustion",Materials!$1:$1,0))+SUMPRODUCT(Delay_emissions_table[Consumption of Petrol (kg) - Tertiary Scenario],IF(Delay_emissions_table[Form of Maintenance - Tertiary Scenario]="Replacement",1,0))*INDEX(Indicators,MATCH('Additional Impact Indicators'!$A76,Materials!$D:$D,0),MATCH("petrol combustion",Materials!$1:$1,0))+IFERROR(SUMPRODUCT(TRANSPOSE(INDEX(elec_project_emissions,MATCH(Elec_scenario&amp;'Additional Impact Indicators'!$B76,INDEX(Electricity_projection,0,3),0)-1,0)),Delay_emissions_table[Consumption of electricity (MJ) - Tertiary Scenario],IF(Delay_emissions_table[Form of Maintenance - Tertiary Scenario]="Replacement",1,0)),0))*Area_trans*Time_adj_Tert</f>
        <v>0</v>
      </c>
      <c r="EH76" s="248" t="e" cm="1">
        <f t="array" ref="EH7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6" s="248" t="e" cm="1">
        <f t="array" ref="EI7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6" s="249" t="e" cm="1">
        <f t="array" ref="EJ7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6" s="249" t="e" cm="1">
        <f t="array" ref="EK7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6" t="e">
        <f ca="1">SUMIF(Table611[[#This Row],[Raw-Materials]:[Transport to recycling facility]],"&lt;&gt;#N/A")</f>
        <v>#DIV/0!</v>
      </c>
    </row>
    <row r="77" spans="1:142" x14ac:dyDescent="0.35">
      <c r="A77" s="155" t="s">
        <v>573</v>
      </c>
      <c r="B77" s="155" t="s">
        <v>512</v>
      </c>
      <c r="C77" s="155" t="str">
        <f t="shared" si="5"/>
        <v>A1</v>
      </c>
      <c r="D77" s="155" t="s">
        <v>54</v>
      </c>
      <c r="E77" s="155"/>
      <c r="F77">
        <f>MATCH(Impacts_Additional[[#This Row],[Indicator]],Material_Impacts[Look up],0)</f>
        <v>17</v>
      </c>
      <c r="G77" s="246" cm="1">
        <f t="array" aca="1" ref="G7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7" s="165" cm="1">
        <f t="array" ref="H7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7" s="165" t="e">
        <f>Diesel_RawM_Prim*INDEX(Indicators,MATCH(Impacts_Additional[[#This Row],[Indicator]],Materials!$D:$D,0),MATCH("Diesel Combustion",Materials!$1:$1,0))*Diesel_density*Project_Area*Prim_Lays*Area_trans</f>
        <v>#DIV/0!</v>
      </c>
      <c r="J77" s="250" t="e" cm="1">
        <f t="array" aca="1" ref="J7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7" s="250" t="e" cm="1">
        <f t="array" aca="1" ref="K7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7" s="250" t="e" cm="1">
        <f t="array" aca="1" ref="L7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7" s="250" t="e" cm="1">
        <f t="array" aca="1" ref="M7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7" s="250" t="e" cm="1">
        <f t="array" aca="1" ref="N7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7" s="250" t="e" cm="1">
        <f t="array" aca="1" ref="O7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7" s="250" t="e" cm="1">
        <f t="array" aca="1" ref="P7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7" s="250" t="e" cm="1">
        <f t="array" aca="1" ref="Q7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7" s="250" t="e" cm="1">
        <f t="array" aca="1" ref="R7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7" s="250" t="e" cm="1">
        <f t="array" aca="1" ref="S7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7" s="250" t="e" cm="1">
        <f t="array" aca="1" ref="T7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7" s="250" t="e" cm="1">
        <f t="array" aca="1" ref="U7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7" s="250" t="e" cm="1">
        <f t="array" aca="1" ref="V7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7" s="250" t="e" cm="1">
        <f t="array" aca="1" ref="W7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7" s="250" t="e" cm="1">
        <f t="array" aca="1" ref="X7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7" s="250" t="e" cm="1">
        <f t="array" aca="1" ref="Y7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7" s="250" t="e" cm="1">
        <f t="array" aca="1" ref="Z7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7" s="250" t="e" cm="1">
        <f t="array" aca="1" ref="AA7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7" s="250" t="e" cm="1">
        <f t="array" aca="1" ref="AB7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7" s="250" t="e" cm="1">
        <f t="array" aca="1" ref="AC7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7" s="250" t="e" cm="1">
        <f t="array" aca="1" ref="AD7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7" s="250" t="e" cm="1">
        <f t="array" aca="1" ref="AE7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7" s="250" t="e" cm="1">
        <f t="array" aca="1" ref="AF7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7" s="250" t="e" cm="1">
        <f t="array" aca="1" ref="AG7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7" s="250" t="e" cm="1">
        <f t="array" aca="1" ref="AH7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7" s="250" t="e" cm="1">
        <f t="array" aca="1" ref="AI7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7" s="250" t="e" cm="1">
        <f t="array" aca="1" ref="AJ7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7" s="165" cm="1">
        <f t="array" aca="1" ref="AK77"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7" s="254" cm="1">
        <f t="array" aca="1" ref="AL7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7" s="251" cm="1">
        <f t="array" aca="1" ref="AM77" ca="1">(SUMPRODUCT(Delay_emissions_table[Consumption of Diesel (kg) - Primary Scenario],IF(Delay_emissions_table[Form of Maintenance - Primary Scenario]="Life Extension",1,0))*INDEX(Indicators,MATCH('Additional Impact Indicators'!$A77,Materials!$D:$D,0),MATCH("diesel combustion",Materials!$1:$1,0))+SUMPRODUCT(Delay_emissions_table[Consumption of Petrol (kg) - Primary Scenario],IF(Delay_emissions_table[Form of Maintenance - Primary Scenario]="Life Extension",1,0))*INDEX(Indicators,MATCH('Additional Impact Indicators'!$A77,Materials!$D:$D,0),MATCH("petrol combustion",Materials!$1:$1,0))+IFERROR(SUMPRODUCT(TRANSPOSE(INDEX(elec_project_emissions,MATCH(Elec_scenario&amp;'Additional Impact Indicators'!$B77,INDEX(Electricity_projection,0,3),0)-1,0)),Delay_emissions_table[Consumption of electricity (MJ) - Primary Scenario],IF(Delay_emissions_table[Form of Maintenance - Primary Scenario]="Life Extension",1,0)),0))*Area_trans*Time_adj_Prim</f>
        <v>0</v>
      </c>
      <c r="AN77" s="251" cm="1">
        <f t="array" aca="1" ref="AN77" ca="1">(SUMPRODUCT(Delay_emissions_table[Consumption of Diesel (kg) - Primary Scenario],IF(Delay_emissions_table[Form of Maintenance - Primary Scenario]="Replacement",1,0))*INDEX(Indicators,MATCH('Additional Impact Indicators'!$A77,Materials!$D:$D,0),MATCH("diesel combustion",Materials!$1:$1,0))+SUMPRODUCT(Delay_emissions_table[Consumption of Petrol (kg) - Primary Scenario],IF(Delay_emissions_table[Form of Maintenance - Primary Scenario]="Replacement",1,0))*INDEX(Indicators,MATCH('Additional Impact Indicators'!$A77,Materials!$D:$D,0),MATCH("petrol combustion",Materials!$1:$1,0))+IFERROR(SUMPRODUCT(TRANSPOSE(INDEX(elec_project_emissions,MATCH(Elec_scenario&amp;'Additional Impact Indicators'!$B77,INDEX(Electricity_projection,0,3),0)-1,0)),Delay_emissions_table[Consumption of electricity (MJ) - Primary Scenario],IF(Delay_emissions_table[Form of Maintenance - Primary Scenario]="Replacement",1,0)),0))*Area_trans*Time_adj_Prim</f>
        <v>0</v>
      </c>
      <c r="AO77" s="252" t="e" cm="1">
        <f t="array" ref="AO7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7" s="252" t="e" cm="1">
        <f t="array" ref="AP7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7" s="253" t="e" cm="1">
        <f t="array" ref="AQ7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7" s="385" t="e" cm="1">
        <f t="array" ref="AR7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7" t="e">
        <f ca="1">SUMIF('Additional Impact Indicators'!$G77:$AQ77,"&lt;&gt;#N/A")</f>
        <v>#DIV/0!</v>
      </c>
      <c r="AW77" s="155" t="s">
        <v>573</v>
      </c>
      <c r="AX77" s="155" t="s">
        <v>512</v>
      </c>
      <c r="AY77" t="str">
        <f t="shared" si="4"/>
        <v>A1</v>
      </c>
      <c r="AZ77" s="155" t="s">
        <v>54</v>
      </c>
      <c r="BB77">
        <f>MATCH(Table3[[#This Row],[Indicator]],Material_Impacts[Look up],0)</f>
        <v>17</v>
      </c>
      <c r="BC77" s="246" cm="1">
        <f t="array" aca="1" ref="BC7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7" s="165" cm="1">
        <f t="array" ref="BD7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7" s="165" t="e">
        <f>Diesel_RawM_Sec*INDEX(Indicators,MATCH(Impacts_Additional[[#This Row],[Indicator]],Materials!$D:$D,0),MATCH("Diesel Combustion",Materials!$1:$1,0))*Diesel_density*Project_Area*Sec_Lays*Area_trans</f>
        <v>#DIV/0!</v>
      </c>
      <c r="BF77" s="35" t="e" cm="1">
        <f t="array" aca="1" ref="BF7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7" s="35" t="e" cm="1">
        <f t="array" aca="1" ref="BG7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7" t="e" cm="1">
        <f t="array" aca="1" ref="BH7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7" s="35" t="e" cm="1">
        <f t="array" aca="1" ref="BI7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7" s="35" t="e" cm="1">
        <f t="array" aca="1" ref="BJ7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7" t="e" cm="1">
        <f t="array" aca="1" ref="BK7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7" s="35" t="e" cm="1">
        <f t="array" aca="1" ref="BL7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7" s="35" t="e" cm="1">
        <f t="array" aca="1" ref="BM7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7" t="e" cm="1">
        <f t="array" aca="1" ref="BN7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7" s="35" t="e" cm="1">
        <f t="array" aca="1" ref="BO7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7" s="35" t="e" cm="1">
        <f t="array" aca="1" ref="BP7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7" t="e" cm="1">
        <f t="array" aca="1" ref="BQ7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7" s="35" t="e" cm="1">
        <f t="array" aca="1" ref="BR7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7" s="35" t="e" cm="1">
        <f t="array" aca="1" ref="BS7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7" t="e" cm="1">
        <f t="array" aca="1" ref="BT7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7" s="35" t="e" cm="1">
        <f t="array" aca="1" ref="BU7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7" s="35" t="e" cm="1">
        <f t="array" aca="1" ref="BV7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7" t="e" cm="1">
        <f t="array" aca="1" ref="BW7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7" s="35" t="e" cm="1">
        <f t="array" aca="1" ref="BX7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7" s="35" t="e" cm="1">
        <f t="array" aca="1" ref="BY7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7" t="e" cm="1">
        <f t="array" aca="1" ref="BZ7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7" s="35" t="e" cm="1">
        <f t="array" aca="1" ref="CA7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7" s="35" t="e" cm="1">
        <f t="array" aca="1" ref="CB7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7" t="e" cm="1">
        <f t="array" aca="1" ref="CC7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7" s="35" t="e" cm="1">
        <f t="array" aca="1" ref="CD7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7" s="35" t="e" cm="1">
        <f t="array" aca="1" ref="CE7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7" t="e" cm="1">
        <f t="array" aca="1" ref="CF7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7" s="165" cm="1">
        <f t="array" aca="1" ref="CG77"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7" s="375" cm="1">
        <f t="array" aca="1" ref="CH7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7" s="251" cm="1">
        <f t="array" aca="1" ref="CI77" ca="1">(SUMPRODUCT(Delay_emissions_table[Consumption of Diesel (kg) - Secondary Scenario],IF(Delay_emissions_table[Form of Maintenance - Secondary Scenario]="Life Extension",1,0))*INDEX(Indicators,MATCH('Additional Impact Indicators'!$A77,Materials!$D:$D,0),MATCH("diesel combustion",Materials!$1:$1,0))+SUMPRODUCT(Delay_emissions_table[Consumption of Petrol (kg) - Secondary Scenario],IF(Delay_emissions_table[Form of Maintenance - Secondary Scenario]="Life Extension",1,0))*INDEX(Indicators,MATCH('Additional Impact Indicators'!$A77,Materials!$D:$D,0),MATCH("petrol combustion",Materials!$1:$1,0))+IFERROR(SUMPRODUCT(TRANSPOSE(INDEX(elec_project_emissions,MATCH(Elec_scenario&amp;'Additional Impact Indicators'!$B77,INDEX(Electricity_projection,0,3),0)-1,0)),Delay_emissions_table[Consumption of electricity (MJ) - Secondary Scenario],IF(Delay_emissions_table[Form of Maintenance - Secondary Scenario]="Life Extension",1,0)),0))*Area_trans*time_adj_Sec</f>
        <v>0</v>
      </c>
      <c r="CJ77" s="251" cm="1">
        <f t="array" aca="1" ref="CJ77" ca="1">(SUMPRODUCT(Delay_emissions_table[Consumption of Diesel (kg) - Secondary Scenario],IF(Delay_emissions_table[Form of Maintenance - Secondary Scenario]="Replacement",1,0))*INDEX(Indicators,MATCH('Additional Impact Indicators'!$A77,Materials!$D:$D,0),MATCH("diesel combustion",Materials!$1:$1,0))+SUMPRODUCT(Delay_emissions_table[Consumption of Petrol (kg) - Secondary Scenario],IF(Delay_emissions_table[Form of Maintenance - Secondary Scenario]="Replacement",1,0))*INDEX(Indicators,MATCH('Additional Impact Indicators'!$A77,Materials!$D:$D,0),MATCH("petrol combustion",Materials!$1:$1,0))+IFERROR(SUMPRODUCT(TRANSPOSE(INDEX(elec_project_emissions,MATCH(Elec_scenario&amp;'Additional Impact Indicators'!$B77,INDEX(Electricity_projection,0,3),0)-1,0)),Delay_emissions_table[Consumption of electricity (MJ) - Secondary Scenario],IF(Delay_emissions_table[Form of Maintenance - Secondary Scenario]="Replacement",1,0)),0))*Area_trans*time_adj_Sec</f>
        <v>0</v>
      </c>
      <c r="CK77" s="252" t="e" cm="1">
        <f t="array" ref="CK7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7" s="252" t="e" cm="1">
        <f t="array" ref="CL7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7" s="253" t="e" cm="1">
        <f t="array" ref="CM7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7" s="387" t="e" cm="1">
        <f t="array" ref="CN7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7" s="51" t="e">
        <f ca="1">SUMIF(Table3[[#This Row],[Raw-Materials]:[Transport to recycling facility]],"&lt;&gt;#N/A")</f>
        <v>#DIV/0!</v>
      </c>
      <c r="CT77" t="s">
        <v>573</v>
      </c>
      <c r="CU77" t="s">
        <v>512</v>
      </c>
      <c r="CV77" t="str">
        <f t="shared" si="6"/>
        <v>A1</v>
      </c>
      <c r="CW77" t="s">
        <v>54</v>
      </c>
      <c r="CY77">
        <f>MATCH(Table611[[#This Row],[Indicator]],Material_Impacts[Look up],0)</f>
        <v>17</v>
      </c>
      <c r="CZ77" s="246" cm="1">
        <f t="array" aca="1" ref="CZ7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7" s="165" cm="1">
        <f t="array" ref="DA7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7" s="165" t="e">
        <f>Diesel_RawM_Tert*INDEX(Indicators,MATCH(Impacts_Additional[[#This Row],[Indicator]],Materials!$D:$D,0),MATCH("Diesel Combustion",Materials!$1:$1,0))*Diesel_density*Project_Area*Tert_Lays*Area_trans</f>
        <v>#DIV/0!</v>
      </c>
      <c r="DC77" s="35" t="e" cm="1">
        <f t="array" aca="1" ref="DC7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7" s="35" t="e" cm="1">
        <f t="array" aca="1" ref="DD7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7" t="e" cm="1">
        <f t="array" aca="1" ref="DE7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7" s="35" t="e" cm="1">
        <f t="array" aca="1" ref="DF7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7" s="35" t="e" cm="1">
        <f t="array" aca="1" ref="DG7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7" t="e" cm="1">
        <f t="array" aca="1" ref="DH7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7" s="35" t="e" cm="1">
        <f t="array" aca="1" ref="DI7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7" s="35" t="e" cm="1">
        <f t="array" aca="1" ref="DJ7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7" t="e" cm="1">
        <f t="array" aca="1" ref="DK7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7" s="35" t="e" cm="1">
        <f t="array" aca="1" ref="DL7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7" s="35" t="e" cm="1">
        <f t="array" aca="1" ref="DM7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7" t="e" cm="1">
        <f t="array" aca="1" ref="DN7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7" s="35" t="e" cm="1">
        <f t="array" aca="1" ref="DO7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7" s="35" t="e" cm="1">
        <f t="array" aca="1" ref="DP7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7" t="e" cm="1">
        <f t="array" aca="1" ref="DQ7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7" s="35" t="e" cm="1">
        <f t="array" aca="1" ref="DR7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7" s="35" t="e" cm="1">
        <f t="array" aca="1" ref="DS7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7" t="e" cm="1">
        <f t="array" aca="1" ref="DT7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7" s="35" t="e" cm="1">
        <f t="array" aca="1" ref="DU7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7" s="35" t="e" cm="1">
        <f t="array" aca="1" ref="DV7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7" t="e" cm="1">
        <f t="array" aca="1" ref="DW7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7" s="35" t="e" cm="1">
        <f t="array" aca="1" ref="DX7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7" s="35" t="e" cm="1">
        <f t="array" aca="1" ref="DY7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7" t="e" cm="1">
        <f t="array" aca="1" ref="DZ7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7" s="35" t="e" cm="1">
        <f t="array" aca="1" ref="EA7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7" s="35" t="e" cm="1">
        <f t="array" aca="1" ref="EB7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7" t="e" cm="1">
        <f t="array" aca="1" ref="EC7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7" s="165" cm="1">
        <f t="array" aca="1" ref="ED77"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7" s="375" cm="1">
        <f t="array" aca="1" ref="EE7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7" s="251" cm="1">
        <f t="array" aca="1" ref="EF77" ca="1">(SUMPRODUCT(Delay_emissions_table[Consumption of Diesel (kg) - Tertiary Scenario],IF(Delay_emissions_table[Form of Maintenance - Tertiary Scenario]="Life Extension",1,0))*INDEX(Indicators,MATCH('Additional Impact Indicators'!$A77,Materials!$D:$D,0),MATCH("diesel combustion",Materials!$1:$1,0))+SUMPRODUCT(Delay_emissions_table[Consumption of Petrol (kg) - Tertiary Scenario],IF(Delay_emissions_table[Form of Maintenance - Tertiary Scenario]="Life Extension",1,0))*INDEX(Indicators,MATCH('Additional Impact Indicators'!$A77,Materials!$D:$D,0),MATCH("petrol combustion",Materials!$1:$1,0))+IFERROR(SUMPRODUCT(TRANSPOSE(INDEX(elec_project_emissions,MATCH(Elec_scenario&amp;'Additional Impact Indicators'!$B77,INDEX(Electricity_projection,0,3),0)-1,0)),Delay_emissions_table[Consumption of electricity (MJ) - Tertiary Scenario],IF(Delay_emissions_table[Form of Maintenance - Tertiary Scenario]="Life Extension",1,0)),0))*Area_trans*Time_adj_Tert</f>
        <v>0</v>
      </c>
      <c r="EG77" s="251" cm="1">
        <f t="array" aca="1" ref="EG77" ca="1">(SUMPRODUCT(Delay_emissions_table[Consumption of Diesel (kg) - Tertiary Scenario],IF(Delay_emissions_table[Form of Maintenance - Tertiary Scenario]="Replacement",1,0))*INDEX(Indicators,MATCH('Additional Impact Indicators'!$A77,Materials!$D:$D,0),MATCH("diesel combustion",Materials!$1:$1,0))+SUMPRODUCT(Delay_emissions_table[Consumption of Petrol (kg) - Tertiary Scenario],IF(Delay_emissions_table[Form of Maintenance - Tertiary Scenario]="Replacement",1,0))*INDEX(Indicators,MATCH('Additional Impact Indicators'!$A77,Materials!$D:$D,0),MATCH("petrol combustion",Materials!$1:$1,0))+IFERROR(SUMPRODUCT(TRANSPOSE(INDEX(elec_project_emissions,MATCH(Elec_scenario&amp;'Additional Impact Indicators'!$B77,INDEX(Electricity_projection,0,3),0)-1,0)),Delay_emissions_table[Consumption of electricity (MJ) - Tertiary Scenario],IF(Delay_emissions_table[Form of Maintenance - Tertiary Scenario]="Replacement",1,0)),0))*Area_trans*Time_adj_Tert</f>
        <v>0</v>
      </c>
      <c r="EH77" s="252" t="e" cm="1">
        <f t="array" ref="EH7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7" s="252" t="e" cm="1">
        <f t="array" ref="EI7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7" s="253" t="e" cm="1">
        <f t="array" ref="EJ7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7" s="253" t="e" cm="1">
        <f t="array" ref="EK7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7" t="e">
        <f ca="1">SUMIF(Table611[[#This Row],[Raw-Materials]:[Transport to recycling facility]],"&lt;&gt;#N/A")</f>
        <v>#DIV/0!</v>
      </c>
    </row>
    <row r="78" spans="1:142" x14ac:dyDescent="0.35">
      <c r="A78" t="s">
        <v>574</v>
      </c>
      <c r="B78" t="s">
        <v>546</v>
      </c>
      <c r="C78" t="str">
        <f t="shared" si="5"/>
        <v>A1</v>
      </c>
      <c r="D78" t="s">
        <v>54</v>
      </c>
      <c r="F78">
        <f>MATCH(Impacts_Additional[[#This Row],[Indicator]],Material_Impacts[Look up],0)</f>
        <v>18</v>
      </c>
      <c r="G78" s="246" cm="1">
        <f t="array" aca="1" ref="G7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8" s="166" cm="1">
        <f t="array" ref="H7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8" s="166" t="e">
        <f>Diesel_RawM_Prim*INDEX(Indicators,MATCH(Impacts_Additional[[#This Row],[Indicator]],Materials!$D:$D,0),MATCH("Diesel Combustion",Materials!$1:$1,0))*Diesel_density*Project_Area*Prim_Lays*Area_trans</f>
        <v>#DIV/0!</v>
      </c>
      <c r="J78" s="20" t="e" cm="1">
        <f t="array" aca="1" ref="J7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8" s="20" t="e" cm="1">
        <f t="array" aca="1" ref="K7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8" s="20" t="e" cm="1">
        <f t="array" aca="1" ref="L7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8" s="20" t="e" cm="1">
        <f t="array" aca="1" ref="M7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8" s="20" t="e" cm="1">
        <f t="array" aca="1" ref="N7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8" s="20" t="e" cm="1">
        <f t="array" aca="1" ref="O7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8" s="20" t="e" cm="1">
        <f t="array" aca="1" ref="P7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8" s="20" t="e" cm="1">
        <f t="array" aca="1" ref="Q7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8" s="20" t="e" cm="1">
        <f t="array" aca="1" ref="R7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8" s="20" t="e" cm="1">
        <f t="array" aca="1" ref="S7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8" s="20" t="e" cm="1">
        <f t="array" aca="1" ref="T7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8" s="20" t="e" cm="1">
        <f t="array" aca="1" ref="U7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8" s="20" t="e" cm="1">
        <f t="array" aca="1" ref="V7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8" s="20" t="e" cm="1">
        <f t="array" aca="1" ref="W7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8" s="20" t="e" cm="1">
        <f t="array" aca="1" ref="X7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8" s="20" t="e" cm="1">
        <f t="array" aca="1" ref="Y7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8" s="20" t="e" cm="1">
        <f t="array" aca="1" ref="Z7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8" s="20" t="e" cm="1">
        <f t="array" aca="1" ref="AA7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8" s="20" t="e" cm="1">
        <f t="array" aca="1" ref="AB7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8" s="20" t="e" cm="1">
        <f t="array" aca="1" ref="AC7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8" s="20" t="e" cm="1">
        <f t="array" aca="1" ref="AD7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8" s="20" t="e" cm="1">
        <f t="array" aca="1" ref="AE7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8" s="20" t="e" cm="1">
        <f t="array" aca="1" ref="AF7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8" s="20" t="e" cm="1">
        <f t="array" aca="1" ref="AG7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8" s="20" t="e" cm="1">
        <f t="array" aca="1" ref="AH7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8" s="20" t="e" cm="1">
        <f t="array" aca="1" ref="AI7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8" s="20" t="e" cm="1">
        <f t="array" aca="1" ref="AJ7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8" s="166" cm="1">
        <f t="array" aca="1" ref="AK78"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8" s="1" cm="1">
        <f t="array" aca="1" ref="AL7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8" s="247" cm="1">
        <f t="array" aca="1" ref="AM78" ca="1">(SUMPRODUCT(Delay_emissions_table[Consumption of Diesel (kg) - Primary Scenario],IF(Delay_emissions_table[Form of Maintenance - Primary Scenario]="Life Extension",1,0))*INDEX(Indicators,MATCH('Additional Impact Indicators'!$A78,Materials!$D:$D,0),MATCH("diesel combustion",Materials!$1:$1,0))+SUMPRODUCT(Delay_emissions_table[Consumption of Petrol (kg) - Primary Scenario],IF(Delay_emissions_table[Form of Maintenance - Primary Scenario]="Life Extension",1,0))*INDEX(Indicators,MATCH('Additional Impact Indicators'!$A78,Materials!$D:$D,0),MATCH("petrol combustion",Materials!$1:$1,0))+IFERROR(SUMPRODUCT(TRANSPOSE(INDEX(elec_project_emissions,MATCH(Elec_scenario&amp;'Additional Impact Indicators'!$B78,INDEX(Electricity_projection,0,3),0)-1,0)),Delay_emissions_table[Consumption of electricity (MJ) - Primary Scenario],IF(Delay_emissions_table[Form of Maintenance - Primary Scenario]="Life Extension",1,0)),0))*Area_trans*Time_adj_Prim</f>
        <v>0</v>
      </c>
      <c r="AN78" s="247" cm="1">
        <f t="array" aca="1" ref="AN78" ca="1">(SUMPRODUCT(Delay_emissions_table[Consumption of Diesel (kg) - Primary Scenario],IF(Delay_emissions_table[Form of Maintenance - Primary Scenario]="Replacement",1,0))*INDEX(Indicators,MATCH('Additional Impact Indicators'!$A78,Materials!$D:$D,0),MATCH("diesel combustion",Materials!$1:$1,0))+SUMPRODUCT(Delay_emissions_table[Consumption of Petrol (kg) - Primary Scenario],IF(Delay_emissions_table[Form of Maintenance - Primary Scenario]="Replacement",1,0))*INDEX(Indicators,MATCH('Additional Impact Indicators'!$A78,Materials!$D:$D,0),MATCH("petrol combustion",Materials!$1:$1,0))+IFERROR(SUMPRODUCT(TRANSPOSE(INDEX(elec_project_emissions,MATCH(Elec_scenario&amp;'Additional Impact Indicators'!$B78,INDEX(Electricity_projection,0,3),0)-1,0)),Delay_emissions_table[Consumption of electricity (MJ) - Primary Scenario],IF(Delay_emissions_table[Form of Maintenance - Primary Scenario]="Replacement",1,0)),0))*Area_trans*Time_adj_Prim</f>
        <v>0</v>
      </c>
      <c r="AO78" s="248" t="e" cm="1">
        <f t="array" ref="AO7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8" s="248" t="e" cm="1">
        <f t="array" ref="AP7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8" s="249" t="e" cm="1">
        <f t="array" ref="AQ7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8" s="386" t="e" cm="1">
        <f t="array" ref="AR7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8" t="e">
        <f ca="1">SUMIF('Additional Impact Indicators'!$G78:$AQ78,"&lt;&gt;#N/A")</f>
        <v>#DIV/0!</v>
      </c>
      <c r="AW78" t="s">
        <v>574</v>
      </c>
      <c r="AX78" t="s">
        <v>546</v>
      </c>
      <c r="AY78" t="str">
        <f t="shared" si="4"/>
        <v>A1</v>
      </c>
      <c r="AZ78" t="s">
        <v>54</v>
      </c>
      <c r="BB78">
        <f>MATCH(Table3[[#This Row],[Indicator]],Material_Impacts[Look up],0)</f>
        <v>18</v>
      </c>
      <c r="BC78" s="246" cm="1">
        <f t="array" aca="1" ref="BC7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8" s="166" cm="1">
        <f t="array" ref="BD7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8" s="166" t="e">
        <f>Diesel_RawM_Sec*INDEX(Indicators,MATCH(Impacts_Additional[[#This Row],[Indicator]],Materials!$D:$D,0),MATCH("Diesel Combustion",Materials!$1:$1,0))*Diesel_density*Project_Area*Sec_Lays*Area_trans</f>
        <v>#DIV/0!</v>
      </c>
      <c r="BF78" s="35" t="e" cm="1">
        <f t="array" aca="1" ref="BF7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8" s="35" t="e" cm="1">
        <f t="array" aca="1" ref="BG7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8" t="e" cm="1">
        <f t="array" aca="1" ref="BH7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8" s="35" t="e" cm="1">
        <f t="array" aca="1" ref="BI7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8" s="35" t="e" cm="1">
        <f t="array" aca="1" ref="BJ7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8" t="e" cm="1">
        <f t="array" aca="1" ref="BK7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8" s="35" t="e" cm="1">
        <f t="array" aca="1" ref="BL7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8" s="35" t="e" cm="1">
        <f t="array" aca="1" ref="BM7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8" t="e" cm="1">
        <f t="array" aca="1" ref="BN7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8" s="35" t="e" cm="1">
        <f t="array" aca="1" ref="BO7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8" s="35" t="e" cm="1">
        <f t="array" aca="1" ref="BP7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8" t="e" cm="1">
        <f t="array" aca="1" ref="BQ7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8" s="35" t="e" cm="1">
        <f t="array" aca="1" ref="BR7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8" s="35" t="e" cm="1">
        <f t="array" aca="1" ref="BS7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8" t="e" cm="1">
        <f t="array" aca="1" ref="BT7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8" s="35" t="e" cm="1">
        <f t="array" aca="1" ref="BU7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8" s="35" t="e" cm="1">
        <f t="array" aca="1" ref="BV7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8" t="e" cm="1">
        <f t="array" aca="1" ref="BW7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8" s="35" t="e" cm="1">
        <f t="array" aca="1" ref="BX7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8" s="35" t="e" cm="1">
        <f t="array" aca="1" ref="BY7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8" t="e" cm="1">
        <f t="array" aca="1" ref="BZ7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8" s="35" t="e" cm="1">
        <f t="array" aca="1" ref="CA7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8" s="35" t="e" cm="1">
        <f t="array" aca="1" ref="CB7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8" t="e" cm="1">
        <f t="array" aca="1" ref="CC7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8" s="35" t="e" cm="1">
        <f t="array" aca="1" ref="CD7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8" s="35" t="e" cm="1">
        <f t="array" aca="1" ref="CE7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8" t="e" cm="1">
        <f t="array" aca="1" ref="CF7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8" s="166" cm="1">
        <f t="array" aca="1" ref="CG78"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8" s="375" cm="1">
        <f t="array" aca="1" ref="CH7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8" s="247" cm="1">
        <f t="array" aca="1" ref="CI78" ca="1">(SUMPRODUCT(Delay_emissions_table[Consumption of Diesel (kg) - Secondary Scenario],IF(Delay_emissions_table[Form of Maintenance - Secondary Scenario]="Life Extension",1,0))*INDEX(Indicators,MATCH('Additional Impact Indicators'!$A78,Materials!$D:$D,0),MATCH("diesel combustion",Materials!$1:$1,0))+SUMPRODUCT(Delay_emissions_table[Consumption of Petrol (kg) - Secondary Scenario],IF(Delay_emissions_table[Form of Maintenance - Secondary Scenario]="Life Extension",1,0))*INDEX(Indicators,MATCH('Additional Impact Indicators'!$A78,Materials!$D:$D,0),MATCH("petrol combustion",Materials!$1:$1,0))+IFERROR(SUMPRODUCT(TRANSPOSE(INDEX(elec_project_emissions,MATCH(Elec_scenario&amp;'Additional Impact Indicators'!$B78,INDEX(Electricity_projection,0,3),0)-1,0)),Delay_emissions_table[Consumption of electricity (MJ) - Secondary Scenario],IF(Delay_emissions_table[Form of Maintenance - Secondary Scenario]="Life Extension",1,0)),0))*Area_trans*time_adj_Sec</f>
        <v>0</v>
      </c>
      <c r="CJ78" s="247" cm="1">
        <f t="array" aca="1" ref="CJ78" ca="1">(SUMPRODUCT(Delay_emissions_table[Consumption of Diesel (kg) - Secondary Scenario],IF(Delay_emissions_table[Form of Maintenance - Secondary Scenario]="Replacement",1,0))*INDEX(Indicators,MATCH('Additional Impact Indicators'!$A78,Materials!$D:$D,0),MATCH("diesel combustion",Materials!$1:$1,0))+SUMPRODUCT(Delay_emissions_table[Consumption of Petrol (kg) - Secondary Scenario],IF(Delay_emissions_table[Form of Maintenance - Secondary Scenario]="Replacement",1,0))*INDEX(Indicators,MATCH('Additional Impact Indicators'!$A78,Materials!$D:$D,0),MATCH("petrol combustion",Materials!$1:$1,0))+IFERROR(SUMPRODUCT(TRANSPOSE(INDEX(elec_project_emissions,MATCH(Elec_scenario&amp;'Additional Impact Indicators'!$B78,INDEX(Electricity_projection,0,3),0)-1,0)),Delay_emissions_table[Consumption of electricity (MJ) - Secondary Scenario],IF(Delay_emissions_table[Form of Maintenance - Secondary Scenario]="Replacement",1,0)),0))*Area_trans*time_adj_Sec</f>
        <v>0</v>
      </c>
      <c r="CK78" s="248" t="e" cm="1">
        <f t="array" ref="CK7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8" s="248" t="e" cm="1">
        <f t="array" ref="CL7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8" s="249" t="e" cm="1">
        <f t="array" ref="CM7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8" s="387" t="e" cm="1">
        <f t="array" ref="CN7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8" s="51" t="e">
        <f ca="1">SUMIF(Table3[[#This Row],[Raw-Materials]:[Transport to recycling facility]],"&lt;&gt;#N/A")</f>
        <v>#DIV/0!</v>
      </c>
      <c r="CT78" t="s">
        <v>574</v>
      </c>
      <c r="CU78" t="s">
        <v>546</v>
      </c>
      <c r="CV78" t="str">
        <f t="shared" si="6"/>
        <v>A1</v>
      </c>
      <c r="CW78" t="s">
        <v>54</v>
      </c>
      <c r="CY78">
        <f>MATCH(Table611[[#This Row],[Indicator]],Material_Impacts[Look up],0)</f>
        <v>18</v>
      </c>
      <c r="CZ78" s="246" cm="1">
        <f t="array" aca="1" ref="CZ7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8" s="166" cm="1">
        <f t="array" ref="DA7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8" s="166" t="e">
        <f>Diesel_RawM_Tert*INDEX(Indicators,MATCH(Impacts_Additional[[#This Row],[Indicator]],Materials!$D:$D,0),MATCH("Diesel Combustion",Materials!$1:$1,0))*Diesel_density*Project_Area*Tert_Lays*Area_trans</f>
        <v>#DIV/0!</v>
      </c>
      <c r="DC78" s="35" t="e" cm="1">
        <f t="array" aca="1" ref="DC7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8" s="35" t="e" cm="1">
        <f t="array" aca="1" ref="DD7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8" t="e" cm="1">
        <f t="array" aca="1" ref="DE7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8" s="35" t="e" cm="1">
        <f t="array" aca="1" ref="DF7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8" s="35" t="e" cm="1">
        <f t="array" aca="1" ref="DG7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8" t="e" cm="1">
        <f t="array" aca="1" ref="DH7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8" s="35" t="e" cm="1">
        <f t="array" aca="1" ref="DI7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8" s="35" t="e" cm="1">
        <f t="array" aca="1" ref="DJ7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8" t="e" cm="1">
        <f t="array" aca="1" ref="DK7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8" s="35" t="e" cm="1">
        <f t="array" aca="1" ref="DL7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8" s="35" t="e" cm="1">
        <f t="array" aca="1" ref="DM7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8" t="e" cm="1">
        <f t="array" aca="1" ref="DN7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8" s="35" t="e" cm="1">
        <f t="array" aca="1" ref="DO7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8" s="35" t="e" cm="1">
        <f t="array" aca="1" ref="DP7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8" t="e" cm="1">
        <f t="array" aca="1" ref="DQ7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8" s="35" t="e" cm="1">
        <f t="array" aca="1" ref="DR7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8" s="35" t="e" cm="1">
        <f t="array" aca="1" ref="DS7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8" t="e" cm="1">
        <f t="array" aca="1" ref="DT7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8" s="35" t="e" cm="1">
        <f t="array" aca="1" ref="DU7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8" s="35" t="e" cm="1">
        <f t="array" aca="1" ref="DV7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8" t="e" cm="1">
        <f t="array" aca="1" ref="DW7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8" s="35" t="e" cm="1">
        <f t="array" aca="1" ref="DX7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8" s="35" t="e" cm="1">
        <f t="array" aca="1" ref="DY7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8" t="e" cm="1">
        <f t="array" aca="1" ref="DZ7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8" s="35" t="e" cm="1">
        <f t="array" aca="1" ref="EA7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8" s="35" t="e" cm="1">
        <f t="array" aca="1" ref="EB7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8" t="e" cm="1">
        <f t="array" aca="1" ref="EC7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8" s="166" cm="1">
        <f t="array" aca="1" ref="ED78"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8" s="375" cm="1">
        <f t="array" aca="1" ref="EE7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8" s="247" cm="1">
        <f t="array" aca="1" ref="EF78" ca="1">(SUMPRODUCT(Delay_emissions_table[Consumption of Diesel (kg) - Tertiary Scenario],IF(Delay_emissions_table[Form of Maintenance - Tertiary Scenario]="Life Extension",1,0))*INDEX(Indicators,MATCH('Additional Impact Indicators'!$A78,Materials!$D:$D,0),MATCH("diesel combustion",Materials!$1:$1,0))+SUMPRODUCT(Delay_emissions_table[Consumption of Petrol (kg) - Tertiary Scenario],IF(Delay_emissions_table[Form of Maintenance - Tertiary Scenario]="Life Extension",1,0))*INDEX(Indicators,MATCH('Additional Impact Indicators'!$A78,Materials!$D:$D,0),MATCH("petrol combustion",Materials!$1:$1,0))+IFERROR(SUMPRODUCT(TRANSPOSE(INDEX(elec_project_emissions,MATCH(Elec_scenario&amp;'Additional Impact Indicators'!$B78,INDEX(Electricity_projection,0,3),0)-1,0)),Delay_emissions_table[Consumption of electricity (MJ) - Tertiary Scenario],IF(Delay_emissions_table[Form of Maintenance - Tertiary Scenario]="Life Extension",1,0)),0))*Area_trans*Time_adj_Tert</f>
        <v>0</v>
      </c>
      <c r="EG78" s="247" cm="1">
        <f t="array" aca="1" ref="EG78" ca="1">(SUMPRODUCT(Delay_emissions_table[Consumption of Diesel (kg) - Tertiary Scenario],IF(Delay_emissions_table[Form of Maintenance - Tertiary Scenario]="Replacement",1,0))*INDEX(Indicators,MATCH('Additional Impact Indicators'!$A78,Materials!$D:$D,0),MATCH("diesel combustion",Materials!$1:$1,0))+SUMPRODUCT(Delay_emissions_table[Consumption of Petrol (kg) - Tertiary Scenario],IF(Delay_emissions_table[Form of Maintenance - Tertiary Scenario]="Replacement",1,0))*INDEX(Indicators,MATCH('Additional Impact Indicators'!$A78,Materials!$D:$D,0),MATCH("petrol combustion",Materials!$1:$1,0))+IFERROR(SUMPRODUCT(TRANSPOSE(INDEX(elec_project_emissions,MATCH(Elec_scenario&amp;'Additional Impact Indicators'!$B78,INDEX(Electricity_projection,0,3),0)-1,0)),Delay_emissions_table[Consumption of electricity (MJ) - Tertiary Scenario],IF(Delay_emissions_table[Form of Maintenance - Tertiary Scenario]="Replacement",1,0)),0))*Area_trans*Time_adj_Tert</f>
        <v>0</v>
      </c>
      <c r="EH78" s="248" t="e" cm="1">
        <f t="array" ref="EH7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8" s="248" t="e" cm="1">
        <f t="array" ref="EI7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8" s="249" t="e" cm="1">
        <f t="array" ref="EJ7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8" s="249" t="e" cm="1">
        <f t="array" ref="EK7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8" t="e">
        <f ca="1">SUMIF(Table611[[#This Row],[Raw-Materials]:[Transport to recycling facility]],"&lt;&gt;#N/A")</f>
        <v>#DIV/0!</v>
      </c>
    </row>
    <row r="79" spans="1:142" x14ac:dyDescent="0.35">
      <c r="A79" s="155" t="s">
        <v>575</v>
      </c>
      <c r="B79" s="155" t="s">
        <v>516</v>
      </c>
      <c r="C79" s="155" t="str">
        <f t="shared" si="5"/>
        <v>A1</v>
      </c>
      <c r="D79" s="155" t="s">
        <v>54</v>
      </c>
      <c r="E79" s="155"/>
      <c r="F79">
        <f>MATCH(Impacts_Additional[[#This Row],[Indicator]],Material_Impacts[Look up],0)</f>
        <v>19</v>
      </c>
      <c r="G79" s="246" cm="1">
        <f t="array" aca="1" ref="G7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79" s="165" cm="1">
        <f t="array" ref="H7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79" s="165" t="e">
        <f>Diesel_RawM_Prim*INDEX(Indicators,MATCH(Impacts_Additional[[#This Row],[Indicator]],Materials!$D:$D,0),MATCH("Diesel Combustion",Materials!$1:$1,0))*Diesel_density*Project_Area*Prim_Lays*Area_trans</f>
        <v>#DIV/0!</v>
      </c>
      <c r="J79" s="250" t="e" cm="1">
        <f t="array" aca="1" ref="J7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79" s="250" t="e" cm="1">
        <f t="array" aca="1" ref="K7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79" s="250" t="e" cm="1">
        <f t="array" aca="1" ref="L7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79" s="250" t="e" cm="1">
        <f t="array" aca="1" ref="M7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79" s="250" t="e" cm="1">
        <f t="array" aca="1" ref="N7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79" s="250" t="e" cm="1">
        <f t="array" aca="1" ref="O7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79" s="250" t="e" cm="1">
        <f t="array" aca="1" ref="P7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79" s="250" t="e" cm="1">
        <f t="array" aca="1" ref="Q7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79" s="250" t="e" cm="1">
        <f t="array" aca="1" ref="R7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79" s="250" t="e" cm="1">
        <f t="array" aca="1" ref="S7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79" s="250" t="e" cm="1">
        <f t="array" aca="1" ref="T7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79" s="250" t="e" cm="1">
        <f t="array" aca="1" ref="U7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79" s="250" t="e" cm="1">
        <f t="array" aca="1" ref="V7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79" s="250" t="e" cm="1">
        <f t="array" aca="1" ref="W7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79" s="250" t="e" cm="1">
        <f t="array" aca="1" ref="X7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79" s="250" t="e" cm="1">
        <f t="array" aca="1" ref="Y7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79" s="250" t="e" cm="1">
        <f t="array" aca="1" ref="Z7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79" s="250" t="e" cm="1">
        <f t="array" aca="1" ref="AA7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79" s="250" t="e" cm="1">
        <f t="array" aca="1" ref="AB7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79" s="250" t="e" cm="1">
        <f t="array" aca="1" ref="AC7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79" s="250" t="e" cm="1">
        <f t="array" aca="1" ref="AD7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79" s="250" t="e" cm="1">
        <f t="array" aca="1" ref="AE7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79" s="250" t="e" cm="1">
        <f t="array" aca="1" ref="AF7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79" s="250" t="e" cm="1">
        <f t="array" aca="1" ref="AG7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79" s="250" t="e" cm="1">
        <f t="array" aca="1" ref="AH7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79" s="250" t="e" cm="1">
        <f t="array" aca="1" ref="AI7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79" s="250" t="e" cm="1">
        <f t="array" aca="1" ref="AJ7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79" s="165" cm="1">
        <f t="array" aca="1" ref="AK79"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79" s="254" cm="1">
        <f t="array" aca="1" ref="AL7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79" s="251" cm="1">
        <f t="array" aca="1" ref="AM79" ca="1">(SUMPRODUCT(Delay_emissions_table[Consumption of Diesel (kg) - Primary Scenario],IF(Delay_emissions_table[Form of Maintenance - Primary Scenario]="Life Extension",1,0))*INDEX(Indicators,MATCH('Additional Impact Indicators'!$A79,Materials!$D:$D,0),MATCH("diesel combustion",Materials!$1:$1,0))+SUMPRODUCT(Delay_emissions_table[Consumption of Petrol (kg) - Primary Scenario],IF(Delay_emissions_table[Form of Maintenance - Primary Scenario]="Life Extension",1,0))*INDEX(Indicators,MATCH('Additional Impact Indicators'!$A79,Materials!$D:$D,0),MATCH("petrol combustion",Materials!$1:$1,0))+IFERROR(SUMPRODUCT(TRANSPOSE(INDEX(elec_project_emissions,MATCH(Elec_scenario&amp;'Additional Impact Indicators'!$B79,INDEX(Electricity_projection,0,3),0)-1,0)),Delay_emissions_table[Consumption of electricity (MJ) - Primary Scenario],IF(Delay_emissions_table[Form of Maintenance - Primary Scenario]="Life Extension",1,0)),0))*Area_trans*Time_adj_Prim</f>
        <v>0</v>
      </c>
      <c r="AN79" s="251" cm="1">
        <f t="array" aca="1" ref="AN79" ca="1">(SUMPRODUCT(Delay_emissions_table[Consumption of Diesel (kg) - Primary Scenario],IF(Delay_emissions_table[Form of Maintenance - Primary Scenario]="Replacement",1,0))*INDEX(Indicators,MATCH('Additional Impact Indicators'!$A79,Materials!$D:$D,0),MATCH("diesel combustion",Materials!$1:$1,0))+SUMPRODUCT(Delay_emissions_table[Consumption of Petrol (kg) - Primary Scenario],IF(Delay_emissions_table[Form of Maintenance - Primary Scenario]="Replacement",1,0))*INDEX(Indicators,MATCH('Additional Impact Indicators'!$A79,Materials!$D:$D,0),MATCH("petrol combustion",Materials!$1:$1,0))+IFERROR(SUMPRODUCT(TRANSPOSE(INDEX(elec_project_emissions,MATCH(Elec_scenario&amp;'Additional Impact Indicators'!$B79,INDEX(Electricity_projection,0,3),0)-1,0)),Delay_emissions_table[Consumption of electricity (MJ) - Primary Scenario],IF(Delay_emissions_table[Form of Maintenance - Primary Scenario]="Replacement",1,0)),0))*Area_trans*Time_adj_Prim</f>
        <v>0</v>
      </c>
      <c r="AO79" s="252" t="e" cm="1">
        <f t="array" ref="AO7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79" s="252" t="e" cm="1">
        <f t="array" ref="AP7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79" s="253" t="e" cm="1">
        <f t="array" ref="AQ7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79" s="385" t="e" cm="1">
        <f t="array" ref="AR7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79" t="e">
        <f ca="1">SUMIF('Additional Impact Indicators'!$G79:$AQ79,"&lt;&gt;#N/A")</f>
        <v>#DIV/0!</v>
      </c>
      <c r="AW79" s="155" t="s">
        <v>575</v>
      </c>
      <c r="AX79" s="155" t="s">
        <v>516</v>
      </c>
      <c r="AY79" t="str">
        <f t="shared" si="4"/>
        <v>A1</v>
      </c>
      <c r="AZ79" s="155" t="s">
        <v>54</v>
      </c>
      <c r="BB79">
        <f>MATCH(Table3[[#This Row],[Indicator]],Material_Impacts[Look up],0)</f>
        <v>19</v>
      </c>
      <c r="BC79" s="246" cm="1">
        <f t="array" aca="1" ref="BC7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79" s="165" cm="1">
        <f t="array" ref="BD7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79" s="165" t="e">
        <f>Diesel_RawM_Sec*INDEX(Indicators,MATCH(Impacts_Additional[[#This Row],[Indicator]],Materials!$D:$D,0),MATCH("Diesel Combustion",Materials!$1:$1,0))*Diesel_density*Project_Area*Sec_Lays*Area_trans</f>
        <v>#DIV/0!</v>
      </c>
      <c r="BF79" s="35" t="e" cm="1">
        <f t="array" aca="1" ref="BF7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79" s="35" t="e" cm="1">
        <f t="array" aca="1" ref="BG7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79" t="e" cm="1">
        <f t="array" aca="1" ref="BH7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79" s="35" t="e" cm="1">
        <f t="array" aca="1" ref="BI7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79" s="35" t="e" cm="1">
        <f t="array" aca="1" ref="BJ7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79" t="e" cm="1">
        <f t="array" aca="1" ref="BK7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79" s="35" t="e" cm="1">
        <f t="array" aca="1" ref="BL7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79" s="35" t="e" cm="1">
        <f t="array" aca="1" ref="BM7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79" t="e" cm="1">
        <f t="array" aca="1" ref="BN7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79" s="35" t="e" cm="1">
        <f t="array" aca="1" ref="BO7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79" s="35" t="e" cm="1">
        <f t="array" aca="1" ref="BP7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79" t="e" cm="1">
        <f t="array" aca="1" ref="BQ7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79" s="35" t="e" cm="1">
        <f t="array" aca="1" ref="BR7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79" s="35" t="e" cm="1">
        <f t="array" aca="1" ref="BS7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79" t="e" cm="1">
        <f t="array" aca="1" ref="BT7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79" s="35" t="e" cm="1">
        <f t="array" aca="1" ref="BU7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79" s="35" t="e" cm="1">
        <f t="array" aca="1" ref="BV7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79" t="e" cm="1">
        <f t="array" aca="1" ref="BW7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79" s="35" t="e" cm="1">
        <f t="array" aca="1" ref="BX7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79" s="35" t="e" cm="1">
        <f t="array" aca="1" ref="BY7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79" t="e" cm="1">
        <f t="array" aca="1" ref="BZ7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79" s="35" t="e" cm="1">
        <f t="array" aca="1" ref="CA7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79" s="35" t="e" cm="1">
        <f t="array" aca="1" ref="CB7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79" t="e" cm="1">
        <f t="array" aca="1" ref="CC7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79" s="35" t="e" cm="1">
        <f t="array" aca="1" ref="CD7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79" s="35" t="e" cm="1">
        <f t="array" aca="1" ref="CE7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79" t="e" cm="1">
        <f t="array" aca="1" ref="CF7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79" s="165" cm="1">
        <f t="array" aca="1" ref="CG79"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79" s="375" cm="1">
        <f t="array" aca="1" ref="CH7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79" s="251" cm="1">
        <f t="array" aca="1" ref="CI79" ca="1">(SUMPRODUCT(Delay_emissions_table[Consumption of Diesel (kg) - Secondary Scenario],IF(Delay_emissions_table[Form of Maintenance - Secondary Scenario]="Life Extension",1,0))*INDEX(Indicators,MATCH('Additional Impact Indicators'!$A79,Materials!$D:$D,0),MATCH("diesel combustion",Materials!$1:$1,0))+SUMPRODUCT(Delay_emissions_table[Consumption of Petrol (kg) - Secondary Scenario],IF(Delay_emissions_table[Form of Maintenance - Secondary Scenario]="Life Extension",1,0))*INDEX(Indicators,MATCH('Additional Impact Indicators'!$A79,Materials!$D:$D,0),MATCH("petrol combustion",Materials!$1:$1,0))+IFERROR(SUMPRODUCT(TRANSPOSE(INDEX(elec_project_emissions,MATCH(Elec_scenario&amp;'Additional Impact Indicators'!$B79,INDEX(Electricity_projection,0,3),0)-1,0)),Delay_emissions_table[Consumption of electricity (MJ) - Secondary Scenario],IF(Delay_emissions_table[Form of Maintenance - Secondary Scenario]="Life Extension",1,0)),0))*Area_trans*time_adj_Sec</f>
        <v>0</v>
      </c>
      <c r="CJ79" s="251" cm="1">
        <f t="array" aca="1" ref="CJ79" ca="1">(SUMPRODUCT(Delay_emissions_table[Consumption of Diesel (kg) - Secondary Scenario],IF(Delay_emissions_table[Form of Maintenance - Secondary Scenario]="Replacement",1,0))*INDEX(Indicators,MATCH('Additional Impact Indicators'!$A79,Materials!$D:$D,0),MATCH("diesel combustion",Materials!$1:$1,0))+SUMPRODUCT(Delay_emissions_table[Consumption of Petrol (kg) - Secondary Scenario],IF(Delay_emissions_table[Form of Maintenance - Secondary Scenario]="Replacement",1,0))*INDEX(Indicators,MATCH('Additional Impact Indicators'!$A79,Materials!$D:$D,0),MATCH("petrol combustion",Materials!$1:$1,0))+IFERROR(SUMPRODUCT(TRANSPOSE(INDEX(elec_project_emissions,MATCH(Elec_scenario&amp;'Additional Impact Indicators'!$B79,INDEX(Electricity_projection,0,3),0)-1,0)),Delay_emissions_table[Consumption of electricity (MJ) - Secondary Scenario],IF(Delay_emissions_table[Form of Maintenance - Secondary Scenario]="Replacement",1,0)),0))*Area_trans*time_adj_Sec</f>
        <v>0</v>
      </c>
      <c r="CK79" s="252" t="e" cm="1">
        <f t="array" ref="CK7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79" s="252" t="e" cm="1">
        <f t="array" ref="CL7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79" s="253" t="e" cm="1">
        <f t="array" ref="CM7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79" s="387" t="e" cm="1">
        <f t="array" ref="CN7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79" s="51" t="e">
        <f ca="1">SUMIF(Table3[[#This Row],[Raw-Materials]:[Transport to recycling facility]],"&lt;&gt;#N/A")</f>
        <v>#DIV/0!</v>
      </c>
      <c r="CT79" t="s">
        <v>575</v>
      </c>
      <c r="CU79" t="s">
        <v>516</v>
      </c>
      <c r="CV79" t="str">
        <f t="shared" si="6"/>
        <v>A1</v>
      </c>
      <c r="CW79" t="s">
        <v>54</v>
      </c>
      <c r="CY79">
        <f>MATCH(Table611[[#This Row],[Indicator]],Material_Impacts[Look up],0)</f>
        <v>19</v>
      </c>
      <c r="CZ79" s="246" cm="1">
        <f t="array" aca="1" ref="CZ7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79" s="165" cm="1">
        <f t="array" ref="DA7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79" s="165" t="e">
        <f>Diesel_RawM_Tert*INDEX(Indicators,MATCH(Impacts_Additional[[#This Row],[Indicator]],Materials!$D:$D,0),MATCH("Diesel Combustion",Materials!$1:$1,0))*Diesel_density*Project_Area*Tert_Lays*Area_trans</f>
        <v>#DIV/0!</v>
      </c>
      <c r="DC79" s="35" t="e" cm="1">
        <f t="array" aca="1" ref="DC7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79" s="35" t="e" cm="1">
        <f t="array" aca="1" ref="DD7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79" t="e" cm="1">
        <f t="array" aca="1" ref="DE7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79" s="35" t="e" cm="1">
        <f t="array" aca="1" ref="DF7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79" s="35" t="e" cm="1">
        <f t="array" aca="1" ref="DG7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79" t="e" cm="1">
        <f t="array" aca="1" ref="DH7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79" s="35" t="e" cm="1">
        <f t="array" aca="1" ref="DI7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79" s="35" t="e" cm="1">
        <f t="array" aca="1" ref="DJ7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79" t="e" cm="1">
        <f t="array" aca="1" ref="DK7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79" s="35" t="e" cm="1">
        <f t="array" aca="1" ref="DL7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79" s="35" t="e" cm="1">
        <f t="array" aca="1" ref="DM7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79" t="e" cm="1">
        <f t="array" aca="1" ref="DN7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79" s="35" t="e" cm="1">
        <f t="array" aca="1" ref="DO7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79" s="35" t="e" cm="1">
        <f t="array" aca="1" ref="DP7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79" t="e" cm="1">
        <f t="array" aca="1" ref="DQ7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79" s="35" t="e" cm="1">
        <f t="array" aca="1" ref="DR7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79" s="35" t="e" cm="1">
        <f t="array" aca="1" ref="DS7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79" t="e" cm="1">
        <f t="array" aca="1" ref="DT7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79" s="35" t="e" cm="1">
        <f t="array" aca="1" ref="DU7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79" s="35" t="e" cm="1">
        <f t="array" aca="1" ref="DV7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79" t="e" cm="1">
        <f t="array" aca="1" ref="DW7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79" s="35" t="e" cm="1">
        <f t="array" aca="1" ref="DX7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79" s="35" t="e" cm="1">
        <f t="array" aca="1" ref="DY7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79" t="e" cm="1">
        <f t="array" aca="1" ref="DZ7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79" s="35" t="e" cm="1">
        <f t="array" aca="1" ref="EA7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79" s="35" t="e" cm="1">
        <f t="array" aca="1" ref="EB7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79" t="e" cm="1">
        <f t="array" aca="1" ref="EC7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79" s="165" cm="1">
        <f t="array" aca="1" ref="ED79"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79" s="375" cm="1">
        <f t="array" aca="1" ref="EE7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79" s="251" cm="1">
        <f t="array" aca="1" ref="EF79" ca="1">(SUMPRODUCT(Delay_emissions_table[Consumption of Diesel (kg) - Tertiary Scenario],IF(Delay_emissions_table[Form of Maintenance - Tertiary Scenario]="Life Extension",1,0))*INDEX(Indicators,MATCH('Additional Impact Indicators'!$A79,Materials!$D:$D,0),MATCH("diesel combustion",Materials!$1:$1,0))+SUMPRODUCT(Delay_emissions_table[Consumption of Petrol (kg) - Tertiary Scenario],IF(Delay_emissions_table[Form of Maintenance - Tertiary Scenario]="Life Extension",1,0))*INDEX(Indicators,MATCH('Additional Impact Indicators'!$A79,Materials!$D:$D,0),MATCH("petrol combustion",Materials!$1:$1,0))+IFERROR(SUMPRODUCT(TRANSPOSE(INDEX(elec_project_emissions,MATCH(Elec_scenario&amp;'Additional Impact Indicators'!$B79,INDEX(Electricity_projection,0,3),0)-1,0)),Delay_emissions_table[Consumption of electricity (MJ) - Tertiary Scenario],IF(Delay_emissions_table[Form of Maintenance - Tertiary Scenario]="Life Extension",1,0)),0))*Area_trans*Time_adj_Tert</f>
        <v>0</v>
      </c>
      <c r="EG79" s="251" cm="1">
        <f t="array" aca="1" ref="EG79" ca="1">(SUMPRODUCT(Delay_emissions_table[Consumption of Diesel (kg) - Tertiary Scenario],IF(Delay_emissions_table[Form of Maintenance - Tertiary Scenario]="Replacement",1,0))*INDEX(Indicators,MATCH('Additional Impact Indicators'!$A79,Materials!$D:$D,0),MATCH("diesel combustion",Materials!$1:$1,0))+SUMPRODUCT(Delay_emissions_table[Consumption of Petrol (kg) - Tertiary Scenario],IF(Delay_emissions_table[Form of Maintenance - Tertiary Scenario]="Replacement",1,0))*INDEX(Indicators,MATCH('Additional Impact Indicators'!$A79,Materials!$D:$D,0),MATCH("petrol combustion",Materials!$1:$1,0))+IFERROR(SUMPRODUCT(TRANSPOSE(INDEX(elec_project_emissions,MATCH(Elec_scenario&amp;'Additional Impact Indicators'!$B79,INDEX(Electricity_projection,0,3),0)-1,0)),Delay_emissions_table[Consumption of electricity (MJ) - Tertiary Scenario],IF(Delay_emissions_table[Form of Maintenance - Tertiary Scenario]="Replacement",1,0)),0))*Area_trans*Time_adj_Tert</f>
        <v>0</v>
      </c>
      <c r="EH79" s="252" t="e" cm="1">
        <f t="array" ref="EH7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79" s="252" t="e" cm="1">
        <f t="array" ref="EI7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79" s="253" t="e" cm="1">
        <f t="array" ref="EJ7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79" s="253" t="e" cm="1">
        <f t="array" ref="EK7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79" t="e">
        <f ca="1">SUMIF(Table611[[#This Row],[Raw-Materials]:[Transport to recycling facility]],"&lt;&gt;#N/A")</f>
        <v>#DIV/0!</v>
      </c>
    </row>
    <row r="80" spans="1:142" x14ac:dyDescent="0.35">
      <c r="A80" t="s">
        <v>576</v>
      </c>
      <c r="B80" t="s">
        <v>518</v>
      </c>
      <c r="C80" t="str">
        <f t="shared" si="5"/>
        <v>A1</v>
      </c>
      <c r="D80" t="s">
        <v>54</v>
      </c>
      <c r="F80">
        <f>MATCH(Impacts_Additional[[#This Row],[Indicator]],Material_Impacts[Look up],0)</f>
        <v>20</v>
      </c>
      <c r="G80" s="246" cm="1">
        <f t="array" aca="1" ref="G8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0" s="166" cm="1">
        <f t="array" ref="H8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0" s="166" t="e">
        <f>Diesel_RawM_Prim*INDEX(Indicators,MATCH(Impacts_Additional[[#This Row],[Indicator]],Materials!$D:$D,0),MATCH("Diesel Combustion",Materials!$1:$1,0))*Diesel_density*Project_Area*Prim_Lays*Area_trans</f>
        <v>#DIV/0!</v>
      </c>
      <c r="J80" s="20" t="e" cm="1">
        <f t="array" aca="1" ref="J8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0" s="20" t="e" cm="1">
        <f t="array" aca="1" ref="K8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0" s="20" t="e" cm="1">
        <f t="array" aca="1" ref="L8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0" s="20" t="e" cm="1">
        <f t="array" aca="1" ref="M8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0" s="20" t="e" cm="1">
        <f t="array" aca="1" ref="N8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0" s="20" t="e" cm="1">
        <f t="array" aca="1" ref="O8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0" s="20" t="e" cm="1">
        <f t="array" aca="1" ref="P8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0" s="20" t="e" cm="1">
        <f t="array" aca="1" ref="Q8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0" s="20" t="e" cm="1">
        <f t="array" aca="1" ref="R8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0" s="20" t="e" cm="1">
        <f t="array" aca="1" ref="S8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0" s="20" t="e" cm="1">
        <f t="array" aca="1" ref="T8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0" s="20" t="e" cm="1">
        <f t="array" aca="1" ref="U8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0" s="20" t="e" cm="1">
        <f t="array" aca="1" ref="V8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0" s="20" t="e" cm="1">
        <f t="array" aca="1" ref="W8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0" s="20" t="e" cm="1">
        <f t="array" aca="1" ref="X8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0" s="20" t="e" cm="1">
        <f t="array" aca="1" ref="Y8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0" s="20" t="e" cm="1">
        <f t="array" aca="1" ref="Z8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0" s="20" t="e" cm="1">
        <f t="array" aca="1" ref="AA8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0" s="20" t="e" cm="1">
        <f t="array" aca="1" ref="AB8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0" s="20" t="e" cm="1">
        <f t="array" aca="1" ref="AC8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0" s="20" t="e" cm="1">
        <f t="array" aca="1" ref="AD8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0" s="20" t="e" cm="1">
        <f t="array" aca="1" ref="AE8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0" s="20" t="e" cm="1">
        <f t="array" aca="1" ref="AF8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0" s="20" t="e" cm="1">
        <f t="array" aca="1" ref="AG8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0" s="20" t="e" cm="1">
        <f t="array" aca="1" ref="AH8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0" s="20" t="e" cm="1">
        <f t="array" aca="1" ref="AI8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0" s="20" t="e" cm="1">
        <f t="array" aca="1" ref="AJ8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0" s="166" cm="1">
        <f t="array" aca="1" ref="AK80"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0" s="1" cm="1">
        <f t="array" aca="1" ref="AL8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0" s="247" cm="1">
        <f t="array" aca="1" ref="AM80" ca="1">(SUMPRODUCT(Delay_emissions_table[Consumption of Diesel (kg) - Primary Scenario],IF(Delay_emissions_table[Form of Maintenance - Primary Scenario]="Life Extension",1,0))*INDEX(Indicators,MATCH('Additional Impact Indicators'!$A80,Materials!$D:$D,0),MATCH("diesel combustion",Materials!$1:$1,0))+SUMPRODUCT(Delay_emissions_table[Consumption of Petrol (kg) - Primary Scenario],IF(Delay_emissions_table[Form of Maintenance - Primary Scenario]="Life Extension",1,0))*INDEX(Indicators,MATCH('Additional Impact Indicators'!$A80,Materials!$D:$D,0),MATCH("petrol combustion",Materials!$1:$1,0))+IFERROR(SUMPRODUCT(TRANSPOSE(INDEX(elec_project_emissions,MATCH(Elec_scenario&amp;'Additional Impact Indicators'!$B80,INDEX(Electricity_projection,0,3),0)-1,0)),Delay_emissions_table[Consumption of electricity (MJ) - Primary Scenario],IF(Delay_emissions_table[Form of Maintenance - Primary Scenario]="Life Extension",1,0)),0))*Area_trans*Time_adj_Prim</f>
        <v>0</v>
      </c>
      <c r="AN80" s="247" cm="1">
        <f t="array" aca="1" ref="AN80" ca="1">(SUMPRODUCT(Delay_emissions_table[Consumption of Diesel (kg) - Primary Scenario],IF(Delay_emissions_table[Form of Maintenance - Primary Scenario]="Replacement",1,0))*INDEX(Indicators,MATCH('Additional Impact Indicators'!$A80,Materials!$D:$D,0),MATCH("diesel combustion",Materials!$1:$1,0))+SUMPRODUCT(Delay_emissions_table[Consumption of Petrol (kg) - Primary Scenario],IF(Delay_emissions_table[Form of Maintenance - Primary Scenario]="Replacement",1,0))*INDEX(Indicators,MATCH('Additional Impact Indicators'!$A80,Materials!$D:$D,0),MATCH("petrol combustion",Materials!$1:$1,0))+IFERROR(SUMPRODUCT(TRANSPOSE(INDEX(elec_project_emissions,MATCH(Elec_scenario&amp;'Additional Impact Indicators'!$B80,INDEX(Electricity_projection,0,3),0)-1,0)),Delay_emissions_table[Consumption of electricity (MJ) - Primary Scenario],IF(Delay_emissions_table[Form of Maintenance - Primary Scenario]="Replacement",1,0)),0))*Area_trans*Time_adj_Prim</f>
        <v>0</v>
      </c>
      <c r="AO80" s="248" t="e" cm="1">
        <f t="array" ref="AO8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0" s="248" t="e" cm="1">
        <f t="array" ref="AP8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0" s="249" t="e" cm="1">
        <f t="array" ref="AQ8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0" s="386" t="e" cm="1">
        <f t="array" ref="AR8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0" t="e">
        <f ca="1">SUMIF('Additional Impact Indicators'!$G80:$AQ80,"&lt;&gt;#N/A")</f>
        <v>#DIV/0!</v>
      </c>
      <c r="AW80" t="s">
        <v>576</v>
      </c>
      <c r="AX80" t="s">
        <v>518</v>
      </c>
      <c r="AY80" t="str">
        <f t="shared" si="4"/>
        <v>A1</v>
      </c>
      <c r="AZ80" t="s">
        <v>54</v>
      </c>
      <c r="BB80">
        <f>MATCH(Table3[[#This Row],[Indicator]],Material_Impacts[Look up],0)</f>
        <v>20</v>
      </c>
      <c r="BC80" s="246" cm="1">
        <f t="array" aca="1" ref="BC8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0" s="166" cm="1">
        <f t="array" ref="BD8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0" s="166" t="e">
        <f>Diesel_RawM_Sec*INDEX(Indicators,MATCH(Impacts_Additional[[#This Row],[Indicator]],Materials!$D:$D,0),MATCH("Diesel Combustion",Materials!$1:$1,0))*Diesel_density*Project_Area*Sec_Lays*Area_trans</f>
        <v>#DIV/0!</v>
      </c>
      <c r="BF80" s="35" t="e" cm="1">
        <f t="array" aca="1" ref="BF8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0" s="35" t="e" cm="1">
        <f t="array" aca="1" ref="BG8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0" t="e" cm="1">
        <f t="array" aca="1" ref="BH8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0" s="35" t="e" cm="1">
        <f t="array" aca="1" ref="BI8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0" s="35" t="e" cm="1">
        <f t="array" aca="1" ref="BJ8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0" t="e" cm="1">
        <f t="array" aca="1" ref="BK8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0" s="35" t="e" cm="1">
        <f t="array" aca="1" ref="BL8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0" s="35" t="e" cm="1">
        <f t="array" aca="1" ref="BM8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0" t="e" cm="1">
        <f t="array" aca="1" ref="BN8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0" s="35" t="e" cm="1">
        <f t="array" aca="1" ref="BO8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0" s="35" t="e" cm="1">
        <f t="array" aca="1" ref="BP8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0" t="e" cm="1">
        <f t="array" aca="1" ref="BQ8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0" s="35" t="e" cm="1">
        <f t="array" aca="1" ref="BR8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0" s="35" t="e" cm="1">
        <f t="array" aca="1" ref="BS8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0" t="e" cm="1">
        <f t="array" aca="1" ref="BT8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0" s="35" t="e" cm="1">
        <f t="array" aca="1" ref="BU8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0" s="35" t="e" cm="1">
        <f t="array" aca="1" ref="BV8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0" t="e" cm="1">
        <f t="array" aca="1" ref="BW8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0" s="35" t="e" cm="1">
        <f t="array" aca="1" ref="BX8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0" s="35" t="e" cm="1">
        <f t="array" aca="1" ref="BY8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0" t="e" cm="1">
        <f t="array" aca="1" ref="BZ8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0" s="35" t="e" cm="1">
        <f t="array" aca="1" ref="CA8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0" s="35" t="e" cm="1">
        <f t="array" aca="1" ref="CB8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0" t="e" cm="1">
        <f t="array" aca="1" ref="CC8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0" s="35" t="e" cm="1">
        <f t="array" aca="1" ref="CD8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0" s="35" t="e" cm="1">
        <f t="array" aca="1" ref="CE8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0" t="e" cm="1">
        <f t="array" aca="1" ref="CF8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0" s="166" cm="1">
        <f t="array" aca="1" ref="CG80"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0" s="375" cm="1">
        <f t="array" aca="1" ref="CH8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0" s="247" cm="1">
        <f t="array" aca="1" ref="CI80" ca="1">(SUMPRODUCT(Delay_emissions_table[Consumption of Diesel (kg) - Secondary Scenario],IF(Delay_emissions_table[Form of Maintenance - Secondary Scenario]="Life Extension",1,0))*INDEX(Indicators,MATCH('Additional Impact Indicators'!$A80,Materials!$D:$D,0),MATCH("diesel combustion",Materials!$1:$1,0))+SUMPRODUCT(Delay_emissions_table[Consumption of Petrol (kg) - Secondary Scenario],IF(Delay_emissions_table[Form of Maintenance - Secondary Scenario]="Life Extension",1,0))*INDEX(Indicators,MATCH('Additional Impact Indicators'!$A80,Materials!$D:$D,0),MATCH("petrol combustion",Materials!$1:$1,0))+IFERROR(SUMPRODUCT(TRANSPOSE(INDEX(elec_project_emissions,MATCH(Elec_scenario&amp;'Additional Impact Indicators'!$B80,INDEX(Electricity_projection,0,3),0)-1,0)),Delay_emissions_table[Consumption of electricity (MJ) - Secondary Scenario],IF(Delay_emissions_table[Form of Maintenance - Secondary Scenario]="Life Extension",1,0)),0))*Area_trans*time_adj_Sec</f>
        <v>0</v>
      </c>
      <c r="CJ80" s="247" cm="1">
        <f t="array" aca="1" ref="CJ80" ca="1">(SUMPRODUCT(Delay_emissions_table[Consumption of Diesel (kg) - Secondary Scenario],IF(Delay_emissions_table[Form of Maintenance - Secondary Scenario]="Replacement",1,0))*INDEX(Indicators,MATCH('Additional Impact Indicators'!$A80,Materials!$D:$D,0),MATCH("diesel combustion",Materials!$1:$1,0))+SUMPRODUCT(Delay_emissions_table[Consumption of Petrol (kg) - Secondary Scenario],IF(Delay_emissions_table[Form of Maintenance - Secondary Scenario]="Replacement",1,0))*INDEX(Indicators,MATCH('Additional Impact Indicators'!$A80,Materials!$D:$D,0),MATCH("petrol combustion",Materials!$1:$1,0))+IFERROR(SUMPRODUCT(TRANSPOSE(INDEX(elec_project_emissions,MATCH(Elec_scenario&amp;'Additional Impact Indicators'!$B80,INDEX(Electricity_projection,0,3),0)-1,0)),Delay_emissions_table[Consumption of electricity (MJ) - Secondary Scenario],IF(Delay_emissions_table[Form of Maintenance - Secondary Scenario]="Replacement",1,0)),0))*Area_trans*time_adj_Sec</f>
        <v>0</v>
      </c>
      <c r="CK80" s="248" t="e" cm="1">
        <f t="array" ref="CK8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0" s="248" t="e" cm="1">
        <f t="array" ref="CL8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0" s="249" t="e" cm="1">
        <f t="array" ref="CM8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0" s="387" t="e" cm="1">
        <f t="array" ref="CN8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0" s="51" t="e">
        <f ca="1">SUMIF(Table3[[#This Row],[Raw-Materials]:[Transport to recycling facility]],"&lt;&gt;#N/A")</f>
        <v>#DIV/0!</v>
      </c>
      <c r="CT80" t="s">
        <v>576</v>
      </c>
      <c r="CU80" t="s">
        <v>518</v>
      </c>
      <c r="CV80" t="str">
        <f t="shared" si="6"/>
        <v>A1</v>
      </c>
      <c r="CW80" t="s">
        <v>54</v>
      </c>
      <c r="CY80">
        <f>MATCH(Table611[[#This Row],[Indicator]],Material_Impacts[Look up],0)</f>
        <v>20</v>
      </c>
      <c r="CZ80" s="246" cm="1">
        <f t="array" aca="1" ref="CZ8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0" s="166" cm="1">
        <f t="array" ref="DA8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0" s="166" t="e">
        <f>Diesel_RawM_Tert*INDEX(Indicators,MATCH(Impacts_Additional[[#This Row],[Indicator]],Materials!$D:$D,0),MATCH("Diesel Combustion",Materials!$1:$1,0))*Diesel_density*Project_Area*Tert_Lays*Area_trans</f>
        <v>#DIV/0!</v>
      </c>
      <c r="DC80" s="35" t="e" cm="1">
        <f t="array" aca="1" ref="DC8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0" s="35" t="e" cm="1">
        <f t="array" aca="1" ref="DD8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0" t="e" cm="1">
        <f t="array" aca="1" ref="DE8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0" s="35" t="e" cm="1">
        <f t="array" aca="1" ref="DF8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0" s="35" t="e" cm="1">
        <f t="array" aca="1" ref="DG8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0" t="e" cm="1">
        <f t="array" aca="1" ref="DH8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0" s="35" t="e" cm="1">
        <f t="array" aca="1" ref="DI8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0" s="35" t="e" cm="1">
        <f t="array" aca="1" ref="DJ8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0" t="e" cm="1">
        <f t="array" aca="1" ref="DK8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0" s="35" t="e" cm="1">
        <f t="array" aca="1" ref="DL8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0" s="35" t="e" cm="1">
        <f t="array" aca="1" ref="DM8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0" t="e" cm="1">
        <f t="array" aca="1" ref="DN8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0" s="35" t="e" cm="1">
        <f t="array" aca="1" ref="DO8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0" s="35" t="e" cm="1">
        <f t="array" aca="1" ref="DP8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0" t="e" cm="1">
        <f t="array" aca="1" ref="DQ8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0" s="35" t="e" cm="1">
        <f t="array" aca="1" ref="DR8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0" s="35" t="e" cm="1">
        <f t="array" aca="1" ref="DS8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0" t="e" cm="1">
        <f t="array" aca="1" ref="DT8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0" s="35" t="e" cm="1">
        <f t="array" aca="1" ref="DU8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0" s="35" t="e" cm="1">
        <f t="array" aca="1" ref="DV8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0" t="e" cm="1">
        <f t="array" aca="1" ref="DW8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0" s="35" t="e" cm="1">
        <f t="array" aca="1" ref="DX8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0" s="35" t="e" cm="1">
        <f t="array" aca="1" ref="DY8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0" t="e" cm="1">
        <f t="array" aca="1" ref="DZ8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0" s="35" t="e" cm="1">
        <f t="array" aca="1" ref="EA8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0" s="35" t="e" cm="1">
        <f t="array" aca="1" ref="EB8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0" t="e" cm="1">
        <f t="array" aca="1" ref="EC8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0" s="166" cm="1">
        <f t="array" aca="1" ref="ED80"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0" s="375" cm="1">
        <f t="array" aca="1" ref="EE8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0" s="247" cm="1">
        <f t="array" aca="1" ref="EF80" ca="1">(SUMPRODUCT(Delay_emissions_table[Consumption of Diesel (kg) - Tertiary Scenario],IF(Delay_emissions_table[Form of Maintenance - Tertiary Scenario]="Life Extension",1,0))*INDEX(Indicators,MATCH('Additional Impact Indicators'!$A80,Materials!$D:$D,0),MATCH("diesel combustion",Materials!$1:$1,0))+SUMPRODUCT(Delay_emissions_table[Consumption of Petrol (kg) - Tertiary Scenario],IF(Delay_emissions_table[Form of Maintenance - Tertiary Scenario]="Life Extension",1,0))*INDEX(Indicators,MATCH('Additional Impact Indicators'!$A80,Materials!$D:$D,0),MATCH("petrol combustion",Materials!$1:$1,0))+IFERROR(SUMPRODUCT(TRANSPOSE(INDEX(elec_project_emissions,MATCH(Elec_scenario&amp;'Additional Impact Indicators'!$B80,INDEX(Electricity_projection,0,3),0)-1,0)),Delay_emissions_table[Consumption of electricity (MJ) - Tertiary Scenario],IF(Delay_emissions_table[Form of Maintenance - Tertiary Scenario]="Life Extension",1,0)),0))*Area_trans*Time_adj_Tert</f>
        <v>0</v>
      </c>
      <c r="EG80" s="247" cm="1">
        <f t="array" aca="1" ref="EG80" ca="1">(SUMPRODUCT(Delay_emissions_table[Consumption of Diesel (kg) - Tertiary Scenario],IF(Delay_emissions_table[Form of Maintenance - Tertiary Scenario]="Replacement",1,0))*INDEX(Indicators,MATCH('Additional Impact Indicators'!$A80,Materials!$D:$D,0),MATCH("diesel combustion",Materials!$1:$1,0))+SUMPRODUCT(Delay_emissions_table[Consumption of Petrol (kg) - Tertiary Scenario],IF(Delay_emissions_table[Form of Maintenance - Tertiary Scenario]="Replacement",1,0))*INDEX(Indicators,MATCH('Additional Impact Indicators'!$A80,Materials!$D:$D,0),MATCH("petrol combustion",Materials!$1:$1,0))+IFERROR(SUMPRODUCT(TRANSPOSE(INDEX(elec_project_emissions,MATCH(Elec_scenario&amp;'Additional Impact Indicators'!$B80,INDEX(Electricity_projection,0,3),0)-1,0)),Delay_emissions_table[Consumption of electricity (MJ) - Tertiary Scenario],IF(Delay_emissions_table[Form of Maintenance - Tertiary Scenario]="Replacement",1,0)),0))*Area_trans*Time_adj_Tert</f>
        <v>0</v>
      </c>
      <c r="EH80" s="248" t="e" cm="1">
        <f t="array" ref="EH8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0" s="248" t="e" cm="1">
        <f t="array" ref="EI8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0" s="249" t="e" cm="1">
        <f t="array" ref="EJ8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0" s="249" t="e" cm="1">
        <f t="array" ref="EK8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0" t="e">
        <f ca="1">SUMIF(Table611[[#This Row],[Raw-Materials]:[Transport to recycling facility]],"&lt;&gt;#N/A")</f>
        <v>#DIV/0!</v>
      </c>
    </row>
    <row r="81" spans="1:142" x14ac:dyDescent="0.35">
      <c r="A81" s="155" t="s">
        <v>577</v>
      </c>
      <c r="B81" s="155" t="s">
        <v>379</v>
      </c>
      <c r="C81" s="155" t="str">
        <f t="shared" si="5"/>
        <v>A2</v>
      </c>
      <c r="D81" s="155" t="s">
        <v>54</v>
      </c>
      <c r="E81" s="155"/>
      <c r="F81">
        <f>MATCH(Impacts_Additional[[#This Row],[Indicator]],Material_Impacts[Look up],0)</f>
        <v>21</v>
      </c>
      <c r="G81" s="246" cm="1">
        <f t="array" aca="1" ref="G8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1" s="165" cm="1">
        <f t="array" ref="H8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1" s="165" t="e">
        <f>Diesel_RawM_Prim*INDEX(Indicators,MATCH(Impacts_Additional[[#This Row],[Indicator]],Materials!$D:$D,0),MATCH("Diesel Combustion",Materials!$1:$1,0))*Diesel_density*Project_Area*Prim_Lays*Area_trans</f>
        <v>#DIV/0!</v>
      </c>
      <c r="J81" s="250" t="e" cm="1">
        <f t="array" aca="1" ref="J8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1" s="250" t="e" cm="1">
        <f t="array" aca="1" ref="K8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1" s="250" t="e" cm="1">
        <f t="array" aca="1" ref="L8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1" s="250" t="e" cm="1">
        <f t="array" aca="1" ref="M8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1" s="250" t="e" cm="1">
        <f t="array" aca="1" ref="N8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1" s="250" t="e" cm="1">
        <f t="array" aca="1" ref="O8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1" s="250" t="e" cm="1">
        <f t="array" aca="1" ref="P8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1" s="250" t="e" cm="1">
        <f t="array" aca="1" ref="Q8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1" s="250" t="e" cm="1">
        <f t="array" aca="1" ref="R8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1" s="250" t="e" cm="1">
        <f t="array" aca="1" ref="S8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1" s="250" t="e" cm="1">
        <f t="array" aca="1" ref="T8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1" s="250" t="e" cm="1">
        <f t="array" aca="1" ref="U8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1" s="250" t="e" cm="1">
        <f t="array" aca="1" ref="V8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1" s="250" t="e" cm="1">
        <f t="array" aca="1" ref="W8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1" s="250" t="e" cm="1">
        <f t="array" aca="1" ref="X8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1" s="250" t="e" cm="1">
        <f t="array" aca="1" ref="Y8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1" s="250" t="e" cm="1">
        <f t="array" aca="1" ref="Z8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1" s="250" t="e" cm="1">
        <f t="array" aca="1" ref="AA8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1" s="250" t="e" cm="1">
        <f t="array" aca="1" ref="AB8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1" s="250" t="e" cm="1">
        <f t="array" aca="1" ref="AC8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1" s="250" t="e" cm="1">
        <f t="array" aca="1" ref="AD8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1" s="250" t="e" cm="1">
        <f t="array" aca="1" ref="AE8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1" s="250" t="e" cm="1">
        <f t="array" aca="1" ref="AF8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1" s="250" t="e" cm="1">
        <f t="array" aca="1" ref="AG8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1" s="250" t="e" cm="1">
        <f t="array" aca="1" ref="AH8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1" s="250" t="e" cm="1">
        <f t="array" aca="1" ref="AI8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1" s="250" t="e" cm="1">
        <f t="array" aca="1" ref="AJ8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1" s="165" cm="1">
        <f t="array" aca="1" ref="AK81"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1" s="254" cm="1">
        <f t="array" aca="1" ref="AL8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1" s="251" cm="1">
        <f t="array" aca="1" ref="AM81" ca="1">(SUMPRODUCT(Delay_emissions_table[Consumption of Diesel (kg) - Primary Scenario],IF(Delay_emissions_table[Form of Maintenance - Primary Scenario]="Life Extension",1,0))*INDEX(Indicators,MATCH('Additional Impact Indicators'!$A81,Materials!$D:$D,0),MATCH("diesel combustion",Materials!$1:$1,0))+SUMPRODUCT(Delay_emissions_table[Consumption of Petrol (kg) - Primary Scenario],IF(Delay_emissions_table[Form of Maintenance - Primary Scenario]="Life Extension",1,0))*INDEX(Indicators,MATCH('Additional Impact Indicators'!$A81,Materials!$D:$D,0),MATCH("petrol combustion",Materials!$1:$1,0))+IFERROR(SUMPRODUCT(TRANSPOSE(INDEX(elec_project_emissions,MATCH(Elec_scenario&amp;'Additional Impact Indicators'!$B81,INDEX(Electricity_projection,0,3),0)-1,0)),Delay_emissions_table[Consumption of electricity (MJ) - Primary Scenario],IF(Delay_emissions_table[Form of Maintenance - Primary Scenario]="Life Extension",1,0)),0))*Area_trans*Time_adj_Prim</f>
        <v>0</v>
      </c>
      <c r="AN81" s="251" cm="1">
        <f t="array" aca="1" ref="AN81" ca="1">(SUMPRODUCT(Delay_emissions_table[Consumption of Diesel (kg) - Primary Scenario],IF(Delay_emissions_table[Form of Maintenance - Primary Scenario]="Replacement",1,0))*INDEX(Indicators,MATCH('Additional Impact Indicators'!$A81,Materials!$D:$D,0),MATCH("diesel combustion",Materials!$1:$1,0))+SUMPRODUCT(Delay_emissions_table[Consumption of Petrol (kg) - Primary Scenario],IF(Delay_emissions_table[Form of Maintenance - Primary Scenario]="Replacement",1,0))*INDEX(Indicators,MATCH('Additional Impact Indicators'!$A81,Materials!$D:$D,0),MATCH("petrol combustion",Materials!$1:$1,0))+IFERROR(SUMPRODUCT(TRANSPOSE(INDEX(elec_project_emissions,MATCH(Elec_scenario&amp;'Additional Impact Indicators'!$B81,INDEX(Electricity_projection,0,3),0)-1,0)),Delay_emissions_table[Consumption of electricity (MJ) - Primary Scenario],IF(Delay_emissions_table[Form of Maintenance - Primary Scenario]="Replacement",1,0)),0))*Area_trans*Time_adj_Prim</f>
        <v>0</v>
      </c>
      <c r="AO81" s="252" t="e" cm="1">
        <f t="array" ref="AO8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1" s="252" t="e" cm="1">
        <f t="array" ref="AP8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1" s="253" t="e" cm="1">
        <f t="array" ref="AQ8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1" s="385" t="e" cm="1">
        <f t="array" ref="AR8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1" t="e">
        <f ca="1">SUMIF('Additional Impact Indicators'!$G81:$AQ81,"&lt;&gt;#N/A")</f>
        <v>#DIV/0!</v>
      </c>
      <c r="AW81" s="155" t="s">
        <v>577</v>
      </c>
      <c r="AX81" s="155" t="s">
        <v>379</v>
      </c>
      <c r="AY81" t="str">
        <f t="shared" si="4"/>
        <v>A2</v>
      </c>
      <c r="AZ81" s="155" t="s">
        <v>54</v>
      </c>
      <c r="BB81">
        <f>MATCH(Table3[[#This Row],[Indicator]],Material_Impacts[Look up],0)</f>
        <v>21</v>
      </c>
      <c r="BC81" s="246" cm="1">
        <f t="array" aca="1" ref="BC8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1" s="165" cm="1">
        <f t="array" ref="BD8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1" s="165" t="e">
        <f>Diesel_RawM_Sec*INDEX(Indicators,MATCH(Impacts_Additional[[#This Row],[Indicator]],Materials!$D:$D,0),MATCH("Diesel Combustion",Materials!$1:$1,0))*Diesel_density*Project_Area*Sec_Lays*Area_trans</f>
        <v>#DIV/0!</v>
      </c>
      <c r="BF81" s="35" t="e" cm="1">
        <f t="array" aca="1" ref="BF8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1" s="35" t="e" cm="1">
        <f t="array" aca="1" ref="BG8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1" t="e" cm="1">
        <f t="array" aca="1" ref="BH8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1" s="35" t="e" cm="1">
        <f t="array" aca="1" ref="BI8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1" s="35" t="e" cm="1">
        <f t="array" aca="1" ref="BJ8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1" t="e" cm="1">
        <f t="array" aca="1" ref="BK8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1" s="35" t="e" cm="1">
        <f t="array" aca="1" ref="BL8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1" s="35" t="e" cm="1">
        <f t="array" aca="1" ref="BM8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1" t="e" cm="1">
        <f t="array" aca="1" ref="BN8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1" s="35" t="e" cm="1">
        <f t="array" aca="1" ref="BO8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1" s="35" t="e" cm="1">
        <f t="array" aca="1" ref="BP8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1" t="e" cm="1">
        <f t="array" aca="1" ref="BQ8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1" s="35" t="e" cm="1">
        <f t="array" aca="1" ref="BR8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1" s="35" t="e" cm="1">
        <f t="array" aca="1" ref="BS8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1" t="e" cm="1">
        <f t="array" aca="1" ref="BT8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1" s="35" t="e" cm="1">
        <f t="array" aca="1" ref="BU8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1" s="35" t="e" cm="1">
        <f t="array" aca="1" ref="BV8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1" t="e" cm="1">
        <f t="array" aca="1" ref="BW8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1" s="35" t="e" cm="1">
        <f t="array" aca="1" ref="BX8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1" s="35" t="e" cm="1">
        <f t="array" aca="1" ref="BY8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1" t="e" cm="1">
        <f t="array" aca="1" ref="BZ8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1" s="35" t="e" cm="1">
        <f t="array" aca="1" ref="CA8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1" s="35" t="e" cm="1">
        <f t="array" aca="1" ref="CB8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1" t="e" cm="1">
        <f t="array" aca="1" ref="CC8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1" s="35" t="e" cm="1">
        <f t="array" aca="1" ref="CD8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1" s="35" t="e" cm="1">
        <f t="array" aca="1" ref="CE8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1" t="e" cm="1">
        <f t="array" aca="1" ref="CF8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1" s="165" cm="1">
        <f t="array" aca="1" ref="CG81"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1" s="375" cm="1">
        <f t="array" aca="1" ref="CH8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1" s="251" cm="1">
        <f t="array" aca="1" ref="CI81" ca="1">(SUMPRODUCT(Delay_emissions_table[Consumption of Diesel (kg) - Secondary Scenario],IF(Delay_emissions_table[Form of Maintenance - Secondary Scenario]="Life Extension",1,0))*INDEX(Indicators,MATCH('Additional Impact Indicators'!$A81,Materials!$D:$D,0),MATCH("diesel combustion",Materials!$1:$1,0))+SUMPRODUCT(Delay_emissions_table[Consumption of Petrol (kg) - Secondary Scenario],IF(Delay_emissions_table[Form of Maintenance - Secondary Scenario]="Life Extension",1,0))*INDEX(Indicators,MATCH('Additional Impact Indicators'!$A81,Materials!$D:$D,0),MATCH("petrol combustion",Materials!$1:$1,0))+IFERROR(SUMPRODUCT(TRANSPOSE(INDEX(elec_project_emissions,MATCH(Elec_scenario&amp;'Additional Impact Indicators'!$B81,INDEX(Electricity_projection,0,3),0)-1,0)),Delay_emissions_table[Consumption of electricity (MJ) - Secondary Scenario],IF(Delay_emissions_table[Form of Maintenance - Secondary Scenario]="Life Extension",1,0)),0))*Area_trans*time_adj_Sec</f>
        <v>0</v>
      </c>
      <c r="CJ81" s="251" cm="1">
        <f t="array" aca="1" ref="CJ81" ca="1">(SUMPRODUCT(Delay_emissions_table[Consumption of Diesel (kg) - Secondary Scenario],IF(Delay_emissions_table[Form of Maintenance - Secondary Scenario]="Replacement",1,0))*INDEX(Indicators,MATCH('Additional Impact Indicators'!$A81,Materials!$D:$D,0),MATCH("diesel combustion",Materials!$1:$1,0))+SUMPRODUCT(Delay_emissions_table[Consumption of Petrol (kg) - Secondary Scenario],IF(Delay_emissions_table[Form of Maintenance - Secondary Scenario]="Replacement",1,0))*INDEX(Indicators,MATCH('Additional Impact Indicators'!$A81,Materials!$D:$D,0),MATCH("petrol combustion",Materials!$1:$1,0))+IFERROR(SUMPRODUCT(TRANSPOSE(INDEX(elec_project_emissions,MATCH(Elec_scenario&amp;'Additional Impact Indicators'!$B81,INDEX(Electricity_projection,0,3),0)-1,0)),Delay_emissions_table[Consumption of electricity (MJ) - Secondary Scenario],IF(Delay_emissions_table[Form of Maintenance - Secondary Scenario]="Replacement",1,0)),0))*Area_trans*time_adj_Sec</f>
        <v>0</v>
      </c>
      <c r="CK81" s="252" t="e" cm="1">
        <f t="array" ref="CK8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1" s="252" t="e" cm="1">
        <f t="array" ref="CL8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1" s="253" t="e" cm="1">
        <f t="array" ref="CM8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1" s="387" t="e" cm="1">
        <f t="array" ref="CN8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1" s="51" t="e">
        <f ca="1">SUMIF(Table3[[#This Row],[Raw-Materials]:[Transport to recycling facility]],"&lt;&gt;#N/A")</f>
        <v>#DIV/0!</v>
      </c>
      <c r="CT81" t="s">
        <v>577</v>
      </c>
      <c r="CU81" t="s">
        <v>379</v>
      </c>
      <c r="CV81" t="str">
        <f t="shared" si="6"/>
        <v>A2</v>
      </c>
      <c r="CW81" t="s">
        <v>54</v>
      </c>
      <c r="CY81">
        <f>MATCH(Table611[[#This Row],[Indicator]],Material_Impacts[Look up],0)</f>
        <v>21</v>
      </c>
      <c r="CZ81" s="246" cm="1">
        <f t="array" aca="1" ref="CZ8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1" s="165" cm="1">
        <f t="array" ref="DA8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1" s="165" t="e">
        <f>Diesel_RawM_Tert*INDEX(Indicators,MATCH(Impacts_Additional[[#This Row],[Indicator]],Materials!$D:$D,0),MATCH("Diesel Combustion",Materials!$1:$1,0))*Diesel_density*Project_Area*Tert_Lays*Area_trans</f>
        <v>#DIV/0!</v>
      </c>
      <c r="DC81" s="35" t="e" cm="1">
        <f t="array" aca="1" ref="DC8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1" s="35" t="e" cm="1">
        <f t="array" aca="1" ref="DD8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1" t="e" cm="1">
        <f t="array" aca="1" ref="DE8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1" s="35" t="e" cm="1">
        <f t="array" aca="1" ref="DF8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1" s="35" t="e" cm="1">
        <f t="array" aca="1" ref="DG8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1" t="e" cm="1">
        <f t="array" aca="1" ref="DH8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1" s="35" t="e" cm="1">
        <f t="array" aca="1" ref="DI8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1" s="35" t="e" cm="1">
        <f t="array" aca="1" ref="DJ8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1" t="e" cm="1">
        <f t="array" aca="1" ref="DK8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1" s="35" t="e" cm="1">
        <f t="array" aca="1" ref="DL8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1" s="35" t="e" cm="1">
        <f t="array" aca="1" ref="DM8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1" t="e" cm="1">
        <f t="array" aca="1" ref="DN8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1" s="35" t="e" cm="1">
        <f t="array" aca="1" ref="DO8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1" s="35" t="e" cm="1">
        <f t="array" aca="1" ref="DP8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1" t="e" cm="1">
        <f t="array" aca="1" ref="DQ8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1" s="35" t="e" cm="1">
        <f t="array" aca="1" ref="DR8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1" s="35" t="e" cm="1">
        <f t="array" aca="1" ref="DS8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1" t="e" cm="1">
        <f t="array" aca="1" ref="DT8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1" s="35" t="e" cm="1">
        <f t="array" aca="1" ref="DU8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1" s="35" t="e" cm="1">
        <f t="array" aca="1" ref="DV8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1" t="e" cm="1">
        <f t="array" aca="1" ref="DW8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1" s="35" t="e" cm="1">
        <f t="array" aca="1" ref="DX8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1" s="35" t="e" cm="1">
        <f t="array" aca="1" ref="DY8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1" t="e" cm="1">
        <f t="array" aca="1" ref="DZ8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1" s="35" t="e" cm="1">
        <f t="array" aca="1" ref="EA8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1" s="35" t="e" cm="1">
        <f t="array" aca="1" ref="EB8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1" t="e" cm="1">
        <f t="array" aca="1" ref="EC8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1" s="165" cm="1">
        <f t="array" aca="1" ref="ED81"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1" s="375" cm="1">
        <f t="array" aca="1" ref="EE8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1" s="251" cm="1">
        <f t="array" aca="1" ref="EF81" ca="1">(SUMPRODUCT(Delay_emissions_table[Consumption of Diesel (kg) - Tertiary Scenario],IF(Delay_emissions_table[Form of Maintenance - Tertiary Scenario]="Life Extension",1,0))*INDEX(Indicators,MATCH('Additional Impact Indicators'!$A81,Materials!$D:$D,0),MATCH("diesel combustion",Materials!$1:$1,0))+SUMPRODUCT(Delay_emissions_table[Consumption of Petrol (kg) - Tertiary Scenario],IF(Delay_emissions_table[Form of Maintenance - Tertiary Scenario]="Life Extension",1,0))*INDEX(Indicators,MATCH('Additional Impact Indicators'!$A81,Materials!$D:$D,0),MATCH("petrol combustion",Materials!$1:$1,0))+IFERROR(SUMPRODUCT(TRANSPOSE(INDEX(elec_project_emissions,MATCH(Elec_scenario&amp;'Additional Impact Indicators'!$B81,INDEX(Electricity_projection,0,3),0)-1,0)),Delay_emissions_table[Consumption of electricity (MJ) - Tertiary Scenario],IF(Delay_emissions_table[Form of Maintenance - Tertiary Scenario]="Life Extension",1,0)),0))*Area_trans*Time_adj_Tert</f>
        <v>0</v>
      </c>
      <c r="EG81" s="251" cm="1">
        <f t="array" aca="1" ref="EG81" ca="1">(SUMPRODUCT(Delay_emissions_table[Consumption of Diesel (kg) - Tertiary Scenario],IF(Delay_emissions_table[Form of Maintenance - Tertiary Scenario]="Replacement",1,0))*INDEX(Indicators,MATCH('Additional Impact Indicators'!$A81,Materials!$D:$D,0),MATCH("diesel combustion",Materials!$1:$1,0))+SUMPRODUCT(Delay_emissions_table[Consumption of Petrol (kg) - Tertiary Scenario],IF(Delay_emissions_table[Form of Maintenance - Tertiary Scenario]="Replacement",1,0))*INDEX(Indicators,MATCH('Additional Impact Indicators'!$A81,Materials!$D:$D,0),MATCH("petrol combustion",Materials!$1:$1,0))+IFERROR(SUMPRODUCT(TRANSPOSE(INDEX(elec_project_emissions,MATCH(Elec_scenario&amp;'Additional Impact Indicators'!$B81,INDEX(Electricity_projection,0,3),0)-1,0)),Delay_emissions_table[Consumption of electricity (MJ) - Tertiary Scenario],IF(Delay_emissions_table[Form of Maintenance - Tertiary Scenario]="Replacement",1,0)),0))*Area_trans*Time_adj_Tert</f>
        <v>0</v>
      </c>
      <c r="EH81" s="252" t="e" cm="1">
        <f t="array" ref="EH8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1" s="252" t="e" cm="1">
        <f t="array" ref="EI8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1" s="253" t="e" cm="1">
        <f t="array" ref="EJ8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1" s="253" t="e" cm="1">
        <f t="array" ref="EK8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1" t="e">
        <f ca="1">SUMIF(Table611[[#This Row],[Raw-Materials]:[Transport to recycling facility]],"&lt;&gt;#N/A")</f>
        <v>#DIV/0!</v>
      </c>
    </row>
    <row r="82" spans="1:142" x14ac:dyDescent="0.35">
      <c r="A82" t="s">
        <v>578</v>
      </c>
      <c r="B82" t="s">
        <v>384</v>
      </c>
      <c r="C82" t="str">
        <f t="shared" si="5"/>
        <v>A2</v>
      </c>
      <c r="D82" t="s">
        <v>54</v>
      </c>
      <c r="F82">
        <f>MATCH(Impacts_Additional[[#This Row],[Indicator]],Material_Impacts[Look up],0)</f>
        <v>22</v>
      </c>
      <c r="G82" s="246" cm="1">
        <f t="array" aca="1" ref="G8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2" s="166" cm="1">
        <f t="array" ref="H8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2" s="166" t="e">
        <f>Diesel_RawM_Prim*INDEX(Indicators,MATCH(Impacts_Additional[[#This Row],[Indicator]],Materials!$D:$D,0),MATCH("Diesel Combustion",Materials!$1:$1,0))*Diesel_density*Project_Area*Prim_Lays*Area_trans</f>
        <v>#DIV/0!</v>
      </c>
      <c r="J82" s="20" t="e" cm="1">
        <f t="array" aca="1" ref="J8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2" s="20" t="e" cm="1">
        <f t="array" aca="1" ref="K8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2" s="20" t="e" cm="1">
        <f t="array" aca="1" ref="L8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2" s="20" t="e" cm="1">
        <f t="array" aca="1" ref="M8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2" s="20" t="e" cm="1">
        <f t="array" aca="1" ref="N8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2" s="20" t="e" cm="1">
        <f t="array" aca="1" ref="O8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2" s="20" t="e" cm="1">
        <f t="array" aca="1" ref="P8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2" s="20" t="e" cm="1">
        <f t="array" aca="1" ref="Q8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2" s="20" t="e" cm="1">
        <f t="array" aca="1" ref="R8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2" s="20" t="e" cm="1">
        <f t="array" aca="1" ref="S8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2" s="20" t="e" cm="1">
        <f t="array" aca="1" ref="T8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2" s="20" t="e" cm="1">
        <f t="array" aca="1" ref="U8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2" s="20" t="e" cm="1">
        <f t="array" aca="1" ref="V8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2" s="20" t="e" cm="1">
        <f t="array" aca="1" ref="W8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2" s="20" t="e" cm="1">
        <f t="array" aca="1" ref="X8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2" s="20" t="e" cm="1">
        <f t="array" aca="1" ref="Y8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2" s="20" t="e" cm="1">
        <f t="array" aca="1" ref="Z8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2" s="20" t="e" cm="1">
        <f t="array" aca="1" ref="AA8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2" s="20" t="e" cm="1">
        <f t="array" aca="1" ref="AB8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2" s="20" t="e" cm="1">
        <f t="array" aca="1" ref="AC8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2" s="20" t="e" cm="1">
        <f t="array" aca="1" ref="AD8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2" s="20" t="e" cm="1">
        <f t="array" aca="1" ref="AE8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2" s="20" t="e" cm="1">
        <f t="array" aca="1" ref="AF8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2" s="20" t="e" cm="1">
        <f t="array" aca="1" ref="AG8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2" s="20" t="e" cm="1">
        <f t="array" aca="1" ref="AH8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2" s="20" t="e" cm="1">
        <f t="array" aca="1" ref="AI8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2" s="20" t="e" cm="1">
        <f t="array" aca="1" ref="AJ8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2" s="166" cm="1">
        <f t="array" aca="1" ref="AK82"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2" s="1" cm="1">
        <f t="array" aca="1" ref="AL8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2" s="247" cm="1">
        <f t="array" aca="1" ref="AM82" ca="1">(SUMPRODUCT(Delay_emissions_table[Consumption of Diesel (kg) - Primary Scenario],IF(Delay_emissions_table[Form of Maintenance - Primary Scenario]="Life Extension",1,0))*INDEX(Indicators,MATCH('Additional Impact Indicators'!$A82,Materials!$D:$D,0),MATCH("diesel combustion",Materials!$1:$1,0))+SUMPRODUCT(Delay_emissions_table[Consumption of Petrol (kg) - Primary Scenario],IF(Delay_emissions_table[Form of Maintenance - Primary Scenario]="Life Extension",1,0))*INDEX(Indicators,MATCH('Additional Impact Indicators'!$A82,Materials!$D:$D,0),MATCH("petrol combustion",Materials!$1:$1,0))+IFERROR(SUMPRODUCT(TRANSPOSE(INDEX(elec_project_emissions,MATCH(Elec_scenario&amp;'Additional Impact Indicators'!$B82,INDEX(Electricity_projection,0,3),0)-1,0)),Delay_emissions_table[Consumption of electricity (MJ) - Primary Scenario],IF(Delay_emissions_table[Form of Maintenance - Primary Scenario]="Life Extension",1,0)),0))*Area_trans*Time_adj_Prim</f>
        <v>0</v>
      </c>
      <c r="AN82" s="247" cm="1">
        <f t="array" aca="1" ref="AN82" ca="1">(SUMPRODUCT(Delay_emissions_table[Consumption of Diesel (kg) - Primary Scenario],IF(Delay_emissions_table[Form of Maintenance - Primary Scenario]="Replacement",1,0))*INDEX(Indicators,MATCH('Additional Impact Indicators'!$A82,Materials!$D:$D,0),MATCH("diesel combustion",Materials!$1:$1,0))+SUMPRODUCT(Delay_emissions_table[Consumption of Petrol (kg) - Primary Scenario],IF(Delay_emissions_table[Form of Maintenance - Primary Scenario]="Replacement",1,0))*INDEX(Indicators,MATCH('Additional Impact Indicators'!$A82,Materials!$D:$D,0),MATCH("petrol combustion",Materials!$1:$1,0))+IFERROR(SUMPRODUCT(TRANSPOSE(INDEX(elec_project_emissions,MATCH(Elec_scenario&amp;'Additional Impact Indicators'!$B82,INDEX(Electricity_projection,0,3),0)-1,0)),Delay_emissions_table[Consumption of electricity (MJ) - Primary Scenario],IF(Delay_emissions_table[Form of Maintenance - Primary Scenario]="Replacement",1,0)),0))*Area_trans*Time_adj_Prim</f>
        <v>0</v>
      </c>
      <c r="AO82" s="248" t="e" cm="1">
        <f t="array" ref="AO8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2" s="248" t="e" cm="1">
        <f t="array" ref="AP8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2" s="249" t="e" cm="1">
        <f t="array" ref="AQ8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2" s="386" t="e" cm="1">
        <f t="array" ref="AR8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2" t="e">
        <f ca="1">SUMIF('Additional Impact Indicators'!$G82:$AQ82,"&lt;&gt;#N/A")</f>
        <v>#DIV/0!</v>
      </c>
      <c r="AW82" t="s">
        <v>578</v>
      </c>
      <c r="AX82" t="s">
        <v>384</v>
      </c>
      <c r="AY82" t="str">
        <f t="shared" si="4"/>
        <v>A2</v>
      </c>
      <c r="AZ82" t="s">
        <v>54</v>
      </c>
      <c r="BB82">
        <f>MATCH(Table3[[#This Row],[Indicator]],Material_Impacts[Look up],0)</f>
        <v>22</v>
      </c>
      <c r="BC82" s="246" cm="1">
        <f t="array" aca="1" ref="BC8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2" s="166" cm="1">
        <f t="array" ref="BD8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2" s="166" t="e">
        <f>Diesel_RawM_Sec*INDEX(Indicators,MATCH(Impacts_Additional[[#This Row],[Indicator]],Materials!$D:$D,0),MATCH("Diesel Combustion",Materials!$1:$1,0))*Diesel_density*Project_Area*Sec_Lays*Area_trans</f>
        <v>#DIV/0!</v>
      </c>
      <c r="BF82" s="35" t="e" cm="1">
        <f t="array" aca="1" ref="BF8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2" s="35" t="e" cm="1">
        <f t="array" aca="1" ref="BG8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2" t="e" cm="1">
        <f t="array" aca="1" ref="BH8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2" s="35" t="e" cm="1">
        <f t="array" aca="1" ref="BI8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2" s="35" t="e" cm="1">
        <f t="array" aca="1" ref="BJ8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2" t="e" cm="1">
        <f t="array" aca="1" ref="BK8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2" s="35" t="e" cm="1">
        <f t="array" aca="1" ref="BL8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2" s="35" t="e" cm="1">
        <f t="array" aca="1" ref="BM8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2" t="e" cm="1">
        <f t="array" aca="1" ref="BN8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2" s="35" t="e" cm="1">
        <f t="array" aca="1" ref="BO8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2" s="35" t="e" cm="1">
        <f t="array" aca="1" ref="BP8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2" t="e" cm="1">
        <f t="array" aca="1" ref="BQ8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2" s="35" t="e" cm="1">
        <f t="array" aca="1" ref="BR8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2" s="35" t="e" cm="1">
        <f t="array" aca="1" ref="BS8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2" t="e" cm="1">
        <f t="array" aca="1" ref="BT8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2" s="35" t="e" cm="1">
        <f t="array" aca="1" ref="BU8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2" s="35" t="e" cm="1">
        <f t="array" aca="1" ref="BV8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2" t="e" cm="1">
        <f t="array" aca="1" ref="BW8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2" s="35" t="e" cm="1">
        <f t="array" aca="1" ref="BX8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2" s="35" t="e" cm="1">
        <f t="array" aca="1" ref="BY8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2" t="e" cm="1">
        <f t="array" aca="1" ref="BZ8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2" s="35" t="e" cm="1">
        <f t="array" aca="1" ref="CA8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2" s="35" t="e" cm="1">
        <f t="array" aca="1" ref="CB8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2" t="e" cm="1">
        <f t="array" aca="1" ref="CC8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2" s="35" t="e" cm="1">
        <f t="array" aca="1" ref="CD8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2" s="35" t="e" cm="1">
        <f t="array" aca="1" ref="CE8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2" t="e" cm="1">
        <f t="array" aca="1" ref="CF8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2" s="166" cm="1">
        <f t="array" aca="1" ref="CG82"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2" s="375" cm="1">
        <f t="array" aca="1" ref="CH8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2" s="247" cm="1">
        <f t="array" aca="1" ref="CI82" ca="1">(SUMPRODUCT(Delay_emissions_table[Consumption of Diesel (kg) - Secondary Scenario],IF(Delay_emissions_table[Form of Maintenance - Secondary Scenario]="Life Extension",1,0))*INDEX(Indicators,MATCH('Additional Impact Indicators'!$A82,Materials!$D:$D,0),MATCH("diesel combustion",Materials!$1:$1,0))+SUMPRODUCT(Delay_emissions_table[Consumption of Petrol (kg) - Secondary Scenario],IF(Delay_emissions_table[Form of Maintenance - Secondary Scenario]="Life Extension",1,0))*INDEX(Indicators,MATCH('Additional Impact Indicators'!$A82,Materials!$D:$D,0),MATCH("petrol combustion",Materials!$1:$1,0))+IFERROR(SUMPRODUCT(TRANSPOSE(INDEX(elec_project_emissions,MATCH(Elec_scenario&amp;'Additional Impact Indicators'!$B82,INDEX(Electricity_projection,0,3),0)-1,0)),Delay_emissions_table[Consumption of electricity (MJ) - Secondary Scenario],IF(Delay_emissions_table[Form of Maintenance - Secondary Scenario]="Life Extension",1,0)),0))*Area_trans*time_adj_Sec</f>
        <v>0</v>
      </c>
      <c r="CJ82" s="247" cm="1">
        <f t="array" aca="1" ref="CJ82" ca="1">(SUMPRODUCT(Delay_emissions_table[Consumption of Diesel (kg) - Secondary Scenario],IF(Delay_emissions_table[Form of Maintenance - Secondary Scenario]="Replacement",1,0))*INDEX(Indicators,MATCH('Additional Impact Indicators'!$A82,Materials!$D:$D,0),MATCH("diesel combustion",Materials!$1:$1,0))+SUMPRODUCT(Delay_emissions_table[Consumption of Petrol (kg) - Secondary Scenario],IF(Delay_emissions_table[Form of Maintenance - Secondary Scenario]="Replacement",1,0))*INDEX(Indicators,MATCH('Additional Impact Indicators'!$A82,Materials!$D:$D,0),MATCH("petrol combustion",Materials!$1:$1,0))+IFERROR(SUMPRODUCT(TRANSPOSE(INDEX(elec_project_emissions,MATCH(Elec_scenario&amp;'Additional Impact Indicators'!$B82,INDEX(Electricity_projection,0,3),0)-1,0)),Delay_emissions_table[Consumption of electricity (MJ) - Secondary Scenario],IF(Delay_emissions_table[Form of Maintenance - Secondary Scenario]="Replacement",1,0)),0))*Area_trans*time_adj_Sec</f>
        <v>0</v>
      </c>
      <c r="CK82" s="248" t="e" cm="1">
        <f t="array" ref="CK8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2" s="248" t="e" cm="1">
        <f t="array" ref="CL8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2" s="249" t="e" cm="1">
        <f t="array" ref="CM8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2" s="387" t="e" cm="1">
        <f t="array" ref="CN8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2" s="51" t="e">
        <f ca="1">SUMIF(Table3[[#This Row],[Raw-Materials]:[Transport to recycling facility]],"&lt;&gt;#N/A")</f>
        <v>#DIV/0!</v>
      </c>
      <c r="CT82" t="s">
        <v>578</v>
      </c>
      <c r="CU82" t="s">
        <v>384</v>
      </c>
      <c r="CV82" t="str">
        <f t="shared" si="6"/>
        <v>A2</v>
      </c>
      <c r="CW82" t="s">
        <v>54</v>
      </c>
      <c r="CY82">
        <f>MATCH(Table611[[#This Row],[Indicator]],Material_Impacts[Look up],0)</f>
        <v>22</v>
      </c>
      <c r="CZ82" s="246" cm="1">
        <f t="array" aca="1" ref="CZ8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2" s="166" cm="1">
        <f t="array" ref="DA8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2" s="166" t="e">
        <f>Diesel_RawM_Tert*INDEX(Indicators,MATCH(Impacts_Additional[[#This Row],[Indicator]],Materials!$D:$D,0),MATCH("Diesel Combustion",Materials!$1:$1,0))*Diesel_density*Project_Area*Tert_Lays*Area_trans</f>
        <v>#DIV/0!</v>
      </c>
      <c r="DC82" s="35" t="e" cm="1">
        <f t="array" aca="1" ref="DC8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2" s="35" t="e" cm="1">
        <f t="array" aca="1" ref="DD8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2" t="e" cm="1">
        <f t="array" aca="1" ref="DE8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2" s="35" t="e" cm="1">
        <f t="array" aca="1" ref="DF8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2" s="35" t="e" cm="1">
        <f t="array" aca="1" ref="DG8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2" t="e" cm="1">
        <f t="array" aca="1" ref="DH8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2" s="35" t="e" cm="1">
        <f t="array" aca="1" ref="DI8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2" s="35" t="e" cm="1">
        <f t="array" aca="1" ref="DJ8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2" t="e" cm="1">
        <f t="array" aca="1" ref="DK8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2" s="35" t="e" cm="1">
        <f t="array" aca="1" ref="DL8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2" s="35" t="e" cm="1">
        <f t="array" aca="1" ref="DM8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2" t="e" cm="1">
        <f t="array" aca="1" ref="DN8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2" s="35" t="e" cm="1">
        <f t="array" aca="1" ref="DO8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2" s="35" t="e" cm="1">
        <f t="array" aca="1" ref="DP8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2" t="e" cm="1">
        <f t="array" aca="1" ref="DQ8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2" s="35" t="e" cm="1">
        <f t="array" aca="1" ref="DR8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2" s="35" t="e" cm="1">
        <f t="array" aca="1" ref="DS8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2" t="e" cm="1">
        <f t="array" aca="1" ref="DT8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2" s="35" t="e" cm="1">
        <f t="array" aca="1" ref="DU8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2" s="35" t="e" cm="1">
        <f t="array" aca="1" ref="DV8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2" t="e" cm="1">
        <f t="array" aca="1" ref="DW8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2" s="35" t="e" cm="1">
        <f t="array" aca="1" ref="DX8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2" s="35" t="e" cm="1">
        <f t="array" aca="1" ref="DY8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2" t="e" cm="1">
        <f t="array" aca="1" ref="DZ8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2" s="35" t="e" cm="1">
        <f t="array" aca="1" ref="EA8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2" s="35" t="e" cm="1">
        <f t="array" aca="1" ref="EB8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2" t="e" cm="1">
        <f t="array" aca="1" ref="EC8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2" s="166" cm="1">
        <f t="array" aca="1" ref="ED82"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2" s="375" cm="1">
        <f t="array" aca="1" ref="EE8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2" s="247" cm="1">
        <f t="array" aca="1" ref="EF82" ca="1">(SUMPRODUCT(Delay_emissions_table[Consumption of Diesel (kg) - Tertiary Scenario],IF(Delay_emissions_table[Form of Maintenance - Tertiary Scenario]="Life Extension",1,0))*INDEX(Indicators,MATCH('Additional Impact Indicators'!$A82,Materials!$D:$D,0),MATCH("diesel combustion",Materials!$1:$1,0))+SUMPRODUCT(Delay_emissions_table[Consumption of Petrol (kg) - Tertiary Scenario],IF(Delay_emissions_table[Form of Maintenance - Tertiary Scenario]="Life Extension",1,0))*INDEX(Indicators,MATCH('Additional Impact Indicators'!$A82,Materials!$D:$D,0),MATCH("petrol combustion",Materials!$1:$1,0))+IFERROR(SUMPRODUCT(TRANSPOSE(INDEX(elec_project_emissions,MATCH(Elec_scenario&amp;'Additional Impact Indicators'!$B82,INDEX(Electricity_projection,0,3),0)-1,0)),Delay_emissions_table[Consumption of electricity (MJ) - Tertiary Scenario],IF(Delay_emissions_table[Form of Maintenance - Tertiary Scenario]="Life Extension",1,0)),0))*Area_trans*Time_adj_Tert</f>
        <v>0</v>
      </c>
      <c r="EG82" s="247" cm="1">
        <f t="array" aca="1" ref="EG82" ca="1">(SUMPRODUCT(Delay_emissions_table[Consumption of Diesel (kg) - Tertiary Scenario],IF(Delay_emissions_table[Form of Maintenance - Tertiary Scenario]="Replacement",1,0))*INDEX(Indicators,MATCH('Additional Impact Indicators'!$A82,Materials!$D:$D,0),MATCH("diesel combustion",Materials!$1:$1,0))+SUMPRODUCT(Delay_emissions_table[Consumption of Petrol (kg) - Tertiary Scenario],IF(Delay_emissions_table[Form of Maintenance - Tertiary Scenario]="Replacement",1,0))*INDEX(Indicators,MATCH('Additional Impact Indicators'!$A82,Materials!$D:$D,0),MATCH("petrol combustion",Materials!$1:$1,0))+IFERROR(SUMPRODUCT(TRANSPOSE(INDEX(elec_project_emissions,MATCH(Elec_scenario&amp;'Additional Impact Indicators'!$B82,INDEX(Electricity_projection,0,3),0)-1,0)),Delay_emissions_table[Consumption of electricity (MJ) - Tertiary Scenario],IF(Delay_emissions_table[Form of Maintenance - Tertiary Scenario]="Replacement",1,0)),0))*Area_trans*Time_adj_Tert</f>
        <v>0</v>
      </c>
      <c r="EH82" s="248" t="e" cm="1">
        <f t="array" ref="EH8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2" s="248" t="e" cm="1">
        <f t="array" ref="EI8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2" s="249" t="e" cm="1">
        <f t="array" ref="EJ8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2" s="249" t="e" cm="1">
        <f t="array" ref="EK8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2" t="e">
        <f ca="1">SUMIF(Table611[[#This Row],[Raw-Materials]:[Transport to recycling facility]],"&lt;&gt;#N/A")</f>
        <v>#DIV/0!</v>
      </c>
    </row>
    <row r="83" spans="1:142" x14ac:dyDescent="0.35">
      <c r="A83" s="155" t="s">
        <v>579</v>
      </c>
      <c r="B83" s="155" t="s">
        <v>386</v>
      </c>
      <c r="C83" s="155" t="str">
        <f t="shared" si="5"/>
        <v>A2</v>
      </c>
      <c r="D83" s="155" t="s">
        <v>54</v>
      </c>
      <c r="E83" s="155"/>
      <c r="F83">
        <f>MATCH(Impacts_Additional[[#This Row],[Indicator]],Material_Impacts[Look up],0)</f>
        <v>23</v>
      </c>
      <c r="G83" s="246" cm="1">
        <f t="array" aca="1" ref="G8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3" s="165" cm="1">
        <f t="array" ref="H8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3" s="165" t="e">
        <f>Diesel_RawM_Prim*INDEX(Indicators,MATCH(Impacts_Additional[[#This Row],[Indicator]],Materials!$D:$D,0),MATCH("Diesel Combustion",Materials!$1:$1,0))*Diesel_density*Project_Area*Prim_Lays*Area_trans</f>
        <v>#DIV/0!</v>
      </c>
      <c r="J83" s="250" t="e" cm="1">
        <f t="array" aca="1" ref="J8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3" s="250" t="e" cm="1">
        <f t="array" aca="1" ref="K8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3" s="250" t="e" cm="1">
        <f t="array" aca="1" ref="L8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3" s="250" t="e" cm="1">
        <f t="array" aca="1" ref="M8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3" s="250" t="e" cm="1">
        <f t="array" aca="1" ref="N8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3" s="250" t="e" cm="1">
        <f t="array" aca="1" ref="O8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3" s="250" t="e" cm="1">
        <f t="array" aca="1" ref="P8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3" s="250" t="e" cm="1">
        <f t="array" aca="1" ref="Q8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3" s="250" t="e" cm="1">
        <f t="array" aca="1" ref="R8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3" s="250" t="e" cm="1">
        <f t="array" aca="1" ref="S8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3" s="250" t="e" cm="1">
        <f t="array" aca="1" ref="T8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3" s="250" t="e" cm="1">
        <f t="array" aca="1" ref="U8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3" s="250" t="e" cm="1">
        <f t="array" aca="1" ref="V8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3" s="250" t="e" cm="1">
        <f t="array" aca="1" ref="W8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3" s="250" t="e" cm="1">
        <f t="array" aca="1" ref="X8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3" s="250" t="e" cm="1">
        <f t="array" aca="1" ref="Y8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3" s="250" t="e" cm="1">
        <f t="array" aca="1" ref="Z8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3" s="250" t="e" cm="1">
        <f t="array" aca="1" ref="AA8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3" s="250" t="e" cm="1">
        <f t="array" aca="1" ref="AB8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3" s="250" t="e" cm="1">
        <f t="array" aca="1" ref="AC8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3" s="250" t="e" cm="1">
        <f t="array" aca="1" ref="AD8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3" s="250" t="e" cm="1">
        <f t="array" aca="1" ref="AE8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3" s="250" t="e" cm="1">
        <f t="array" aca="1" ref="AF8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3" s="250" t="e" cm="1">
        <f t="array" aca="1" ref="AG8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3" s="250" t="e" cm="1">
        <f t="array" aca="1" ref="AH8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3" s="250" t="e" cm="1">
        <f t="array" aca="1" ref="AI8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3" s="250" t="e" cm="1">
        <f t="array" aca="1" ref="AJ8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3" s="165" cm="1">
        <f t="array" aca="1" ref="AK83"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3" s="254" cm="1">
        <f t="array" aca="1" ref="AL8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3" s="251" cm="1">
        <f t="array" aca="1" ref="AM83" ca="1">(SUMPRODUCT(Delay_emissions_table[Consumption of Diesel (kg) - Primary Scenario],IF(Delay_emissions_table[Form of Maintenance - Primary Scenario]="Life Extension",1,0))*INDEX(Indicators,MATCH('Additional Impact Indicators'!$A83,Materials!$D:$D,0),MATCH("diesel combustion",Materials!$1:$1,0))+SUMPRODUCT(Delay_emissions_table[Consumption of Petrol (kg) - Primary Scenario],IF(Delay_emissions_table[Form of Maintenance - Primary Scenario]="Life Extension",1,0))*INDEX(Indicators,MATCH('Additional Impact Indicators'!$A83,Materials!$D:$D,0),MATCH("petrol combustion",Materials!$1:$1,0))+IFERROR(SUMPRODUCT(TRANSPOSE(INDEX(elec_project_emissions,MATCH(Elec_scenario&amp;'Additional Impact Indicators'!$B83,INDEX(Electricity_projection,0,3),0)-1,0)),Delay_emissions_table[Consumption of electricity (MJ) - Primary Scenario],IF(Delay_emissions_table[Form of Maintenance - Primary Scenario]="Life Extension",1,0)),0))*Area_trans*Time_adj_Prim</f>
        <v>0</v>
      </c>
      <c r="AN83" s="251" cm="1">
        <f t="array" aca="1" ref="AN83" ca="1">(SUMPRODUCT(Delay_emissions_table[Consumption of Diesel (kg) - Primary Scenario],IF(Delay_emissions_table[Form of Maintenance - Primary Scenario]="Replacement",1,0))*INDEX(Indicators,MATCH('Additional Impact Indicators'!$A83,Materials!$D:$D,0),MATCH("diesel combustion",Materials!$1:$1,0))+SUMPRODUCT(Delay_emissions_table[Consumption of Petrol (kg) - Primary Scenario],IF(Delay_emissions_table[Form of Maintenance - Primary Scenario]="Replacement",1,0))*INDEX(Indicators,MATCH('Additional Impact Indicators'!$A83,Materials!$D:$D,0),MATCH("petrol combustion",Materials!$1:$1,0))+IFERROR(SUMPRODUCT(TRANSPOSE(INDEX(elec_project_emissions,MATCH(Elec_scenario&amp;'Additional Impact Indicators'!$B83,INDEX(Electricity_projection,0,3),0)-1,0)),Delay_emissions_table[Consumption of electricity (MJ) - Primary Scenario],IF(Delay_emissions_table[Form of Maintenance - Primary Scenario]="Replacement",1,0)),0))*Area_trans*Time_adj_Prim</f>
        <v>0</v>
      </c>
      <c r="AO83" s="252" t="e" cm="1">
        <f t="array" ref="AO8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3" s="252" t="e" cm="1">
        <f t="array" ref="AP8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3" s="253" t="e" cm="1">
        <f t="array" ref="AQ8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3" s="385" t="e" cm="1">
        <f t="array" ref="AR8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3" t="e">
        <f ca="1">SUMIF('Additional Impact Indicators'!$G83:$AQ83,"&lt;&gt;#N/A")</f>
        <v>#DIV/0!</v>
      </c>
      <c r="AW83" s="155" t="s">
        <v>579</v>
      </c>
      <c r="AX83" s="155" t="s">
        <v>386</v>
      </c>
      <c r="AY83" t="str">
        <f t="shared" si="4"/>
        <v>A2</v>
      </c>
      <c r="AZ83" s="155" t="s">
        <v>54</v>
      </c>
      <c r="BB83">
        <f>MATCH(Table3[[#This Row],[Indicator]],Material_Impacts[Look up],0)</f>
        <v>23</v>
      </c>
      <c r="BC83" s="246" cm="1">
        <f t="array" aca="1" ref="BC8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3" s="165" cm="1">
        <f t="array" ref="BD8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3" s="165" t="e">
        <f>Diesel_RawM_Sec*INDEX(Indicators,MATCH(Impacts_Additional[[#This Row],[Indicator]],Materials!$D:$D,0),MATCH("Diesel Combustion",Materials!$1:$1,0))*Diesel_density*Project_Area*Sec_Lays*Area_trans</f>
        <v>#DIV/0!</v>
      </c>
      <c r="BF83" s="35" t="e" cm="1">
        <f t="array" aca="1" ref="BF8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3" s="35" t="e" cm="1">
        <f t="array" aca="1" ref="BG8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3" t="e" cm="1">
        <f t="array" aca="1" ref="BH8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3" s="35" t="e" cm="1">
        <f t="array" aca="1" ref="BI8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3" s="35" t="e" cm="1">
        <f t="array" aca="1" ref="BJ8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3" t="e" cm="1">
        <f t="array" aca="1" ref="BK8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3" s="35" t="e" cm="1">
        <f t="array" aca="1" ref="BL8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3" s="35" t="e" cm="1">
        <f t="array" aca="1" ref="BM8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3" t="e" cm="1">
        <f t="array" aca="1" ref="BN8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3" s="35" t="e" cm="1">
        <f t="array" aca="1" ref="BO8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3" s="35" t="e" cm="1">
        <f t="array" aca="1" ref="BP8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3" t="e" cm="1">
        <f t="array" aca="1" ref="BQ8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3" s="35" t="e" cm="1">
        <f t="array" aca="1" ref="BR8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3" s="35" t="e" cm="1">
        <f t="array" aca="1" ref="BS8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3" t="e" cm="1">
        <f t="array" aca="1" ref="BT8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3" s="35" t="e" cm="1">
        <f t="array" aca="1" ref="BU8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3" s="35" t="e" cm="1">
        <f t="array" aca="1" ref="BV8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3" t="e" cm="1">
        <f t="array" aca="1" ref="BW8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3" s="35" t="e" cm="1">
        <f t="array" aca="1" ref="BX8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3" s="35" t="e" cm="1">
        <f t="array" aca="1" ref="BY8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3" t="e" cm="1">
        <f t="array" aca="1" ref="BZ8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3" s="35" t="e" cm="1">
        <f t="array" aca="1" ref="CA8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3" s="35" t="e" cm="1">
        <f t="array" aca="1" ref="CB8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3" t="e" cm="1">
        <f t="array" aca="1" ref="CC8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3" s="35" t="e" cm="1">
        <f t="array" aca="1" ref="CD8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3" s="35" t="e" cm="1">
        <f t="array" aca="1" ref="CE8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3" t="e" cm="1">
        <f t="array" aca="1" ref="CF8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3" s="165" cm="1">
        <f t="array" aca="1" ref="CG83"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3" s="375" cm="1">
        <f t="array" aca="1" ref="CH8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3" s="251" cm="1">
        <f t="array" aca="1" ref="CI83" ca="1">(SUMPRODUCT(Delay_emissions_table[Consumption of Diesel (kg) - Secondary Scenario],IF(Delay_emissions_table[Form of Maintenance - Secondary Scenario]="Life Extension",1,0))*INDEX(Indicators,MATCH('Additional Impact Indicators'!$A83,Materials!$D:$D,0),MATCH("diesel combustion",Materials!$1:$1,0))+SUMPRODUCT(Delay_emissions_table[Consumption of Petrol (kg) - Secondary Scenario],IF(Delay_emissions_table[Form of Maintenance - Secondary Scenario]="Life Extension",1,0))*INDEX(Indicators,MATCH('Additional Impact Indicators'!$A83,Materials!$D:$D,0),MATCH("petrol combustion",Materials!$1:$1,0))+IFERROR(SUMPRODUCT(TRANSPOSE(INDEX(elec_project_emissions,MATCH(Elec_scenario&amp;'Additional Impact Indicators'!$B83,INDEX(Electricity_projection,0,3),0)-1,0)),Delay_emissions_table[Consumption of electricity (MJ) - Secondary Scenario],IF(Delay_emissions_table[Form of Maintenance - Secondary Scenario]="Life Extension",1,0)),0))*Area_trans*time_adj_Sec</f>
        <v>0</v>
      </c>
      <c r="CJ83" s="251" cm="1">
        <f t="array" aca="1" ref="CJ83" ca="1">(SUMPRODUCT(Delay_emissions_table[Consumption of Diesel (kg) - Secondary Scenario],IF(Delay_emissions_table[Form of Maintenance - Secondary Scenario]="Replacement",1,0))*INDEX(Indicators,MATCH('Additional Impact Indicators'!$A83,Materials!$D:$D,0),MATCH("diesel combustion",Materials!$1:$1,0))+SUMPRODUCT(Delay_emissions_table[Consumption of Petrol (kg) - Secondary Scenario],IF(Delay_emissions_table[Form of Maintenance - Secondary Scenario]="Replacement",1,0))*INDEX(Indicators,MATCH('Additional Impact Indicators'!$A83,Materials!$D:$D,0),MATCH("petrol combustion",Materials!$1:$1,0))+IFERROR(SUMPRODUCT(TRANSPOSE(INDEX(elec_project_emissions,MATCH(Elec_scenario&amp;'Additional Impact Indicators'!$B83,INDEX(Electricity_projection,0,3),0)-1,0)),Delay_emissions_table[Consumption of electricity (MJ) - Secondary Scenario],IF(Delay_emissions_table[Form of Maintenance - Secondary Scenario]="Replacement",1,0)),0))*Area_trans*time_adj_Sec</f>
        <v>0</v>
      </c>
      <c r="CK83" s="252" t="e" cm="1">
        <f t="array" ref="CK8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3" s="252" t="e" cm="1">
        <f t="array" ref="CL8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3" s="253" t="e" cm="1">
        <f t="array" ref="CM8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3" s="387" t="e" cm="1">
        <f t="array" ref="CN8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3" s="51" t="e">
        <f ca="1">SUMIF(Table3[[#This Row],[Raw-Materials]:[Transport to recycling facility]],"&lt;&gt;#N/A")</f>
        <v>#DIV/0!</v>
      </c>
      <c r="CT83" t="s">
        <v>579</v>
      </c>
      <c r="CU83" t="s">
        <v>386</v>
      </c>
      <c r="CV83" t="str">
        <f t="shared" si="6"/>
        <v>A2</v>
      </c>
      <c r="CW83" t="s">
        <v>54</v>
      </c>
      <c r="CY83">
        <f>MATCH(Table611[[#This Row],[Indicator]],Material_Impacts[Look up],0)</f>
        <v>23</v>
      </c>
      <c r="CZ83" s="246" cm="1">
        <f t="array" aca="1" ref="CZ8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3" s="165" cm="1">
        <f t="array" ref="DA8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3" s="165" t="e">
        <f>Diesel_RawM_Tert*INDEX(Indicators,MATCH(Impacts_Additional[[#This Row],[Indicator]],Materials!$D:$D,0),MATCH("Diesel Combustion",Materials!$1:$1,0))*Diesel_density*Project_Area*Tert_Lays*Area_trans</f>
        <v>#DIV/0!</v>
      </c>
      <c r="DC83" s="35" t="e" cm="1">
        <f t="array" aca="1" ref="DC8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3" s="35" t="e" cm="1">
        <f t="array" aca="1" ref="DD8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3" t="e" cm="1">
        <f t="array" aca="1" ref="DE8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3" s="35" t="e" cm="1">
        <f t="array" aca="1" ref="DF8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3" s="35" t="e" cm="1">
        <f t="array" aca="1" ref="DG8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3" t="e" cm="1">
        <f t="array" aca="1" ref="DH8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3" s="35" t="e" cm="1">
        <f t="array" aca="1" ref="DI8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3" s="35" t="e" cm="1">
        <f t="array" aca="1" ref="DJ8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3" t="e" cm="1">
        <f t="array" aca="1" ref="DK8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3" s="35" t="e" cm="1">
        <f t="array" aca="1" ref="DL8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3" s="35" t="e" cm="1">
        <f t="array" aca="1" ref="DM8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3" t="e" cm="1">
        <f t="array" aca="1" ref="DN8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3" s="35" t="e" cm="1">
        <f t="array" aca="1" ref="DO8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3" s="35" t="e" cm="1">
        <f t="array" aca="1" ref="DP8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3" t="e" cm="1">
        <f t="array" aca="1" ref="DQ8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3" s="35" t="e" cm="1">
        <f t="array" aca="1" ref="DR8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3" s="35" t="e" cm="1">
        <f t="array" aca="1" ref="DS8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3" t="e" cm="1">
        <f t="array" aca="1" ref="DT8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3" s="35" t="e" cm="1">
        <f t="array" aca="1" ref="DU8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3" s="35" t="e" cm="1">
        <f t="array" aca="1" ref="DV8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3" t="e" cm="1">
        <f t="array" aca="1" ref="DW8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3" s="35" t="e" cm="1">
        <f t="array" aca="1" ref="DX8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3" s="35" t="e" cm="1">
        <f t="array" aca="1" ref="DY8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3" t="e" cm="1">
        <f t="array" aca="1" ref="DZ8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3" s="35" t="e" cm="1">
        <f t="array" aca="1" ref="EA8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3" s="35" t="e" cm="1">
        <f t="array" aca="1" ref="EB8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3" t="e" cm="1">
        <f t="array" aca="1" ref="EC8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3" s="165" cm="1">
        <f t="array" aca="1" ref="ED83"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3" s="375" cm="1">
        <f t="array" aca="1" ref="EE8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3" s="251" cm="1">
        <f t="array" aca="1" ref="EF83" ca="1">(SUMPRODUCT(Delay_emissions_table[Consumption of Diesel (kg) - Tertiary Scenario],IF(Delay_emissions_table[Form of Maintenance - Tertiary Scenario]="Life Extension",1,0))*INDEX(Indicators,MATCH('Additional Impact Indicators'!$A83,Materials!$D:$D,0),MATCH("diesel combustion",Materials!$1:$1,0))+SUMPRODUCT(Delay_emissions_table[Consumption of Petrol (kg) - Tertiary Scenario],IF(Delay_emissions_table[Form of Maintenance - Tertiary Scenario]="Life Extension",1,0))*INDEX(Indicators,MATCH('Additional Impact Indicators'!$A83,Materials!$D:$D,0),MATCH("petrol combustion",Materials!$1:$1,0))+IFERROR(SUMPRODUCT(TRANSPOSE(INDEX(elec_project_emissions,MATCH(Elec_scenario&amp;'Additional Impact Indicators'!$B83,INDEX(Electricity_projection,0,3),0)-1,0)),Delay_emissions_table[Consumption of electricity (MJ) - Tertiary Scenario],IF(Delay_emissions_table[Form of Maintenance - Tertiary Scenario]="Life Extension",1,0)),0))*Area_trans*Time_adj_Tert</f>
        <v>0</v>
      </c>
      <c r="EG83" s="251" cm="1">
        <f t="array" aca="1" ref="EG83" ca="1">(SUMPRODUCT(Delay_emissions_table[Consumption of Diesel (kg) - Tertiary Scenario],IF(Delay_emissions_table[Form of Maintenance - Tertiary Scenario]="Replacement",1,0))*INDEX(Indicators,MATCH('Additional Impact Indicators'!$A83,Materials!$D:$D,0),MATCH("diesel combustion",Materials!$1:$1,0))+SUMPRODUCT(Delay_emissions_table[Consumption of Petrol (kg) - Tertiary Scenario],IF(Delay_emissions_table[Form of Maintenance - Tertiary Scenario]="Replacement",1,0))*INDEX(Indicators,MATCH('Additional Impact Indicators'!$A83,Materials!$D:$D,0),MATCH("petrol combustion",Materials!$1:$1,0))+IFERROR(SUMPRODUCT(TRANSPOSE(INDEX(elec_project_emissions,MATCH(Elec_scenario&amp;'Additional Impact Indicators'!$B83,INDEX(Electricity_projection,0,3),0)-1,0)),Delay_emissions_table[Consumption of electricity (MJ) - Tertiary Scenario],IF(Delay_emissions_table[Form of Maintenance - Tertiary Scenario]="Replacement",1,0)),0))*Area_trans*Time_adj_Tert</f>
        <v>0</v>
      </c>
      <c r="EH83" s="252" t="e" cm="1">
        <f t="array" ref="EH8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3" s="252" t="e" cm="1">
        <f t="array" ref="EI8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3" s="253" t="e" cm="1">
        <f t="array" ref="EJ8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3" s="253" t="e" cm="1">
        <f t="array" ref="EK8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3" t="e">
        <f ca="1">SUMIF(Table611[[#This Row],[Raw-Materials]:[Transport to recycling facility]],"&lt;&gt;#N/A")</f>
        <v>#DIV/0!</v>
      </c>
    </row>
    <row r="84" spans="1:142" x14ac:dyDescent="0.35">
      <c r="A84" t="s">
        <v>580</v>
      </c>
      <c r="B84" t="s">
        <v>388</v>
      </c>
      <c r="C84" t="str">
        <f t="shared" si="5"/>
        <v>A2</v>
      </c>
      <c r="D84" t="s">
        <v>54</v>
      </c>
      <c r="F84">
        <f>MATCH(Impacts_Additional[[#This Row],[Indicator]],Material_Impacts[Look up],0)</f>
        <v>24</v>
      </c>
      <c r="G84" s="246" cm="1">
        <f t="array" aca="1" ref="G8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4" s="166" cm="1">
        <f t="array" ref="H8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4" s="166" t="e">
        <f>Diesel_RawM_Prim*INDEX(Indicators,MATCH(Impacts_Additional[[#This Row],[Indicator]],Materials!$D:$D,0),MATCH("Diesel Combustion",Materials!$1:$1,0))*Diesel_density*Project_Area*Prim_Lays*Area_trans</f>
        <v>#DIV/0!</v>
      </c>
      <c r="J84" s="20" t="e" cm="1">
        <f t="array" aca="1" ref="J8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4" s="20" t="e" cm="1">
        <f t="array" aca="1" ref="K8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4" s="20" t="e" cm="1">
        <f t="array" aca="1" ref="L8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4" s="20" t="e" cm="1">
        <f t="array" aca="1" ref="M8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4" s="20" t="e" cm="1">
        <f t="array" aca="1" ref="N8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4" s="20" t="e" cm="1">
        <f t="array" aca="1" ref="O8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4" s="20" t="e" cm="1">
        <f t="array" aca="1" ref="P8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4" s="20" t="e" cm="1">
        <f t="array" aca="1" ref="Q8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4" s="20" t="e" cm="1">
        <f t="array" aca="1" ref="R8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4" s="20" t="e" cm="1">
        <f t="array" aca="1" ref="S8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4" s="20" t="e" cm="1">
        <f t="array" aca="1" ref="T8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4" s="20" t="e" cm="1">
        <f t="array" aca="1" ref="U8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4" s="20" t="e" cm="1">
        <f t="array" aca="1" ref="V8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4" s="20" t="e" cm="1">
        <f t="array" aca="1" ref="W8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4" s="20" t="e" cm="1">
        <f t="array" aca="1" ref="X8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4" s="20" t="e" cm="1">
        <f t="array" aca="1" ref="Y8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4" s="20" t="e" cm="1">
        <f t="array" aca="1" ref="Z8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4" s="20" t="e" cm="1">
        <f t="array" aca="1" ref="AA8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4" s="20" t="e" cm="1">
        <f t="array" aca="1" ref="AB8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4" s="20" t="e" cm="1">
        <f t="array" aca="1" ref="AC8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4" s="20" t="e" cm="1">
        <f t="array" aca="1" ref="AD8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4" s="20" t="e" cm="1">
        <f t="array" aca="1" ref="AE8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4" s="20" t="e" cm="1">
        <f t="array" aca="1" ref="AF8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4" s="20" t="e" cm="1">
        <f t="array" aca="1" ref="AG8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4" s="20" t="e" cm="1">
        <f t="array" aca="1" ref="AH8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4" s="20" t="e" cm="1">
        <f t="array" aca="1" ref="AI8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4" s="20" t="e" cm="1">
        <f t="array" aca="1" ref="AJ8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4" s="166" cm="1">
        <f t="array" aca="1" ref="AK84"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4" s="1" cm="1">
        <f t="array" aca="1" ref="AL8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4" s="247" cm="1">
        <f t="array" aca="1" ref="AM84" ca="1">(SUMPRODUCT(Delay_emissions_table[Consumption of Diesel (kg) - Primary Scenario],IF(Delay_emissions_table[Form of Maintenance - Primary Scenario]="Life Extension",1,0))*INDEX(Indicators,MATCH('Additional Impact Indicators'!$A84,Materials!$D:$D,0),MATCH("diesel combustion",Materials!$1:$1,0))+SUMPRODUCT(Delay_emissions_table[Consumption of Petrol (kg) - Primary Scenario],IF(Delay_emissions_table[Form of Maintenance - Primary Scenario]="Life Extension",1,0))*INDEX(Indicators,MATCH('Additional Impact Indicators'!$A84,Materials!$D:$D,0),MATCH("petrol combustion",Materials!$1:$1,0))+IFERROR(SUMPRODUCT(TRANSPOSE(INDEX(elec_project_emissions,MATCH(Elec_scenario&amp;'Additional Impact Indicators'!$B84,INDEX(Electricity_projection,0,3),0)-1,0)),Delay_emissions_table[Consumption of electricity (MJ) - Primary Scenario],IF(Delay_emissions_table[Form of Maintenance - Primary Scenario]="Life Extension",1,0)),0))*Area_trans*Time_adj_Prim</f>
        <v>0</v>
      </c>
      <c r="AN84" s="247" cm="1">
        <f t="array" aca="1" ref="AN84" ca="1">(SUMPRODUCT(Delay_emissions_table[Consumption of Diesel (kg) - Primary Scenario],IF(Delay_emissions_table[Form of Maintenance - Primary Scenario]="Replacement",1,0))*INDEX(Indicators,MATCH('Additional Impact Indicators'!$A84,Materials!$D:$D,0),MATCH("diesel combustion",Materials!$1:$1,0))+SUMPRODUCT(Delay_emissions_table[Consumption of Petrol (kg) - Primary Scenario],IF(Delay_emissions_table[Form of Maintenance - Primary Scenario]="Replacement",1,0))*INDEX(Indicators,MATCH('Additional Impact Indicators'!$A84,Materials!$D:$D,0),MATCH("petrol combustion",Materials!$1:$1,0))+IFERROR(SUMPRODUCT(TRANSPOSE(INDEX(elec_project_emissions,MATCH(Elec_scenario&amp;'Additional Impact Indicators'!$B84,INDEX(Electricity_projection,0,3),0)-1,0)),Delay_emissions_table[Consumption of electricity (MJ) - Primary Scenario],IF(Delay_emissions_table[Form of Maintenance - Primary Scenario]="Replacement",1,0)),0))*Area_trans*Time_adj_Prim</f>
        <v>0</v>
      </c>
      <c r="AO84" s="248" t="e" cm="1">
        <f t="array" ref="AO8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4" s="248" t="e" cm="1">
        <f t="array" ref="AP8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4" s="249" t="e" cm="1">
        <f t="array" ref="AQ8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4" s="386" t="e" cm="1">
        <f t="array" ref="AR8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4" t="e">
        <f ca="1">SUMIF('Additional Impact Indicators'!$G84:$AQ84,"&lt;&gt;#N/A")</f>
        <v>#DIV/0!</v>
      </c>
      <c r="AW84" t="s">
        <v>580</v>
      </c>
      <c r="AX84" t="s">
        <v>388</v>
      </c>
      <c r="AY84" t="str">
        <f t="shared" si="4"/>
        <v>A2</v>
      </c>
      <c r="AZ84" t="s">
        <v>54</v>
      </c>
      <c r="BB84">
        <f>MATCH(Table3[[#This Row],[Indicator]],Material_Impacts[Look up],0)</f>
        <v>24</v>
      </c>
      <c r="BC84" s="246" cm="1">
        <f t="array" aca="1" ref="BC8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4" s="166" cm="1">
        <f t="array" ref="BD8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4" s="166" t="e">
        <f>Diesel_RawM_Sec*INDEX(Indicators,MATCH(Impacts_Additional[[#This Row],[Indicator]],Materials!$D:$D,0),MATCH("Diesel Combustion",Materials!$1:$1,0))*Diesel_density*Project_Area*Sec_Lays*Area_trans</f>
        <v>#DIV/0!</v>
      </c>
      <c r="BF84" s="35" t="e" cm="1">
        <f t="array" aca="1" ref="BF8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4" s="35" t="e" cm="1">
        <f t="array" aca="1" ref="BG8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4" t="e" cm="1">
        <f t="array" aca="1" ref="BH8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4" s="35" t="e" cm="1">
        <f t="array" aca="1" ref="BI8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4" s="35" t="e" cm="1">
        <f t="array" aca="1" ref="BJ8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4" t="e" cm="1">
        <f t="array" aca="1" ref="BK8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4" s="35" t="e" cm="1">
        <f t="array" aca="1" ref="BL8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4" s="35" t="e" cm="1">
        <f t="array" aca="1" ref="BM8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4" t="e" cm="1">
        <f t="array" aca="1" ref="BN8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4" s="35" t="e" cm="1">
        <f t="array" aca="1" ref="BO8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4" s="35" t="e" cm="1">
        <f t="array" aca="1" ref="BP8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4" t="e" cm="1">
        <f t="array" aca="1" ref="BQ8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4" s="35" t="e" cm="1">
        <f t="array" aca="1" ref="BR8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4" s="35" t="e" cm="1">
        <f t="array" aca="1" ref="BS8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4" t="e" cm="1">
        <f t="array" aca="1" ref="BT8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4" s="35" t="e" cm="1">
        <f t="array" aca="1" ref="BU8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4" s="35" t="e" cm="1">
        <f t="array" aca="1" ref="BV8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4" t="e" cm="1">
        <f t="array" aca="1" ref="BW8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4" s="35" t="e" cm="1">
        <f t="array" aca="1" ref="BX8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4" s="35" t="e" cm="1">
        <f t="array" aca="1" ref="BY8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4" t="e" cm="1">
        <f t="array" aca="1" ref="BZ8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4" s="35" t="e" cm="1">
        <f t="array" aca="1" ref="CA8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4" s="35" t="e" cm="1">
        <f t="array" aca="1" ref="CB8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4" t="e" cm="1">
        <f t="array" aca="1" ref="CC8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4" s="35" t="e" cm="1">
        <f t="array" aca="1" ref="CD8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4" s="35" t="e" cm="1">
        <f t="array" aca="1" ref="CE8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4" t="e" cm="1">
        <f t="array" aca="1" ref="CF8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4" s="166" cm="1">
        <f t="array" aca="1" ref="CG84"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4" s="375" cm="1">
        <f t="array" aca="1" ref="CH8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4" s="247" cm="1">
        <f t="array" aca="1" ref="CI84" ca="1">(SUMPRODUCT(Delay_emissions_table[Consumption of Diesel (kg) - Secondary Scenario],IF(Delay_emissions_table[Form of Maintenance - Secondary Scenario]="Life Extension",1,0))*INDEX(Indicators,MATCH('Additional Impact Indicators'!$A84,Materials!$D:$D,0),MATCH("diesel combustion",Materials!$1:$1,0))+SUMPRODUCT(Delay_emissions_table[Consumption of Petrol (kg) - Secondary Scenario],IF(Delay_emissions_table[Form of Maintenance - Secondary Scenario]="Life Extension",1,0))*INDEX(Indicators,MATCH('Additional Impact Indicators'!$A84,Materials!$D:$D,0),MATCH("petrol combustion",Materials!$1:$1,0))+IFERROR(SUMPRODUCT(TRANSPOSE(INDEX(elec_project_emissions,MATCH(Elec_scenario&amp;'Additional Impact Indicators'!$B84,INDEX(Electricity_projection,0,3),0)-1,0)),Delay_emissions_table[Consumption of electricity (MJ) - Secondary Scenario],IF(Delay_emissions_table[Form of Maintenance - Secondary Scenario]="Life Extension",1,0)),0))*Area_trans*time_adj_Sec</f>
        <v>0</v>
      </c>
      <c r="CJ84" s="247" cm="1">
        <f t="array" aca="1" ref="CJ84" ca="1">(SUMPRODUCT(Delay_emissions_table[Consumption of Diesel (kg) - Secondary Scenario],IF(Delay_emissions_table[Form of Maintenance - Secondary Scenario]="Replacement",1,0))*INDEX(Indicators,MATCH('Additional Impact Indicators'!$A84,Materials!$D:$D,0),MATCH("diesel combustion",Materials!$1:$1,0))+SUMPRODUCT(Delay_emissions_table[Consumption of Petrol (kg) - Secondary Scenario],IF(Delay_emissions_table[Form of Maintenance - Secondary Scenario]="Replacement",1,0))*INDEX(Indicators,MATCH('Additional Impact Indicators'!$A84,Materials!$D:$D,0),MATCH("petrol combustion",Materials!$1:$1,0))+IFERROR(SUMPRODUCT(TRANSPOSE(INDEX(elec_project_emissions,MATCH(Elec_scenario&amp;'Additional Impact Indicators'!$B84,INDEX(Electricity_projection,0,3),0)-1,0)),Delay_emissions_table[Consumption of electricity (MJ) - Secondary Scenario],IF(Delay_emissions_table[Form of Maintenance - Secondary Scenario]="Replacement",1,0)),0))*Area_trans*time_adj_Sec</f>
        <v>0</v>
      </c>
      <c r="CK84" s="248" t="e" cm="1">
        <f t="array" ref="CK8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4" s="248" t="e" cm="1">
        <f t="array" ref="CL8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4" s="249" t="e" cm="1">
        <f t="array" ref="CM8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4" s="387" t="e" cm="1">
        <f t="array" ref="CN8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4" s="51" t="e">
        <f ca="1">SUMIF(Table3[[#This Row],[Raw-Materials]:[Transport to recycling facility]],"&lt;&gt;#N/A")</f>
        <v>#DIV/0!</v>
      </c>
      <c r="CT84" t="s">
        <v>580</v>
      </c>
      <c r="CU84" t="s">
        <v>388</v>
      </c>
      <c r="CV84" t="str">
        <f t="shared" si="6"/>
        <v>A2</v>
      </c>
      <c r="CW84" t="s">
        <v>54</v>
      </c>
      <c r="CY84">
        <f>MATCH(Table611[[#This Row],[Indicator]],Material_Impacts[Look up],0)</f>
        <v>24</v>
      </c>
      <c r="CZ84" s="246" cm="1">
        <f t="array" aca="1" ref="CZ8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4" s="166" cm="1">
        <f t="array" ref="DA8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4" s="166" t="e">
        <f>Diesel_RawM_Tert*INDEX(Indicators,MATCH(Impacts_Additional[[#This Row],[Indicator]],Materials!$D:$D,0),MATCH("Diesel Combustion",Materials!$1:$1,0))*Diesel_density*Project_Area*Tert_Lays*Area_trans</f>
        <v>#DIV/0!</v>
      </c>
      <c r="DC84" s="35" t="e" cm="1">
        <f t="array" aca="1" ref="DC8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4" s="35" t="e" cm="1">
        <f t="array" aca="1" ref="DD8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4" t="e" cm="1">
        <f t="array" aca="1" ref="DE8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4" s="35" t="e" cm="1">
        <f t="array" aca="1" ref="DF8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4" s="35" t="e" cm="1">
        <f t="array" aca="1" ref="DG8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4" t="e" cm="1">
        <f t="array" aca="1" ref="DH8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4" s="35" t="e" cm="1">
        <f t="array" aca="1" ref="DI8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4" s="35" t="e" cm="1">
        <f t="array" aca="1" ref="DJ8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4" t="e" cm="1">
        <f t="array" aca="1" ref="DK8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4" s="35" t="e" cm="1">
        <f t="array" aca="1" ref="DL8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4" s="35" t="e" cm="1">
        <f t="array" aca="1" ref="DM8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4" t="e" cm="1">
        <f t="array" aca="1" ref="DN8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4" s="35" t="e" cm="1">
        <f t="array" aca="1" ref="DO8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4" s="35" t="e" cm="1">
        <f t="array" aca="1" ref="DP8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4" t="e" cm="1">
        <f t="array" aca="1" ref="DQ8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4" s="35" t="e" cm="1">
        <f t="array" aca="1" ref="DR8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4" s="35" t="e" cm="1">
        <f t="array" aca="1" ref="DS8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4" t="e" cm="1">
        <f t="array" aca="1" ref="DT8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4" s="35" t="e" cm="1">
        <f t="array" aca="1" ref="DU8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4" s="35" t="e" cm="1">
        <f t="array" aca="1" ref="DV8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4" t="e" cm="1">
        <f t="array" aca="1" ref="DW8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4" s="35" t="e" cm="1">
        <f t="array" aca="1" ref="DX8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4" s="35" t="e" cm="1">
        <f t="array" aca="1" ref="DY8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4" t="e" cm="1">
        <f t="array" aca="1" ref="DZ8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4" s="35" t="e" cm="1">
        <f t="array" aca="1" ref="EA8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4" s="35" t="e" cm="1">
        <f t="array" aca="1" ref="EB8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4" t="e" cm="1">
        <f t="array" aca="1" ref="EC8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4" s="166" cm="1">
        <f t="array" aca="1" ref="ED84"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4" s="375" cm="1">
        <f t="array" aca="1" ref="EE8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4" s="247" cm="1">
        <f t="array" aca="1" ref="EF84" ca="1">(SUMPRODUCT(Delay_emissions_table[Consumption of Diesel (kg) - Tertiary Scenario],IF(Delay_emissions_table[Form of Maintenance - Tertiary Scenario]="Life Extension",1,0))*INDEX(Indicators,MATCH('Additional Impact Indicators'!$A84,Materials!$D:$D,0),MATCH("diesel combustion",Materials!$1:$1,0))+SUMPRODUCT(Delay_emissions_table[Consumption of Petrol (kg) - Tertiary Scenario],IF(Delay_emissions_table[Form of Maintenance - Tertiary Scenario]="Life Extension",1,0))*INDEX(Indicators,MATCH('Additional Impact Indicators'!$A84,Materials!$D:$D,0),MATCH("petrol combustion",Materials!$1:$1,0))+IFERROR(SUMPRODUCT(TRANSPOSE(INDEX(elec_project_emissions,MATCH(Elec_scenario&amp;'Additional Impact Indicators'!$B84,INDEX(Electricity_projection,0,3),0)-1,0)),Delay_emissions_table[Consumption of electricity (MJ) - Tertiary Scenario],IF(Delay_emissions_table[Form of Maintenance - Tertiary Scenario]="Life Extension",1,0)),0))*Area_trans*Time_adj_Tert</f>
        <v>0</v>
      </c>
      <c r="EG84" s="247" cm="1">
        <f t="array" aca="1" ref="EG84" ca="1">(SUMPRODUCT(Delay_emissions_table[Consumption of Diesel (kg) - Tertiary Scenario],IF(Delay_emissions_table[Form of Maintenance - Tertiary Scenario]="Replacement",1,0))*INDEX(Indicators,MATCH('Additional Impact Indicators'!$A84,Materials!$D:$D,0),MATCH("diesel combustion",Materials!$1:$1,0))+SUMPRODUCT(Delay_emissions_table[Consumption of Petrol (kg) - Tertiary Scenario],IF(Delay_emissions_table[Form of Maintenance - Tertiary Scenario]="Replacement",1,0))*INDEX(Indicators,MATCH('Additional Impact Indicators'!$A84,Materials!$D:$D,0),MATCH("petrol combustion",Materials!$1:$1,0))+IFERROR(SUMPRODUCT(TRANSPOSE(INDEX(elec_project_emissions,MATCH(Elec_scenario&amp;'Additional Impact Indicators'!$B84,INDEX(Electricity_projection,0,3),0)-1,0)),Delay_emissions_table[Consumption of electricity (MJ) - Tertiary Scenario],IF(Delay_emissions_table[Form of Maintenance - Tertiary Scenario]="Replacement",1,0)),0))*Area_trans*Time_adj_Tert</f>
        <v>0</v>
      </c>
      <c r="EH84" s="248" t="e" cm="1">
        <f t="array" ref="EH8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4" s="248" t="e" cm="1">
        <f t="array" ref="EI8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4" s="249" t="e" cm="1">
        <f t="array" ref="EJ8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4" s="249" t="e" cm="1">
        <f t="array" ref="EK8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4" t="e">
        <f ca="1">SUMIF(Table611[[#This Row],[Raw-Materials]:[Transport to recycling facility]],"&lt;&gt;#N/A")</f>
        <v>#DIV/0!</v>
      </c>
    </row>
    <row r="85" spans="1:142" x14ac:dyDescent="0.35">
      <c r="A85" s="155" t="s">
        <v>581</v>
      </c>
      <c r="B85" s="155" t="s">
        <v>382</v>
      </c>
      <c r="C85" s="155" t="str">
        <f t="shared" si="5"/>
        <v>A2</v>
      </c>
      <c r="D85" s="155" t="s">
        <v>54</v>
      </c>
      <c r="E85" s="155"/>
      <c r="F85">
        <f>MATCH(Impacts_Additional[[#This Row],[Indicator]],Material_Impacts[Look up],0)</f>
        <v>25</v>
      </c>
      <c r="G85" s="246" cm="1">
        <f t="array" aca="1" ref="G8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5" s="165" cm="1">
        <f t="array" ref="H8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5" s="165" t="e">
        <f>Diesel_RawM_Prim*INDEX(Indicators,MATCH(Impacts_Additional[[#This Row],[Indicator]],Materials!$D:$D,0),MATCH("Diesel Combustion",Materials!$1:$1,0))*Diesel_density*Project_Area*Prim_Lays*Area_trans</f>
        <v>#DIV/0!</v>
      </c>
      <c r="J85" s="250" t="e" cm="1">
        <f t="array" aca="1" ref="J8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5" s="250" t="e" cm="1">
        <f t="array" aca="1" ref="K8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5" s="250" t="e" cm="1">
        <f t="array" aca="1" ref="L8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5" s="250" t="e" cm="1">
        <f t="array" aca="1" ref="M8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5" s="250" t="e" cm="1">
        <f t="array" aca="1" ref="N8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5" s="250" t="e" cm="1">
        <f t="array" aca="1" ref="O8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5" s="250" t="e" cm="1">
        <f t="array" aca="1" ref="P8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5" s="250" t="e" cm="1">
        <f t="array" aca="1" ref="Q8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5" s="250" t="e" cm="1">
        <f t="array" aca="1" ref="R8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5" s="250" t="e" cm="1">
        <f t="array" aca="1" ref="S8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5" s="250" t="e" cm="1">
        <f t="array" aca="1" ref="T8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5" s="250" t="e" cm="1">
        <f t="array" aca="1" ref="U8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5" s="250" t="e" cm="1">
        <f t="array" aca="1" ref="V8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5" s="250" t="e" cm="1">
        <f t="array" aca="1" ref="W8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5" s="250" t="e" cm="1">
        <f t="array" aca="1" ref="X8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5" s="250" t="e" cm="1">
        <f t="array" aca="1" ref="Y8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5" s="250" t="e" cm="1">
        <f t="array" aca="1" ref="Z8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5" s="250" t="e" cm="1">
        <f t="array" aca="1" ref="AA8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5" s="250" t="e" cm="1">
        <f t="array" aca="1" ref="AB8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5" s="250" t="e" cm="1">
        <f t="array" aca="1" ref="AC8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5" s="250" t="e" cm="1">
        <f t="array" aca="1" ref="AD8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5" s="250" t="e" cm="1">
        <f t="array" aca="1" ref="AE8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5" s="250" t="e" cm="1">
        <f t="array" aca="1" ref="AF8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5" s="250" t="e" cm="1">
        <f t="array" aca="1" ref="AG8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5" s="250" t="e" cm="1">
        <f t="array" aca="1" ref="AH8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5" s="250" t="e" cm="1">
        <f t="array" aca="1" ref="AI8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5" s="250" t="e" cm="1">
        <f t="array" aca="1" ref="AJ8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5" s="165" cm="1">
        <f t="array" aca="1" ref="AK85"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5" s="254" cm="1">
        <f t="array" aca="1" ref="AL8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5" s="251" cm="1">
        <f t="array" aca="1" ref="AM85" ca="1">(SUMPRODUCT(Delay_emissions_table[Consumption of Diesel (kg) - Primary Scenario],IF(Delay_emissions_table[Form of Maintenance - Primary Scenario]="Life Extension",1,0))*INDEX(Indicators,MATCH('Additional Impact Indicators'!$A85,Materials!$D:$D,0),MATCH("diesel combustion",Materials!$1:$1,0))+SUMPRODUCT(Delay_emissions_table[Consumption of Petrol (kg) - Primary Scenario],IF(Delay_emissions_table[Form of Maintenance - Primary Scenario]="Life Extension",1,0))*INDEX(Indicators,MATCH('Additional Impact Indicators'!$A85,Materials!$D:$D,0),MATCH("petrol combustion",Materials!$1:$1,0))+IFERROR(SUMPRODUCT(TRANSPOSE(INDEX(elec_project_emissions,MATCH(Elec_scenario&amp;'Additional Impact Indicators'!$B85,INDEX(Electricity_projection,0,3),0)-1,0)),Delay_emissions_table[Consumption of electricity (MJ) - Primary Scenario],IF(Delay_emissions_table[Form of Maintenance - Primary Scenario]="Life Extension",1,0)),0))*Area_trans*Time_adj_Prim</f>
        <v>0</v>
      </c>
      <c r="AN85" s="251" cm="1">
        <f t="array" aca="1" ref="AN85" ca="1">(SUMPRODUCT(Delay_emissions_table[Consumption of Diesel (kg) - Primary Scenario],IF(Delay_emissions_table[Form of Maintenance - Primary Scenario]="Replacement",1,0))*INDEX(Indicators,MATCH('Additional Impact Indicators'!$A85,Materials!$D:$D,0),MATCH("diesel combustion",Materials!$1:$1,0))+SUMPRODUCT(Delay_emissions_table[Consumption of Petrol (kg) - Primary Scenario],IF(Delay_emissions_table[Form of Maintenance - Primary Scenario]="Replacement",1,0))*INDEX(Indicators,MATCH('Additional Impact Indicators'!$A85,Materials!$D:$D,0),MATCH("petrol combustion",Materials!$1:$1,0))+IFERROR(SUMPRODUCT(TRANSPOSE(INDEX(elec_project_emissions,MATCH(Elec_scenario&amp;'Additional Impact Indicators'!$B85,INDEX(Electricity_projection,0,3),0)-1,0)),Delay_emissions_table[Consumption of electricity (MJ) - Primary Scenario],IF(Delay_emissions_table[Form of Maintenance - Primary Scenario]="Replacement",1,0)),0))*Area_trans*Time_adj_Prim</f>
        <v>0</v>
      </c>
      <c r="AO85" s="252" t="e" cm="1">
        <f t="array" ref="AO8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5" s="252" t="e" cm="1">
        <f t="array" ref="AP8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5" s="253" t="e" cm="1">
        <f t="array" ref="AQ8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5" s="385" t="e" cm="1">
        <f t="array" ref="AR8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5" t="e">
        <f ca="1">SUMIF('Additional Impact Indicators'!$G85:$AQ85,"&lt;&gt;#N/A")</f>
        <v>#DIV/0!</v>
      </c>
      <c r="AW85" s="155" t="s">
        <v>581</v>
      </c>
      <c r="AX85" s="155" t="s">
        <v>382</v>
      </c>
      <c r="AY85" t="str">
        <f t="shared" si="4"/>
        <v>A2</v>
      </c>
      <c r="AZ85" s="155" t="s">
        <v>54</v>
      </c>
      <c r="BB85">
        <f>MATCH(Table3[[#This Row],[Indicator]],Material_Impacts[Look up],0)</f>
        <v>25</v>
      </c>
      <c r="BC85" s="246" cm="1">
        <f t="array" aca="1" ref="BC8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5" s="165" cm="1">
        <f t="array" ref="BD8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5" s="165" t="e">
        <f>Diesel_RawM_Sec*INDEX(Indicators,MATCH(Impacts_Additional[[#This Row],[Indicator]],Materials!$D:$D,0),MATCH("Diesel Combustion",Materials!$1:$1,0))*Diesel_density*Project_Area*Sec_Lays*Area_trans</f>
        <v>#DIV/0!</v>
      </c>
      <c r="BF85" s="35" t="e" cm="1">
        <f t="array" aca="1" ref="BF8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5" s="35" t="e" cm="1">
        <f t="array" aca="1" ref="BG8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5" t="e" cm="1">
        <f t="array" aca="1" ref="BH8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5" s="35" t="e" cm="1">
        <f t="array" aca="1" ref="BI8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5" s="35" t="e" cm="1">
        <f t="array" aca="1" ref="BJ8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5" t="e" cm="1">
        <f t="array" aca="1" ref="BK8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5" s="35" t="e" cm="1">
        <f t="array" aca="1" ref="BL8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5" s="35" t="e" cm="1">
        <f t="array" aca="1" ref="BM8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5" t="e" cm="1">
        <f t="array" aca="1" ref="BN8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5" s="35" t="e" cm="1">
        <f t="array" aca="1" ref="BO8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5" s="35" t="e" cm="1">
        <f t="array" aca="1" ref="BP8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5" t="e" cm="1">
        <f t="array" aca="1" ref="BQ8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5" s="35" t="e" cm="1">
        <f t="array" aca="1" ref="BR8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5" s="35" t="e" cm="1">
        <f t="array" aca="1" ref="BS8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5" t="e" cm="1">
        <f t="array" aca="1" ref="BT8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5" s="35" t="e" cm="1">
        <f t="array" aca="1" ref="BU8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5" s="35" t="e" cm="1">
        <f t="array" aca="1" ref="BV8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5" t="e" cm="1">
        <f t="array" aca="1" ref="BW8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5" s="35" t="e" cm="1">
        <f t="array" aca="1" ref="BX8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5" s="35" t="e" cm="1">
        <f t="array" aca="1" ref="BY8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5" t="e" cm="1">
        <f t="array" aca="1" ref="BZ8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5" s="35" t="e" cm="1">
        <f t="array" aca="1" ref="CA8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5" s="35" t="e" cm="1">
        <f t="array" aca="1" ref="CB8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5" t="e" cm="1">
        <f t="array" aca="1" ref="CC8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5" s="35" t="e" cm="1">
        <f t="array" aca="1" ref="CD8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5" s="35" t="e" cm="1">
        <f t="array" aca="1" ref="CE8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5" t="e" cm="1">
        <f t="array" aca="1" ref="CF8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5" s="165" cm="1">
        <f t="array" aca="1" ref="CG85"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5" s="375" cm="1">
        <f t="array" aca="1" ref="CH8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5" s="251" cm="1">
        <f t="array" aca="1" ref="CI85" ca="1">(SUMPRODUCT(Delay_emissions_table[Consumption of Diesel (kg) - Secondary Scenario],IF(Delay_emissions_table[Form of Maintenance - Secondary Scenario]="Life Extension",1,0))*INDEX(Indicators,MATCH('Additional Impact Indicators'!$A85,Materials!$D:$D,0),MATCH("diesel combustion",Materials!$1:$1,0))+SUMPRODUCT(Delay_emissions_table[Consumption of Petrol (kg) - Secondary Scenario],IF(Delay_emissions_table[Form of Maintenance - Secondary Scenario]="Life Extension",1,0))*INDEX(Indicators,MATCH('Additional Impact Indicators'!$A85,Materials!$D:$D,0),MATCH("petrol combustion",Materials!$1:$1,0))+IFERROR(SUMPRODUCT(TRANSPOSE(INDEX(elec_project_emissions,MATCH(Elec_scenario&amp;'Additional Impact Indicators'!$B85,INDEX(Electricity_projection,0,3),0)-1,0)),Delay_emissions_table[Consumption of electricity (MJ) - Secondary Scenario],IF(Delay_emissions_table[Form of Maintenance - Secondary Scenario]="Life Extension",1,0)),0))*Area_trans*time_adj_Sec</f>
        <v>0</v>
      </c>
      <c r="CJ85" s="251" cm="1">
        <f t="array" aca="1" ref="CJ85" ca="1">(SUMPRODUCT(Delay_emissions_table[Consumption of Diesel (kg) - Secondary Scenario],IF(Delay_emissions_table[Form of Maintenance - Secondary Scenario]="Replacement",1,0))*INDEX(Indicators,MATCH('Additional Impact Indicators'!$A85,Materials!$D:$D,0),MATCH("diesel combustion",Materials!$1:$1,0))+SUMPRODUCT(Delay_emissions_table[Consumption of Petrol (kg) - Secondary Scenario],IF(Delay_emissions_table[Form of Maintenance - Secondary Scenario]="Replacement",1,0))*INDEX(Indicators,MATCH('Additional Impact Indicators'!$A85,Materials!$D:$D,0),MATCH("petrol combustion",Materials!$1:$1,0))+IFERROR(SUMPRODUCT(TRANSPOSE(INDEX(elec_project_emissions,MATCH(Elec_scenario&amp;'Additional Impact Indicators'!$B85,INDEX(Electricity_projection,0,3),0)-1,0)),Delay_emissions_table[Consumption of electricity (MJ) - Secondary Scenario],IF(Delay_emissions_table[Form of Maintenance - Secondary Scenario]="Replacement",1,0)),0))*Area_trans*time_adj_Sec</f>
        <v>0</v>
      </c>
      <c r="CK85" s="252" t="e" cm="1">
        <f t="array" ref="CK8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5" s="252" t="e" cm="1">
        <f t="array" ref="CL8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5" s="253" t="e" cm="1">
        <f t="array" ref="CM8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5" s="387" t="e" cm="1">
        <f t="array" ref="CN8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5" s="51" t="e">
        <f ca="1">SUMIF(Table3[[#This Row],[Raw-Materials]:[Transport to recycling facility]],"&lt;&gt;#N/A")</f>
        <v>#DIV/0!</v>
      </c>
      <c r="CT85" t="s">
        <v>581</v>
      </c>
      <c r="CU85" t="s">
        <v>382</v>
      </c>
      <c r="CV85" t="str">
        <f t="shared" si="6"/>
        <v>A2</v>
      </c>
      <c r="CW85" t="s">
        <v>54</v>
      </c>
      <c r="CY85">
        <f>MATCH(Table611[[#This Row],[Indicator]],Material_Impacts[Look up],0)</f>
        <v>25</v>
      </c>
      <c r="CZ85" s="246" cm="1">
        <f t="array" aca="1" ref="CZ8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5" s="165" cm="1">
        <f t="array" ref="DA8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5" s="165" t="e">
        <f>Diesel_RawM_Tert*INDEX(Indicators,MATCH(Impacts_Additional[[#This Row],[Indicator]],Materials!$D:$D,0),MATCH("Diesel Combustion",Materials!$1:$1,0))*Diesel_density*Project_Area*Tert_Lays*Area_trans</f>
        <v>#DIV/0!</v>
      </c>
      <c r="DC85" s="35" t="e" cm="1">
        <f t="array" aca="1" ref="DC8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5" s="35" t="e" cm="1">
        <f t="array" aca="1" ref="DD8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5" t="e" cm="1">
        <f t="array" aca="1" ref="DE8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5" s="35" t="e" cm="1">
        <f t="array" aca="1" ref="DF8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5" s="35" t="e" cm="1">
        <f t="array" aca="1" ref="DG8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5" t="e" cm="1">
        <f t="array" aca="1" ref="DH8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5" s="35" t="e" cm="1">
        <f t="array" aca="1" ref="DI8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5" s="35" t="e" cm="1">
        <f t="array" aca="1" ref="DJ8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5" t="e" cm="1">
        <f t="array" aca="1" ref="DK8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5" s="35" t="e" cm="1">
        <f t="array" aca="1" ref="DL8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5" s="35" t="e" cm="1">
        <f t="array" aca="1" ref="DM8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5" t="e" cm="1">
        <f t="array" aca="1" ref="DN8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5" s="35" t="e" cm="1">
        <f t="array" aca="1" ref="DO8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5" s="35" t="e" cm="1">
        <f t="array" aca="1" ref="DP8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5" t="e" cm="1">
        <f t="array" aca="1" ref="DQ8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5" s="35" t="e" cm="1">
        <f t="array" aca="1" ref="DR8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5" s="35" t="e" cm="1">
        <f t="array" aca="1" ref="DS8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5" t="e" cm="1">
        <f t="array" aca="1" ref="DT8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5" s="35" t="e" cm="1">
        <f t="array" aca="1" ref="DU8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5" s="35" t="e" cm="1">
        <f t="array" aca="1" ref="DV8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5" t="e" cm="1">
        <f t="array" aca="1" ref="DW8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5" s="35" t="e" cm="1">
        <f t="array" aca="1" ref="DX8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5" s="35" t="e" cm="1">
        <f t="array" aca="1" ref="DY8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5" t="e" cm="1">
        <f t="array" aca="1" ref="DZ8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5" s="35" t="e" cm="1">
        <f t="array" aca="1" ref="EA8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5" s="35" t="e" cm="1">
        <f t="array" aca="1" ref="EB8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5" t="e" cm="1">
        <f t="array" aca="1" ref="EC8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5" s="165" cm="1">
        <f t="array" aca="1" ref="ED85"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5" s="375" cm="1">
        <f t="array" aca="1" ref="EE8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5" s="251" cm="1">
        <f t="array" aca="1" ref="EF85" ca="1">(SUMPRODUCT(Delay_emissions_table[Consumption of Diesel (kg) - Tertiary Scenario],IF(Delay_emissions_table[Form of Maintenance - Tertiary Scenario]="Life Extension",1,0))*INDEX(Indicators,MATCH('Additional Impact Indicators'!$A85,Materials!$D:$D,0),MATCH("diesel combustion",Materials!$1:$1,0))+SUMPRODUCT(Delay_emissions_table[Consumption of Petrol (kg) - Tertiary Scenario],IF(Delay_emissions_table[Form of Maintenance - Tertiary Scenario]="Life Extension",1,0))*INDEX(Indicators,MATCH('Additional Impact Indicators'!$A85,Materials!$D:$D,0),MATCH("petrol combustion",Materials!$1:$1,0))+IFERROR(SUMPRODUCT(TRANSPOSE(INDEX(elec_project_emissions,MATCH(Elec_scenario&amp;'Additional Impact Indicators'!$B85,INDEX(Electricity_projection,0,3),0)-1,0)),Delay_emissions_table[Consumption of electricity (MJ) - Tertiary Scenario],IF(Delay_emissions_table[Form of Maintenance - Tertiary Scenario]="Life Extension",1,0)),0))*Area_trans*Time_adj_Tert</f>
        <v>0</v>
      </c>
      <c r="EG85" s="251" cm="1">
        <f t="array" aca="1" ref="EG85" ca="1">(SUMPRODUCT(Delay_emissions_table[Consumption of Diesel (kg) - Tertiary Scenario],IF(Delay_emissions_table[Form of Maintenance - Tertiary Scenario]="Replacement",1,0))*INDEX(Indicators,MATCH('Additional Impact Indicators'!$A85,Materials!$D:$D,0),MATCH("diesel combustion",Materials!$1:$1,0))+SUMPRODUCT(Delay_emissions_table[Consumption of Petrol (kg) - Tertiary Scenario],IF(Delay_emissions_table[Form of Maintenance - Tertiary Scenario]="Replacement",1,0))*INDEX(Indicators,MATCH('Additional Impact Indicators'!$A85,Materials!$D:$D,0),MATCH("petrol combustion",Materials!$1:$1,0))+IFERROR(SUMPRODUCT(TRANSPOSE(INDEX(elec_project_emissions,MATCH(Elec_scenario&amp;'Additional Impact Indicators'!$B85,INDEX(Electricity_projection,0,3),0)-1,0)),Delay_emissions_table[Consumption of electricity (MJ) - Tertiary Scenario],IF(Delay_emissions_table[Form of Maintenance - Tertiary Scenario]="Replacement",1,0)),0))*Area_trans*Time_adj_Tert</f>
        <v>0</v>
      </c>
      <c r="EH85" s="252" t="e" cm="1">
        <f t="array" ref="EH8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5" s="252" t="e" cm="1">
        <f t="array" ref="EI8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5" s="253" t="e" cm="1">
        <f t="array" ref="EJ8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5" s="253" t="e" cm="1">
        <f t="array" ref="EK8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5" t="e">
        <f ca="1">SUMIF(Table611[[#This Row],[Raw-Materials]:[Transport to recycling facility]],"&lt;&gt;#N/A")</f>
        <v>#DIV/0!</v>
      </c>
    </row>
    <row r="86" spans="1:142" x14ac:dyDescent="0.35">
      <c r="A86" t="s">
        <v>582</v>
      </c>
      <c r="B86" t="s">
        <v>391</v>
      </c>
      <c r="C86" t="str">
        <f t="shared" si="5"/>
        <v>A2</v>
      </c>
      <c r="D86" t="s">
        <v>54</v>
      </c>
      <c r="F86">
        <f>MATCH(Impacts_Additional[[#This Row],[Indicator]],Material_Impacts[Look up],0)</f>
        <v>26</v>
      </c>
      <c r="G86" s="246" cm="1">
        <f t="array" aca="1" ref="G8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6" s="166" cm="1">
        <f t="array" ref="H8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6" s="166" t="e">
        <f>Diesel_RawM_Prim*INDEX(Indicators,MATCH(Impacts_Additional[[#This Row],[Indicator]],Materials!$D:$D,0),MATCH("Diesel Combustion",Materials!$1:$1,0))*Diesel_density*Project_Area*Prim_Lays*Area_trans</f>
        <v>#DIV/0!</v>
      </c>
      <c r="J86" s="20" t="e" cm="1">
        <f t="array" aca="1" ref="J8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6" s="20" t="e" cm="1">
        <f t="array" aca="1" ref="K8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6" s="20" t="e" cm="1">
        <f t="array" aca="1" ref="L8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6" s="20" t="e" cm="1">
        <f t="array" aca="1" ref="M8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6" s="20" t="e" cm="1">
        <f t="array" aca="1" ref="N8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6" s="20" t="e" cm="1">
        <f t="array" aca="1" ref="O8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6" s="20" t="e" cm="1">
        <f t="array" aca="1" ref="P8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6" s="20" t="e" cm="1">
        <f t="array" aca="1" ref="Q8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6" s="20" t="e" cm="1">
        <f t="array" aca="1" ref="R8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6" s="20" t="e" cm="1">
        <f t="array" aca="1" ref="S8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6" s="20" t="e" cm="1">
        <f t="array" aca="1" ref="T8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6" s="20" t="e" cm="1">
        <f t="array" aca="1" ref="U8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6" s="20" t="e" cm="1">
        <f t="array" aca="1" ref="V8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6" s="20" t="e" cm="1">
        <f t="array" aca="1" ref="W8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6" s="20" t="e" cm="1">
        <f t="array" aca="1" ref="X8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6" s="20" t="e" cm="1">
        <f t="array" aca="1" ref="Y8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6" s="20" t="e" cm="1">
        <f t="array" aca="1" ref="Z8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6" s="20" t="e" cm="1">
        <f t="array" aca="1" ref="AA8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6" s="20" t="e" cm="1">
        <f t="array" aca="1" ref="AB8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6" s="20" t="e" cm="1">
        <f t="array" aca="1" ref="AC8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6" s="20" t="e" cm="1">
        <f t="array" aca="1" ref="AD8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6" s="20" t="e" cm="1">
        <f t="array" aca="1" ref="AE8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6" s="20" t="e" cm="1">
        <f t="array" aca="1" ref="AF8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6" s="20" t="e" cm="1">
        <f t="array" aca="1" ref="AG8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6" s="20" t="e" cm="1">
        <f t="array" aca="1" ref="AH8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6" s="20" t="e" cm="1">
        <f t="array" aca="1" ref="AI8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6" s="20" t="e" cm="1">
        <f t="array" aca="1" ref="AJ8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6" s="166" cm="1">
        <f t="array" aca="1" ref="AK86"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6" s="1" cm="1">
        <f t="array" aca="1" ref="AL8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6" s="247" cm="1">
        <f t="array" aca="1" ref="AM86" ca="1">(SUMPRODUCT(Delay_emissions_table[Consumption of Diesel (kg) - Primary Scenario],IF(Delay_emissions_table[Form of Maintenance - Primary Scenario]="Life Extension",1,0))*INDEX(Indicators,MATCH('Additional Impact Indicators'!$A86,Materials!$D:$D,0),MATCH("diesel combustion",Materials!$1:$1,0))+SUMPRODUCT(Delay_emissions_table[Consumption of Petrol (kg) - Primary Scenario],IF(Delay_emissions_table[Form of Maintenance - Primary Scenario]="Life Extension",1,0))*INDEX(Indicators,MATCH('Additional Impact Indicators'!$A86,Materials!$D:$D,0),MATCH("petrol combustion",Materials!$1:$1,0))+IFERROR(SUMPRODUCT(TRANSPOSE(INDEX(elec_project_emissions,MATCH(Elec_scenario&amp;'Additional Impact Indicators'!$B86,INDEX(Electricity_projection,0,3),0)-1,0)),Delay_emissions_table[Consumption of electricity (MJ) - Primary Scenario],IF(Delay_emissions_table[Form of Maintenance - Primary Scenario]="Life Extension",1,0)),0))*Area_trans*Time_adj_Prim</f>
        <v>0</v>
      </c>
      <c r="AN86" s="247" cm="1">
        <f t="array" aca="1" ref="AN86" ca="1">(SUMPRODUCT(Delay_emissions_table[Consumption of Diesel (kg) - Primary Scenario],IF(Delay_emissions_table[Form of Maintenance - Primary Scenario]="Replacement",1,0))*INDEX(Indicators,MATCH('Additional Impact Indicators'!$A86,Materials!$D:$D,0),MATCH("diesel combustion",Materials!$1:$1,0))+SUMPRODUCT(Delay_emissions_table[Consumption of Petrol (kg) - Primary Scenario],IF(Delay_emissions_table[Form of Maintenance - Primary Scenario]="Replacement",1,0))*INDEX(Indicators,MATCH('Additional Impact Indicators'!$A86,Materials!$D:$D,0),MATCH("petrol combustion",Materials!$1:$1,0))+IFERROR(SUMPRODUCT(TRANSPOSE(INDEX(elec_project_emissions,MATCH(Elec_scenario&amp;'Additional Impact Indicators'!$B86,INDEX(Electricity_projection,0,3),0)-1,0)),Delay_emissions_table[Consumption of electricity (MJ) - Primary Scenario],IF(Delay_emissions_table[Form of Maintenance - Primary Scenario]="Replacement",1,0)),0))*Area_trans*Time_adj_Prim</f>
        <v>0</v>
      </c>
      <c r="AO86" s="248" t="e" cm="1">
        <f t="array" ref="AO8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6" s="248" t="e" cm="1">
        <f t="array" ref="AP8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6" s="249" t="e" cm="1">
        <f t="array" ref="AQ8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6" s="386" t="e" cm="1">
        <f t="array" ref="AR8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6" t="e">
        <f ca="1">SUMIF('Additional Impact Indicators'!$G86:$AQ86,"&lt;&gt;#N/A")</f>
        <v>#DIV/0!</v>
      </c>
      <c r="AW86" t="s">
        <v>582</v>
      </c>
      <c r="AX86" t="s">
        <v>391</v>
      </c>
      <c r="AY86" t="str">
        <f t="shared" si="4"/>
        <v>A2</v>
      </c>
      <c r="AZ86" t="s">
        <v>54</v>
      </c>
      <c r="BB86">
        <f>MATCH(Table3[[#This Row],[Indicator]],Material_Impacts[Look up],0)</f>
        <v>26</v>
      </c>
      <c r="BC86" s="246" cm="1">
        <f t="array" aca="1" ref="BC8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6" s="166" cm="1">
        <f t="array" ref="BD8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6" s="166" t="e">
        <f>Diesel_RawM_Sec*INDEX(Indicators,MATCH(Impacts_Additional[[#This Row],[Indicator]],Materials!$D:$D,0),MATCH("Diesel Combustion",Materials!$1:$1,0))*Diesel_density*Project_Area*Sec_Lays*Area_trans</f>
        <v>#DIV/0!</v>
      </c>
      <c r="BF86" s="35" t="e" cm="1">
        <f t="array" aca="1" ref="BF8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6" s="35" t="e" cm="1">
        <f t="array" aca="1" ref="BG8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6" t="e" cm="1">
        <f t="array" aca="1" ref="BH8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6" s="35" t="e" cm="1">
        <f t="array" aca="1" ref="BI8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6" s="35" t="e" cm="1">
        <f t="array" aca="1" ref="BJ8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6" t="e" cm="1">
        <f t="array" aca="1" ref="BK8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6" s="35" t="e" cm="1">
        <f t="array" aca="1" ref="BL8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6" s="35" t="e" cm="1">
        <f t="array" aca="1" ref="BM8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6" t="e" cm="1">
        <f t="array" aca="1" ref="BN8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6" s="35" t="e" cm="1">
        <f t="array" aca="1" ref="BO8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6" s="35" t="e" cm="1">
        <f t="array" aca="1" ref="BP8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6" t="e" cm="1">
        <f t="array" aca="1" ref="BQ8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6" s="35" t="e" cm="1">
        <f t="array" aca="1" ref="BR8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6" s="35" t="e" cm="1">
        <f t="array" aca="1" ref="BS8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6" t="e" cm="1">
        <f t="array" aca="1" ref="BT8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6" s="35" t="e" cm="1">
        <f t="array" aca="1" ref="BU8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6" s="35" t="e" cm="1">
        <f t="array" aca="1" ref="BV8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6" t="e" cm="1">
        <f t="array" aca="1" ref="BW8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6" s="35" t="e" cm="1">
        <f t="array" aca="1" ref="BX8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6" s="35" t="e" cm="1">
        <f t="array" aca="1" ref="BY8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6" t="e" cm="1">
        <f t="array" aca="1" ref="BZ8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6" s="35" t="e" cm="1">
        <f t="array" aca="1" ref="CA8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6" s="35" t="e" cm="1">
        <f t="array" aca="1" ref="CB8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6" t="e" cm="1">
        <f t="array" aca="1" ref="CC8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6" s="35" t="e" cm="1">
        <f t="array" aca="1" ref="CD8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6" s="35" t="e" cm="1">
        <f t="array" aca="1" ref="CE8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6" t="e" cm="1">
        <f t="array" aca="1" ref="CF8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6" s="166" cm="1">
        <f t="array" aca="1" ref="CG86"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6" s="375" cm="1">
        <f t="array" aca="1" ref="CH8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6" s="247" cm="1">
        <f t="array" aca="1" ref="CI86" ca="1">(SUMPRODUCT(Delay_emissions_table[Consumption of Diesel (kg) - Secondary Scenario],IF(Delay_emissions_table[Form of Maintenance - Secondary Scenario]="Life Extension",1,0))*INDEX(Indicators,MATCH('Additional Impact Indicators'!$A86,Materials!$D:$D,0),MATCH("diesel combustion",Materials!$1:$1,0))+SUMPRODUCT(Delay_emissions_table[Consumption of Petrol (kg) - Secondary Scenario],IF(Delay_emissions_table[Form of Maintenance - Secondary Scenario]="Life Extension",1,0))*INDEX(Indicators,MATCH('Additional Impact Indicators'!$A86,Materials!$D:$D,0),MATCH("petrol combustion",Materials!$1:$1,0))+IFERROR(SUMPRODUCT(TRANSPOSE(INDEX(elec_project_emissions,MATCH(Elec_scenario&amp;'Additional Impact Indicators'!$B86,INDEX(Electricity_projection,0,3),0)-1,0)),Delay_emissions_table[Consumption of electricity (MJ) - Secondary Scenario],IF(Delay_emissions_table[Form of Maintenance - Secondary Scenario]="Life Extension",1,0)),0))*Area_trans*time_adj_Sec</f>
        <v>0</v>
      </c>
      <c r="CJ86" s="247" cm="1">
        <f t="array" aca="1" ref="CJ86" ca="1">(SUMPRODUCT(Delay_emissions_table[Consumption of Diesel (kg) - Secondary Scenario],IF(Delay_emissions_table[Form of Maintenance - Secondary Scenario]="Replacement",1,0))*INDEX(Indicators,MATCH('Additional Impact Indicators'!$A86,Materials!$D:$D,0),MATCH("diesel combustion",Materials!$1:$1,0))+SUMPRODUCT(Delay_emissions_table[Consumption of Petrol (kg) - Secondary Scenario],IF(Delay_emissions_table[Form of Maintenance - Secondary Scenario]="Replacement",1,0))*INDEX(Indicators,MATCH('Additional Impact Indicators'!$A86,Materials!$D:$D,0),MATCH("petrol combustion",Materials!$1:$1,0))+IFERROR(SUMPRODUCT(TRANSPOSE(INDEX(elec_project_emissions,MATCH(Elec_scenario&amp;'Additional Impact Indicators'!$B86,INDEX(Electricity_projection,0,3),0)-1,0)),Delay_emissions_table[Consumption of electricity (MJ) - Secondary Scenario],IF(Delay_emissions_table[Form of Maintenance - Secondary Scenario]="Replacement",1,0)),0))*Area_trans*time_adj_Sec</f>
        <v>0</v>
      </c>
      <c r="CK86" s="248" t="e" cm="1">
        <f t="array" ref="CK8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6" s="248" t="e" cm="1">
        <f t="array" ref="CL8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6" s="249" t="e" cm="1">
        <f t="array" ref="CM8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6" s="387" t="e" cm="1">
        <f t="array" ref="CN8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6" s="51" t="e">
        <f ca="1">SUMIF(Table3[[#This Row],[Raw-Materials]:[Transport to recycling facility]],"&lt;&gt;#N/A")</f>
        <v>#DIV/0!</v>
      </c>
      <c r="CT86" t="s">
        <v>582</v>
      </c>
      <c r="CU86" t="s">
        <v>391</v>
      </c>
      <c r="CV86" t="str">
        <f t="shared" si="6"/>
        <v>A2</v>
      </c>
      <c r="CW86" t="s">
        <v>54</v>
      </c>
      <c r="CY86">
        <f>MATCH(Table611[[#This Row],[Indicator]],Material_Impacts[Look up],0)</f>
        <v>26</v>
      </c>
      <c r="CZ86" s="246" cm="1">
        <f t="array" aca="1" ref="CZ8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6" s="166" cm="1">
        <f t="array" ref="DA8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6" s="166" t="e">
        <f>Diesel_RawM_Tert*INDEX(Indicators,MATCH(Impacts_Additional[[#This Row],[Indicator]],Materials!$D:$D,0),MATCH("Diesel Combustion",Materials!$1:$1,0))*Diesel_density*Project_Area*Tert_Lays*Area_trans</f>
        <v>#DIV/0!</v>
      </c>
      <c r="DC86" s="35" t="e" cm="1">
        <f t="array" aca="1" ref="DC8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6" s="35" t="e" cm="1">
        <f t="array" aca="1" ref="DD8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6" t="e" cm="1">
        <f t="array" aca="1" ref="DE8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6" s="35" t="e" cm="1">
        <f t="array" aca="1" ref="DF8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6" s="35" t="e" cm="1">
        <f t="array" aca="1" ref="DG8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6" t="e" cm="1">
        <f t="array" aca="1" ref="DH8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6" s="35" t="e" cm="1">
        <f t="array" aca="1" ref="DI8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6" s="35" t="e" cm="1">
        <f t="array" aca="1" ref="DJ8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6" t="e" cm="1">
        <f t="array" aca="1" ref="DK8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6" s="35" t="e" cm="1">
        <f t="array" aca="1" ref="DL8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6" s="35" t="e" cm="1">
        <f t="array" aca="1" ref="DM8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6" t="e" cm="1">
        <f t="array" aca="1" ref="DN8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6" s="35" t="e" cm="1">
        <f t="array" aca="1" ref="DO8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6" s="35" t="e" cm="1">
        <f t="array" aca="1" ref="DP8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6" t="e" cm="1">
        <f t="array" aca="1" ref="DQ8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6" s="35" t="e" cm="1">
        <f t="array" aca="1" ref="DR8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6" s="35" t="e" cm="1">
        <f t="array" aca="1" ref="DS8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6" t="e" cm="1">
        <f t="array" aca="1" ref="DT8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6" s="35" t="e" cm="1">
        <f t="array" aca="1" ref="DU8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6" s="35" t="e" cm="1">
        <f t="array" aca="1" ref="DV8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6" t="e" cm="1">
        <f t="array" aca="1" ref="DW8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6" s="35" t="e" cm="1">
        <f t="array" aca="1" ref="DX8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6" s="35" t="e" cm="1">
        <f t="array" aca="1" ref="DY8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6" t="e" cm="1">
        <f t="array" aca="1" ref="DZ8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6" s="35" t="e" cm="1">
        <f t="array" aca="1" ref="EA8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6" s="35" t="e" cm="1">
        <f t="array" aca="1" ref="EB8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6" t="e" cm="1">
        <f t="array" aca="1" ref="EC8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6" s="166" cm="1">
        <f t="array" aca="1" ref="ED86"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6" s="375" cm="1">
        <f t="array" aca="1" ref="EE8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6" s="247" cm="1">
        <f t="array" aca="1" ref="EF86" ca="1">(SUMPRODUCT(Delay_emissions_table[Consumption of Diesel (kg) - Tertiary Scenario],IF(Delay_emissions_table[Form of Maintenance - Tertiary Scenario]="Life Extension",1,0))*INDEX(Indicators,MATCH('Additional Impact Indicators'!$A86,Materials!$D:$D,0),MATCH("diesel combustion",Materials!$1:$1,0))+SUMPRODUCT(Delay_emissions_table[Consumption of Petrol (kg) - Tertiary Scenario],IF(Delay_emissions_table[Form of Maintenance - Tertiary Scenario]="Life Extension",1,0))*INDEX(Indicators,MATCH('Additional Impact Indicators'!$A86,Materials!$D:$D,0),MATCH("petrol combustion",Materials!$1:$1,0))+IFERROR(SUMPRODUCT(TRANSPOSE(INDEX(elec_project_emissions,MATCH(Elec_scenario&amp;'Additional Impact Indicators'!$B86,INDEX(Electricity_projection,0,3),0)-1,0)),Delay_emissions_table[Consumption of electricity (MJ) - Tertiary Scenario],IF(Delay_emissions_table[Form of Maintenance - Tertiary Scenario]="Life Extension",1,0)),0))*Area_trans*Time_adj_Tert</f>
        <v>0</v>
      </c>
      <c r="EG86" s="247" cm="1">
        <f t="array" aca="1" ref="EG86" ca="1">(SUMPRODUCT(Delay_emissions_table[Consumption of Diesel (kg) - Tertiary Scenario],IF(Delay_emissions_table[Form of Maintenance - Tertiary Scenario]="Replacement",1,0))*INDEX(Indicators,MATCH('Additional Impact Indicators'!$A86,Materials!$D:$D,0),MATCH("diesel combustion",Materials!$1:$1,0))+SUMPRODUCT(Delay_emissions_table[Consumption of Petrol (kg) - Tertiary Scenario],IF(Delay_emissions_table[Form of Maintenance - Tertiary Scenario]="Replacement",1,0))*INDEX(Indicators,MATCH('Additional Impact Indicators'!$A86,Materials!$D:$D,0),MATCH("petrol combustion",Materials!$1:$1,0))+IFERROR(SUMPRODUCT(TRANSPOSE(INDEX(elec_project_emissions,MATCH(Elec_scenario&amp;'Additional Impact Indicators'!$B86,INDEX(Electricity_projection,0,3),0)-1,0)),Delay_emissions_table[Consumption of electricity (MJ) - Tertiary Scenario],IF(Delay_emissions_table[Form of Maintenance - Tertiary Scenario]="Replacement",1,0)),0))*Area_trans*Time_adj_Tert</f>
        <v>0</v>
      </c>
      <c r="EH86" s="248" t="e" cm="1">
        <f t="array" ref="EH8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6" s="248" t="e" cm="1">
        <f t="array" ref="EI8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6" s="249" t="e" cm="1">
        <f t="array" ref="EJ8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6" s="249" t="e" cm="1">
        <f t="array" ref="EK8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6" t="e">
        <f ca="1">SUMIF(Table611[[#This Row],[Raw-Materials]:[Transport to recycling facility]],"&lt;&gt;#N/A")</f>
        <v>#DIV/0!</v>
      </c>
    </row>
    <row r="87" spans="1:142" x14ac:dyDescent="0.35">
      <c r="A87" s="155" t="s">
        <v>583</v>
      </c>
      <c r="B87" s="155" t="s">
        <v>489</v>
      </c>
      <c r="C87" s="155" t="str">
        <f t="shared" si="5"/>
        <v>A2</v>
      </c>
      <c r="D87" s="155" t="s">
        <v>54</v>
      </c>
      <c r="E87" s="155"/>
      <c r="F87">
        <f>MATCH(Impacts_Additional[[#This Row],[Indicator]],Material_Impacts[Look up],0)</f>
        <v>27</v>
      </c>
      <c r="G87" s="246" cm="1">
        <f t="array" aca="1" ref="G8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7" s="165" cm="1">
        <f t="array" ref="H8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7" s="165" t="e">
        <f>Diesel_RawM_Prim*INDEX(Indicators,MATCH(Impacts_Additional[[#This Row],[Indicator]],Materials!$D:$D,0),MATCH("Diesel Combustion",Materials!$1:$1,0))*Diesel_density*Project_Area*Prim_Lays*Area_trans</f>
        <v>#DIV/0!</v>
      </c>
      <c r="J87" s="250" t="e" cm="1">
        <f t="array" aca="1" ref="J8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7" s="250" t="e" cm="1">
        <f t="array" aca="1" ref="K8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7" s="250" t="e" cm="1">
        <f t="array" aca="1" ref="L8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7" s="250" t="e" cm="1">
        <f t="array" aca="1" ref="M8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7" s="250" t="e" cm="1">
        <f t="array" aca="1" ref="N8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7" s="250" t="e" cm="1">
        <f t="array" aca="1" ref="O8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7" s="250" t="e" cm="1">
        <f t="array" aca="1" ref="P8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7" s="250" t="e" cm="1">
        <f t="array" aca="1" ref="Q8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7" s="250" t="e" cm="1">
        <f t="array" aca="1" ref="R8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7" s="250" t="e" cm="1">
        <f t="array" aca="1" ref="S8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7" s="250" t="e" cm="1">
        <f t="array" aca="1" ref="T8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7" s="250" t="e" cm="1">
        <f t="array" aca="1" ref="U8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7" s="250" t="e" cm="1">
        <f t="array" aca="1" ref="V8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7" s="250" t="e" cm="1">
        <f t="array" aca="1" ref="W8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7" s="250" t="e" cm="1">
        <f t="array" aca="1" ref="X8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7" s="250" t="e" cm="1">
        <f t="array" aca="1" ref="Y8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7" s="250" t="e" cm="1">
        <f t="array" aca="1" ref="Z8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7" s="250" t="e" cm="1">
        <f t="array" aca="1" ref="AA8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7" s="250" t="e" cm="1">
        <f t="array" aca="1" ref="AB8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7" s="250" t="e" cm="1">
        <f t="array" aca="1" ref="AC8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7" s="250" t="e" cm="1">
        <f t="array" aca="1" ref="AD8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7" s="250" t="e" cm="1">
        <f t="array" aca="1" ref="AE8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7" s="250" t="e" cm="1">
        <f t="array" aca="1" ref="AF8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7" s="250" t="e" cm="1">
        <f t="array" aca="1" ref="AG8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7" s="250" t="e" cm="1">
        <f t="array" aca="1" ref="AH8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7" s="250" t="e" cm="1">
        <f t="array" aca="1" ref="AI8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7" s="250" t="e" cm="1">
        <f t="array" aca="1" ref="AJ8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7" s="165" cm="1">
        <f t="array" aca="1" ref="AK87"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7" s="254" cm="1">
        <f t="array" aca="1" ref="AL8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7" s="251" cm="1">
        <f t="array" aca="1" ref="AM87" ca="1">(SUMPRODUCT(Delay_emissions_table[Consumption of Diesel (kg) - Primary Scenario],IF(Delay_emissions_table[Form of Maintenance - Primary Scenario]="Life Extension",1,0))*INDEX(Indicators,MATCH('Additional Impact Indicators'!$A87,Materials!$D:$D,0),MATCH("diesel combustion",Materials!$1:$1,0))+SUMPRODUCT(Delay_emissions_table[Consumption of Petrol (kg) - Primary Scenario],IF(Delay_emissions_table[Form of Maintenance - Primary Scenario]="Life Extension",1,0))*INDEX(Indicators,MATCH('Additional Impact Indicators'!$A87,Materials!$D:$D,0),MATCH("petrol combustion",Materials!$1:$1,0))+IFERROR(SUMPRODUCT(TRANSPOSE(INDEX(elec_project_emissions,MATCH(Elec_scenario&amp;'Additional Impact Indicators'!$B87,INDEX(Electricity_projection,0,3),0)-1,0)),Delay_emissions_table[Consumption of electricity (MJ) - Primary Scenario],IF(Delay_emissions_table[Form of Maintenance - Primary Scenario]="Life Extension",1,0)),0))*Area_trans*Time_adj_Prim</f>
        <v>0</v>
      </c>
      <c r="AN87" s="251" cm="1">
        <f t="array" aca="1" ref="AN87" ca="1">(SUMPRODUCT(Delay_emissions_table[Consumption of Diesel (kg) - Primary Scenario],IF(Delay_emissions_table[Form of Maintenance - Primary Scenario]="Replacement",1,0))*INDEX(Indicators,MATCH('Additional Impact Indicators'!$A87,Materials!$D:$D,0),MATCH("diesel combustion",Materials!$1:$1,0))+SUMPRODUCT(Delay_emissions_table[Consumption of Petrol (kg) - Primary Scenario],IF(Delay_emissions_table[Form of Maintenance - Primary Scenario]="Replacement",1,0))*INDEX(Indicators,MATCH('Additional Impact Indicators'!$A87,Materials!$D:$D,0),MATCH("petrol combustion",Materials!$1:$1,0))+IFERROR(SUMPRODUCT(TRANSPOSE(INDEX(elec_project_emissions,MATCH(Elec_scenario&amp;'Additional Impact Indicators'!$B87,INDEX(Electricity_projection,0,3),0)-1,0)),Delay_emissions_table[Consumption of electricity (MJ) - Primary Scenario],IF(Delay_emissions_table[Form of Maintenance - Primary Scenario]="Replacement",1,0)),0))*Area_trans*Time_adj_Prim</f>
        <v>0</v>
      </c>
      <c r="AO87" s="252" t="e" cm="1">
        <f t="array" ref="AO8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7" s="252" t="e" cm="1">
        <f t="array" ref="AP8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7" s="253" t="e" cm="1">
        <f t="array" ref="AQ8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7" s="385" t="e" cm="1">
        <f t="array" ref="AR8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7" t="e">
        <f ca="1">SUMIF('Additional Impact Indicators'!$G87:$AQ87,"&lt;&gt;#N/A")</f>
        <v>#DIV/0!</v>
      </c>
      <c r="AW87" s="155" t="s">
        <v>583</v>
      </c>
      <c r="AX87" s="155" t="s">
        <v>489</v>
      </c>
      <c r="AY87" t="str">
        <f t="shared" si="4"/>
        <v>A2</v>
      </c>
      <c r="AZ87" s="155" t="s">
        <v>54</v>
      </c>
      <c r="BB87">
        <f>MATCH(Table3[[#This Row],[Indicator]],Material_Impacts[Look up],0)</f>
        <v>27</v>
      </c>
      <c r="BC87" s="246" cm="1">
        <f t="array" aca="1" ref="BC8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7" s="165" cm="1">
        <f t="array" ref="BD8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7" s="165" t="e">
        <f>Diesel_RawM_Sec*INDEX(Indicators,MATCH(Impacts_Additional[[#This Row],[Indicator]],Materials!$D:$D,0),MATCH("Diesel Combustion",Materials!$1:$1,0))*Diesel_density*Project_Area*Sec_Lays*Area_trans</f>
        <v>#DIV/0!</v>
      </c>
      <c r="BF87" s="35" t="e" cm="1">
        <f t="array" aca="1" ref="BF8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7" s="35" t="e" cm="1">
        <f t="array" aca="1" ref="BG8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7" t="e" cm="1">
        <f t="array" aca="1" ref="BH8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7" s="35" t="e" cm="1">
        <f t="array" aca="1" ref="BI8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7" s="35" t="e" cm="1">
        <f t="array" aca="1" ref="BJ8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7" t="e" cm="1">
        <f t="array" aca="1" ref="BK8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7" s="35" t="e" cm="1">
        <f t="array" aca="1" ref="BL8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7" s="35" t="e" cm="1">
        <f t="array" aca="1" ref="BM8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7" t="e" cm="1">
        <f t="array" aca="1" ref="BN8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7" s="35" t="e" cm="1">
        <f t="array" aca="1" ref="BO8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7" s="35" t="e" cm="1">
        <f t="array" aca="1" ref="BP8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7" t="e" cm="1">
        <f t="array" aca="1" ref="BQ8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7" s="35" t="e" cm="1">
        <f t="array" aca="1" ref="BR8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7" s="35" t="e" cm="1">
        <f t="array" aca="1" ref="BS8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7" t="e" cm="1">
        <f t="array" aca="1" ref="BT8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7" s="35" t="e" cm="1">
        <f t="array" aca="1" ref="BU8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7" s="35" t="e" cm="1">
        <f t="array" aca="1" ref="BV8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7" t="e" cm="1">
        <f t="array" aca="1" ref="BW8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7" s="35" t="e" cm="1">
        <f t="array" aca="1" ref="BX8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7" s="35" t="e" cm="1">
        <f t="array" aca="1" ref="BY8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7" t="e" cm="1">
        <f t="array" aca="1" ref="BZ8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7" s="35" t="e" cm="1">
        <f t="array" aca="1" ref="CA8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7" s="35" t="e" cm="1">
        <f t="array" aca="1" ref="CB8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7" t="e" cm="1">
        <f t="array" aca="1" ref="CC8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7" s="35" t="e" cm="1">
        <f t="array" aca="1" ref="CD8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7" s="35" t="e" cm="1">
        <f t="array" aca="1" ref="CE8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7" t="e" cm="1">
        <f t="array" aca="1" ref="CF8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7" s="165" cm="1">
        <f t="array" aca="1" ref="CG87"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7" s="375" cm="1">
        <f t="array" aca="1" ref="CH8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7" s="251" cm="1">
        <f t="array" aca="1" ref="CI87" ca="1">(SUMPRODUCT(Delay_emissions_table[Consumption of Diesel (kg) - Secondary Scenario],IF(Delay_emissions_table[Form of Maintenance - Secondary Scenario]="Life Extension",1,0))*INDEX(Indicators,MATCH('Additional Impact Indicators'!$A87,Materials!$D:$D,0),MATCH("diesel combustion",Materials!$1:$1,0))+SUMPRODUCT(Delay_emissions_table[Consumption of Petrol (kg) - Secondary Scenario],IF(Delay_emissions_table[Form of Maintenance - Secondary Scenario]="Life Extension",1,0))*INDEX(Indicators,MATCH('Additional Impact Indicators'!$A87,Materials!$D:$D,0),MATCH("petrol combustion",Materials!$1:$1,0))+IFERROR(SUMPRODUCT(TRANSPOSE(INDEX(elec_project_emissions,MATCH(Elec_scenario&amp;'Additional Impact Indicators'!$B87,INDEX(Electricity_projection,0,3),0)-1,0)),Delay_emissions_table[Consumption of electricity (MJ) - Secondary Scenario],IF(Delay_emissions_table[Form of Maintenance - Secondary Scenario]="Life Extension",1,0)),0))*Area_trans*time_adj_Sec</f>
        <v>0</v>
      </c>
      <c r="CJ87" s="251" cm="1">
        <f t="array" aca="1" ref="CJ87" ca="1">(SUMPRODUCT(Delay_emissions_table[Consumption of Diesel (kg) - Secondary Scenario],IF(Delay_emissions_table[Form of Maintenance - Secondary Scenario]="Replacement",1,0))*INDEX(Indicators,MATCH('Additional Impact Indicators'!$A87,Materials!$D:$D,0),MATCH("diesel combustion",Materials!$1:$1,0))+SUMPRODUCT(Delay_emissions_table[Consumption of Petrol (kg) - Secondary Scenario],IF(Delay_emissions_table[Form of Maintenance - Secondary Scenario]="Replacement",1,0))*INDEX(Indicators,MATCH('Additional Impact Indicators'!$A87,Materials!$D:$D,0),MATCH("petrol combustion",Materials!$1:$1,0))+IFERROR(SUMPRODUCT(TRANSPOSE(INDEX(elec_project_emissions,MATCH(Elec_scenario&amp;'Additional Impact Indicators'!$B87,INDEX(Electricity_projection,0,3),0)-1,0)),Delay_emissions_table[Consumption of electricity (MJ) - Secondary Scenario],IF(Delay_emissions_table[Form of Maintenance - Secondary Scenario]="Replacement",1,0)),0))*Area_trans*time_adj_Sec</f>
        <v>0</v>
      </c>
      <c r="CK87" s="252" t="e" cm="1">
        <f t="array" ref="CK8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7" s="252" t="e" cm="1">
        <f t="array" ref="CL8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7" s="253" t="e" cm="1">
        <f t="array" ref="CM8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7" s="387" t="e" cm="1">
        <f t="array" ref="CN8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7" s="51" t="e">
        <f ca="1">SUMIF(Table3[[#This Row],[Raw-Materials]:[Transport to recycling facility]],"&lt;&gt;#N/A")</f>
        <v>#DIV/0!</v>
      </c>
      <c r="CT87" t="s">
        <v>583</v>
      </c>
      <c r="CU87" t="s">
        <v>489</v>
      </c>
      <c r="CV87" t="str">
        <f t="shared" si="6"/>
        <v>A2</v>
      </c>
      <c r="CW87" t="s">
        <v>54</v>
      </c>
      <c r="CY87">
        <f>MATCH(Table611[[#This Row],[Indicator]],Material_Impacts[Look up],0)</f>
        <v>27</v>
      </c>
      <c r="CZ87" s="246" cm="1">
        <f t="array" aca="1" ref="CZ8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7" s="165" cm="1">
        <f t="array" ref="DA8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7" s="165" t="e">
        <f>Diesel_RawM_Tert*INDEX(Indicators,MATCH(Impacts_Additional[[#This Row],[Indicator]],Materials!$D:$D,0),MATCH("Diesel Combustion",Materials!$1:$1,0))*Diesel_density*Project_Area*Tert_Lays*Area_trans</f>
        <v>#DIV/0!</v>
      </c>
      <c r="DC87" s="35" t="e" cm="1">
        <f t="array" aca="1" ref="DC8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7" s="35" t="e" cm="1">
        <f t="array" aca="1" ref="DD8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7" t="e" cm="1">
        <f t="array" aca="1" ref="DE8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7" s="35" t="e" cm="1">
        <f t="array" aca="1" ref="DF8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7" s="35" t="e" cm="1">
        <f t="array" aca="1" ref="DG8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7" t="e" cm="1">
        <f t="array" aca="1" ref="DH8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7" s="35" t="e" cm="1">
        <f t="array" aca="1" ref="DI8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7" s="35" t="e" cm="1">
        <f t="array" aca="1" ref="DJ8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7" t="e" cm="1">
        <f t="array" aca="1" ref="DK8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7" s="35" t="e" cm="1">
        <f t="array" aca="1" ref="DL8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7" s="35" t="e" cm="1">
        <f t="array" aca="1" ref="DM8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7" t="e" cm="1">
        <f t="array" aca="1" ref="DN8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7" s="35" t="e" cm="1">
        <f t="array" aca="1" ref="DO8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7" s="35" t="e" cm="1">
        <f t="array" aca="1" ref="DP8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7" t="e" cm="1">
        <f t="array" aca="1" ref="DQ8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7" s="35" t="e" cm="1">
        <f t="array" aca="1" ref="DR8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7" s="35" t="e" cm="1">
        <f t="array" aca="1" ref="DS8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7" t="e" cm="1">
        <f t="array" aca="1" ref="DT8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7" s="35" t="e" cm="1">
        <f t="array" aca="1" ref="DU8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7" s="35" t="e" cm="1">
        <f t="array" aca="1" ref="DV8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7" t="e" cm="1">
        <f t="array" aca="1" ref="DW8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7" s="35" t="e" cm="1">
        <f t="array" aca="1" ref="DX8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7" s="35" t="e" cm="1">
        <f t="array" aca="1" ref="DY8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7" t="e" cm="1">
        <f t="array" aca="1" ref="DZ8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7" s="35" t="e" cm="1">
        <f t="array" aca="1" ref="EA8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7" s="35" t="e" cm="1">
        <f t="array" aca="1" ref="EB8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7" t="e" cm="1">
        <f t="array" aca="1" ref="EC8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7" s="165" cm="1">
        <f t="array" aca="1" ref="ED87"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7" s="375" cm="1">
        <f t="array" aca="1" ref="EE8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7" s="251" cm="1">
        <f t="array" aca="1" ref="EF87" ca="1">(SUMPRODUCT(Delay_emissions_table[Consumption of Diesel (kg) - Tertiary Scenario],IF(Delay_emissions_table[Form of Maintenance - Tertiary Scenario]="Life Extension",1,0))*INDEX(Indicators,MATCH('Additional Impact Indicators'!$A87,Materials!$D:$D,0),MATCH("diesel combustion",Materials!$1:$1,0))+SUMPRODUCT(Delay_emissions_table[Consumption of Petrol (kg) - Tertiary Scenario],IF(Delay_emissions_table[Form of Maintenance - Tertiary Scenario]="Life Extension",1,0))*INDEX(Indicators,MATCH('Additional Impact Indicators'!$A87,Materials!$D:$D,0),MATCH("petrol combustion",Materials!$1:$1,0))+IFERROR(SUMPRODUCT(TRANSPOSE(INDEX(elec_project_emissions,MATCH(Elec_scenario&amp;'Additional Impact Indicators'!$B87,INDEX(Electricity_projection,0,3),0)-1,0)),Delay_emissions_table[Consumption of electricity (MJ) - Tertiary Scenario],IF(Delay_emissions_table[Form of Maintenance - Tertiary Scenario]="Life Extension",1,0)),0))*Area_trans*Time_adj_Tert</f>
        <v>0</v>
      </c>
      <c r="EG87" s="251" cm="1">
        <f t="array" aca="1" ref="EG87" ca="1">(SUMPRODUCT(Delay_emissions_table[Consumption of Diesel (kg) - Tertiary Scenario],IF(Delay_emissions_table[Form of Maintenance - Tertiary Scenario]="Replacement",1,0))*INDEX(Indicators,MATCH('Additional Impact Indicators'!$A87,Materials!$D:$D,0),MATCH("diesel combustion",Materials!$1:$1,0))+SUMPRODUCT(Delay_emissions_table[Consumption of Petrol (kg) - Tertiary Scenario],IF(Delay_emissions_table[Form of Maintenance - Tertiary Scenario]="Replacement",1,0))*INDEX(Indicators,MATCH('Additional Impact Indicators'!$A87,Materials!$D:$D,0),MATCH("petrol combustion",Materials!$1:$1,0))+IFERROR(SUMPRODUCT(TRANSPOSE(INDEX(elec_project_emissions,MATCH(Elec_scenario&amp;'Additional Impact Indicators'!$B87,INDEX(Electricity_projection,0,3),0)-1,0)),Delay_emissions_table[Consumption of electricity (MJ) - Tertiary Scenario],IF(Delay_emissions_table[Form of Maintenance - Tertiary Scenario]="Replacement",1,0)),0))*Area_trans*Time_adj_Tert</f>
        <v>0</v>
      </c>
      <c r="EH87" s="252" t="e" cm="1">
        <f t="array" ref="EH8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7" s="252" t="e" cm="1">
        <f t="array" ref="EI8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7" s="253" t="e" cm="1">
        <f t="array" ref="EJ8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7" s="253" t="e" cm="1">
        <f t="array" ref="EK8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7" t="e">
        <f ca="1">SUMIF(Table611[[#This Row],[Raw-Materials]:[Transport to recycling facility]],"&lt;&gt;#N/A")</f>
        <v>#DIV/0!</v>
      </c>
    </row>
    <row r="88" spans="1:142" x14ac:dyDescent="0.35">
      <c r="A88" t="s">
        <v>584</v>
      </c>
      <c r="B88" t="s">
        <v>394</v>
      </c>
      <c r="C88" t="str">
        <f t="shared" si="5"/>
        <v>A2</v>
      </c>
      <c r="D88" t="s">
        <v>54</v>
      </c>
      <c r="F88">
        <f>MATCH(Impacts_Additional[[#This Row],[Indicator]],Material_Impacts[Look up],0)</f>
        <v>28</v>
      </c>
      <c r="G88" s="246" cm="1">
        <f t="array" aca="1" ref="G8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8" s="166" cm="1">
        <f t="array" ref="H8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8" s="166" t="e">
        <f>Diesel_RawM_Prim*INDEX(Indicators,MATCH(Impacts_Additional[[#This Row],[Indicator]],Materials!$D:$D,0),MATCH("Diesel Combustion",Materials!$1:$1,0))*Diesel_density*Project_Area*Prim_Lays*Area_trans</f>
        <v>#DIV/0!</v>
      </c>
      <c r="J88" s="20" t="e" cm="1">
        <f t="array" aca="1" ref="J8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8" s="20" t="e" cm="1">
        <f t="array" aca="1" ref="K8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8" s="20" t="e" cm="1">
        <f t="array" aca="1" ref="L8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8" s="20" t="e" cm="1">
        <f t="array" aca="1" ref="M8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8" s="20" t="e" cm="1">
        <f t="array" aca="1" ref="N8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8" s="20" t="e" cm="1">
        <f t="array" aca="1" ref="O8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8" s="20" t="e" cm="1">
        <f t="array" aca="1" ref="P8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8" s="20" t="e" cm="1">
        <f t="array" aca="1" ref="Q8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8" s="20" t="e" cm="1">
        <f t="array" aca="1" ref="R8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8" s="20" t="e" cm="1">
        <f t="array" aca="1" ref="S8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8" s="20" t="e" cm="1">
        <f t="array" aca="1" ref="T8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8" s="20" t="e" cm="1">
        <f t="array" aca="1" ref="U8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8" s="20" t="e" cm="1">
        <f t="array" aca="1" ref="V8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8" s="20" t="e" cm="1">
        <f t="array" aca="1" ref="W8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8" s="20" t="e" cm="1">
        <f t="array" aca="1" ref="X8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8" s="20" t="e" cm="1">
        <f t="array" aca="1" ref="Y8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8" s="20" t="e" cm="1">
        <f t="array" aca="1" ref="Z8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8" s="20" t="e" cm="1">
        <f t="array" aca="1" ref="AA8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8" s="20" t="e" cm="1">
        <f t="array" aca="1" ref="AB8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8" s="20" t="e" cm="1">
        <f t="array" aca="1" ref="AC8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8" s="20" t="e" cm="1">
        <f t="array" aca="1" ref="AD8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8" s="20" t="e" cm="1">
        <f t="array" aca="1" ref="AE8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8" s="20" t="e" cm="1">
        <f t="array" aca="1" ref="AF8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8" s="20" t="e" cm="1">
        <f t="array" aca="1" ref="AG8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8" s="20" t="e" cm="1">
        <f t="array" aca="1" ref="AH8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8" s="20" t="e" cm="1">
        <f t="array" aca="1" ref="AI8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8" s="20" t="e" cm="1">
        <f t="array" aca="1" ref="AJ8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8" s="166" cm="1">
        <f t="array" aca="1" ref="AK88"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8" s="1" cm="1">
        <f t="array" aca="1" ref="AL8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8" s="247" cm="1">
        <f t="array" aca="1" ref="AM88" ca="1">(SUMPRODUCT(Delay_emissions_table[Consumption of Diesel (kg) - Primary Scenario],IF(Delay_emissions_table[Form of Maintenance - Primary Scenario]="Life Extension",1,0))*INDEX(Indicators,MATCH('Additional Impact Indicators'!$A88,Materials!$D:$D,0),MATCH("diesel combustion",Materials!$1:$1,0))+SUMPRODUCT(Delay_emissions_table[Consumption of Petrol (kg) - Primary Scenario],IF(Delay_emissions_table[Form of Maintenance - Primary Scenario]="Life Extension",1,0))*INDEX(Indicators,MATCH('Additional Impact Indicators'!$A88,Materials!$D:$D,0),MATCH("petrol combustion",Materials!$1:$1,0))+IFERROR(SUMPRODUCT(TRANSPOSE(INDEX(elec_project_emissions,MATCH(Elec_scenario&amp;'Additional Impact Indicators'!$B88,INDEX(Electricity_projection,0,3),0)-1,0)),Delay_emissions_table[Consumption of electricity (MJ) - Primary Scenario],IF(Delay_emissions_table[Form of Maintenance - Primary Scenario]="Life Extension",1,0)),0))*Area_trans*Time_adj_Prim</f>
        <v>0</v>
      </c>
      <c r="AN88" s="247" cm="1">
        <f t="array" aca="1" ref="AN88" ca="1">(SUMPRODUCT(Delay_emissions_table[Consumption of Diesel (kg) - Primary Scenario],IF(Delay_emissions_table[Form of Maintenance - Primary Scenario]="Replacement",1,0))*INDEX(Indicators,MATCH('Additional Impact Indicators'!$A88,Materials!$D:$D,0),MATCH("diesel combustion",Materials!$1:$1,0))+SUMPRODUCT(Delay_emissions_table[Consumption of Petrol (kg) - Primary Scenario],IF(Delay_emissions_table[Form of Maintenance - Primary Scenario]="Replacement",1,0))*INDEX(Indicators,MATCH('Additional Impact Indicators'!$A88,Materials!$D:$D,0),MATCH("petrol combustion",Materials!$1:$1,0))+IFERROR(SUMPRODUCT(TRANSPOSE(INDEX(elec_project_emissions,MATCH(Elec_scenario&amp;'Additional Impact Indicators'!$B88,INDEX(Electricity_projection,0,3),0)-1,0)),Delay_emissions_table[Consumption of electricity (MJ) - Primary Scenario],IF(Delay_emissions_table[Form of Maintenance - Primary Scenario]="Replacement",1,0)),0))*Area_trans*Time_adj_Prim</f>
        <v>0</v>
      </c>
      <c r="AO88" s="248" t="e" cm="1">
        <f t="array" ref="AO8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8" s="248" t="e" cm="1">
        <f t="array" ref="AP8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8" s="249" t="e" cm="1">
        <f t="array" ref="AQ8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8" s="386" t="e" cm="1">
        <f t="array" ref="AR8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8" t="e">
        <f ca="1">SUMIF('Additional Impact Indicators'!$G88:$AQ88,"&lt;&gt;#N/A")</f>
        <v>#DIV/0!</v>
      </c>
      <c r="AW88" t="s">
        <v>584</v>
      </c>
      <c r="AX88" t="s">
        <v>394</v>
      </c>
      <c r="AY88" t="str">
        <f t="shared" si="4"/>
        <v>A2</v>
      </c>
      <c r="AZ88" t="s">
        <v>54</v>
      </c>
      <c r="BB88">
        <f>MATCH(Table3[[#This Row],[Indicator]],Material_Impacts[Look up],0)</f>
        <v>28</v>
      </c>
      <c r="BC88" s="246" cm="1">
        <f t="array" aca="1" ref="BC8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8" s="166" cm="1">
        <f t="array" ref="BD8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8" s="166" t="e">
        <f>Diesel_RawM_Sec*INDEX(Indicators,MATCH(Impacts_Additional[[#This Row],[Indicator]],Materials!$D:$D,0),MATCH("Diesel Combustion",Materials!$1:$1,0))*Diesel_density*Project_Area*Sec_Lays*Area_trans</f>
        <v>#DIV/0!</v>
      </c>
      <c r="BF88" s="35" t="e" cm="1">
        <f t="array" aca="1" ref="BF8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8" s="35" t="e" cm="1">
        <f t="array" aca="1" ref="BG8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8" t="e" cm="1">
        <f t="array" aca="1" ref="BH8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8" s="35" t="e" cm="1">
        <f t="array" aca="1" ref="BI8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8" s="35" t="e" cm="1">
        <f t="array" aca="1" ref="BJ8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8" t="e" cm="1">
        <f t="array" aca="1" ref="BK8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8" s="35" t="e" cm="1">
        <f t="array" aca="1" ref="BL8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8" s="35" t="e" cm="1">
        <f t="array" aca="1" ref="BM8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8" t="e" cm="1">
        <f t="array" aca="1" ref="BN8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8" s="35" t="e" cm="1">
        <f t="array" aca="1" ref="BO8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8" s="35" t="e" cm="1">
        <f t="array" aca="1" ref="BP8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8" t="e" cm="1">
        <f t="array" aca="1" ref="BQ8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8" s="35" t="e" cm="1">
        <f t="array" aca="1" ref="BR8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8" s="35" t="e" cm="1">
        <f t="array" aca="1" ref="BS8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8" t="e" cm="1">
        <f t="array" aca="1" ref="BT8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8" s="35" t="e" cm="1">
        <f t="array" aca="1" ref="BU8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8" s="35" t="e" cm="1">
        <f t="array" aca="1" ref="BV8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8" t="e" cm="1">
        <f t="array" aca="1" ref="BW8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8" s="35" t="e" cm="1">
        <f t="array" aca="1" ref="BX8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8" s="35" t="e" cm="1">
        <f t="array" aca="1" ref="BY8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8" t="e" cm="1">
        <f t="array" aca="1" ref="BZ8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8" s="35" t="e" cm="1">
        <f t="array" aca="1" ref="CA8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8" s="35" t="e" cm="1">
        <f t="array" aca="1" ref="CB8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8" t="e" cm="1">
        <f t="array" aca="1" ref="CC8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8" s="35" t="e" cm="1">
        <f t="array" aca="1" ref="CD8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8" s="35" t="e" cm="1">
        <f t="array" aca="1" ref="CE8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8" t="e" cm="1">
        <f t="array" aca="1" ref="CF8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8" s="166" cm="1">
        <f t="array" aca="1" ref="CG88"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8" s="375" cm="1">
        <f t="array" aca="1" ref="CH8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8" s="247" cm="1">
        <f t="array" aca="1" ref="CI88" ca="1">(SUMPRODUCT(Delay_emissions_table[Consumption of Diesel (kg) - Secondary Scenario],IF(Delay_emissions_table[Form of Maintenance - Secondary Scenario]="Life Extension",1,0))*INDEX(Indicators,MATCH('Additional Impact Indicators'!$A88,Materials!$D:$D,0),MATCH("diesel combustion",Materials!$1:$1,0))+SUMPRODUCT(Delay_emissions_table[Consumption of Petrol (kg) - Secondary Scenario],IF(Delay_emissions_table[Form of Maintenance - Secondary Scenario]="Life Extension",1,0))*INDEX(Indicators,MATCH('Additional Impact Indicators'!$A88,Materials!$D:$D,0),MATCH("petrol combustion",Materials!$1:$1,0))+IFERROR(SUMPRODUCT(TRANSPOSE(INDEX(elec_project_emissions,MATCH(Elec_scenario&amp;'Additional Impact Indicators'!$B88,INDEX(Electricity_projection,0,3),0)-1,0)),Delay_emissions_table[Consumption of electricity (MJ) - Secondary Scenario],IF(Delay_emissions_table[Form of Maintenance - Secondary Scenario]="Life Extension",1,0)),0))*Area_trans*time_adj_Sec</f>
        <v>0</v>
      </c>
      <c r="CJ88" s="247" cm="1">
        <f t="array" aca="1" ref="CJ88" ca="1">(SUMPRODUCT(Delay_emissions_table[Consumption of Diesel (kg) - Secondary Scenario],IF(Delay_emissions_table[Form of Maintenance - Secondary Scenario]="Replacement",1,0))*INDEX(Indicators,MATCH('Additional Impact Indicators'!$A88,Materials!$D:$D,0),MATCH("diesel combustion",Materials!$1:$1,0))+SUMPRODUCT(Delay_emissions_table[Consumption of Petrol (kg) - Secondary Scenario],IF(Delay_emissions_table[Form of Maintenance - Secondary Scenario]="Replacement",1,0))*INDEX(Indicators,MATCH('Additional Impact Indicators'!$A88,Materials!$D:$D,0),MATCH("petrol combustion",Materials!$1:$1,0))+IFERROR(SUMPRODUCT(TRANSPOSE(INDEX(elec_project_emissions,MATCH(Elec_scenario&amp;'Additional Impact Indicators'!$B88,INDEX(Electricity_projection,0,3),0)-1,0)),Delay_emissions_table[Consumption of electricity (MJ) - Secondary Scenario],IF(Delay_emissions_table[Form of Maintenance - Secondary Scenario]="Replacement",1,0)),0))*Area_trans*time_adj_Sec</f>
        <v>0</v>
      </c>
      <c r="CK88" s="248" t="e" cm="1">
        <f t="array" ref="CK8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8" s="248" t="e" cm="1">
        <f t="array" ref="CL8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8" s="249" t="e" cm="1">
        <f t="array" ref="CM8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8" s="387" t="e" cm="1">
        <f t="array" ref="CN8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8" s="51" t="e">
        <f ca="1">SUMIF(Table3[[#This Row],[Raw-Materials]:[Transport to recycling facility]],"&lt;&gt;#N/A")</f>
        <v>#DIV/0!</v>
      </c>
      <c r="CT88" t="s">
        <v>584</v>
      </c>
      <c r="CU88" t="s">
        <v>394</v>
      </c>
      <c r="CV88" t="str">
        <f t="shared" si="6"/>
        <v>A2</v>
      </c>
      <c r="CW88" t="s">
        <v>54</v>
      </c>
      <c r="CY88">
        <f>MATCH(Table611[[#This Row],[Indicator]],Material_Impacts[Look up],0)</f>
        <v>28</v>
      </c>
      <c r="CZ88" s="246" cm="1">
        <f t="array" aca="1" ref="CZ8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8" s="166" cm="1">
        <f t="array" ref="DA8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8" s="166" t="e">
        <f>Diesel_RawM_Tert*INDEX(Indicators,MATCH(Impacts_Additional[[#This Row],[Indicator]],Materials!$D:$D,0),MATCH("Diesel Combustion",Materials!$1:$1,0))*Diesel_density*Project_Area*Tert_Lays*Area_trans</f>
        <v>#DIV/0!</v>
      </c>
      <c r="DC88" s="35" t="e" cm="1">
        <f t="array" aca="1" ref="DC8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8" s="35" t="e" cm="1">
        <f t="array" aca="1" ref="DD8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8" t="e" cm="1">
        <f t="array" aca="1" ref="DE8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8" s="35" t="e" cm="1">
        <f t="array" aca="1" ref="DF8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8" s="35" t="e" cm="1">
        <f t="array" aca="1" ref="DG8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8" t="e" cm="1">
        <f t="array" aca="1" ref="DH8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8" s="35" t="e" cm="1">
        <f t="array" aca="1" ref="DI8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8" s="35" t="e" cm="1">
        <f t="array" aca="1" ref="DJ8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8" t="e" cm="1">
        <f t="array" aca="1" ref="DK8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8" s="35" t="e" cm="1">
        <f t="array" aca="1" ref="DL8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8" s="35" t="e" cm="1">
        <f t="array" aca="1" ref="DM8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8" t="e" cm="1">
        <f t="array" aca="1" ref="DN8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8" s="35" t="e" cm="1">
        <f t="array" aca="1" ref="DO8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8" s="35" t="e" cm="1">
        <f t="array" aca="1" ref="DP8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8" t="e" cm="1">
        <f t="array" aca="1" ref="DQ8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8" s="35" t="e" cm="1">
        <f t="array" aca="1" ref="DR8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8" s="35" t="e" cm="1">
        <f t="array" aca="1" ref="DS8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8" t="e" cm="1">
        <f t="array" aca="1" ref="DT8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8" s="35" t="e" cm="1">
        <f t="array" aca="1" ref="DU8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8" s="35" t="e" cm="1">
        <f t="array" aca="1" ref="DV8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8" t="e" cm="1">
        <f t="array" aca="1" ref="DW8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8" s="35" t="e" cm="1">
        <f t="array" aca="1" ref="DX8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8" s="35" t="e" cm="1">
        <f t="array" aca="1" ref="DY8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8" t="e" cm="1">
        <f t="array" aca="1" ref="DZ8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8" s="35" t="e" cm="1">
        <f t="array" aca="1" ref="EA8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8" s="35" t="e" cm="1">
        <f t="array" aca="1" ref="EB8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8" t="e" cm="1">
        <f t="array" aca="1" ref="EC8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8" s="166" cm="1">
        <f t="array" aca="1" ref="ED88"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8" s="375" cm="1">
        <f t="array" aca="1" ref="EE8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8" s="247" cm="1">
        <f t="array" aca="1" ref="EF88" ca="1">(SUMPRODUCT(Delay_emissions_table[Consumption of Diesel (kg) - Tertiary Scenario],IF(Delay_emissions_table[Form of Maintenance - Tertiary Scenario]="Life Extension",1,0))*INDEX(Indicators,MATCH('Additional Impact Indicators'!$A88,Materials!$D:$D,0),MATCH("diesel combustion",Materials!$1:$1,0))+SUMPRODUCT(Delay_emissions_table[Consumption of Petrol (kg) - Tertiary Scenario],IF(Delay_emissions_table[Form of Maintenance - Tertiary Scenario]="Life Extension",1,0))*INDEX(Indicators,MATCH('Additional Impact Indicators'!$A88,Materials!$D:$D,0),MATCH("petrol combustion",Materials!$1:$1,0))+IFERROR(SUMPRODUCT(TRANSPOSE(INDEX(elec_project_emissions,MATCH(Elec_scenario&amp;'Additional Impact Indicators'!$B88,INDEX(Electricity_projection,0,3),0)-1,0)),Delay_emissions_table[Consumption of electricity (MJ) - Tertiary Scenario],IF(Delay_emissions_table[Form of Maintenance - Tertiary Scenario]="Life Extension",1,0)),0))*Area_trans*Time_adj_Tert</f>
        <v>0</v>
      </c>
      <c r="EG88" s="247" cm="1">
        <f t="array" aca="1" ref="EG88" ca="1">(SUMPRODUCT(Delay_emissions_table[Consumption of Diesel (kg) - Tertiary Scenario],IF(Delay_emissions_table[Form of Maintenance - Tertiary Scenario]="Replacement",1,0))*INDEX(Indicators,MATCH('Additional Impact Indicators'!$A88,Materials!$D:$D,0),MATCH("diesel combustion",Materials!$1:$1,0))+SUMPRODUCT(Delay_emissions_table[Consumption of Petrol (kg) - Tertiary Scenario],IF(Delay_emissions_table[Form of Maintenance - Tertiary Scenario]="Replacement",1,0))*INDEX(Indicators,MATCH('Additional Impact Indicators'!$A88,Materials!$D:$D,0),MATCH("petrol combustion",Materials!$1:$1,0))+IFERROR(SUMPRODUCT(TRANSPOSE(INDEX(elec_project_emissions,MATCH(Elec_scenario&amp;'Additional Impact Indicators'!$B88,INDEX(Electricity_projection,0,3),0)-1,0)),Delay_emissions_table[Consumption of electricity (MJ) - Tertiary Scenario],IF(Delay_emissions_table[Form of Maintenance - Tertiary Scenario]="Replacement",1,0)),0))*Area_trans*Time_adj_Tert</f>
        <v>0</v>
      </c>
      <c r="EH88" s="248" t="e" cm="1">
        <f t="array" ref="EH8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8" s="248" t="e" cm="1">
        <f t="array" ref="EI8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8" s="249" t="e" cm="1">
        <f t="array" ref="EJ8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8" s="249" t="e" cm="1">
        <f t="array" ref="EK8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8" t="e">
        <f ca="1">SUMIF(Table611[[#This Row],[Raw-Materials]:[Transport to recycling facility]],"&lt;&gt;#N/A")</f>
        <v>#DIV/0!</v>
      </c>
    </row>
    <row r="89" spans="1:142" x14ac:dyDescent="0.35">
      <c r="A89" s="155" t="s">
        <v>585</v>
      </c>
      <c r="B89" s="155" t="s">
        <v>397</v>
      </c>
      <c r="C89" s="155" t="str">
        <f t="shared" si="5"/>
        <v>A2</v>
      </c>
      <c r="D89" s="155" t="s">
        <v>54</v>
      </c>
      <c r="E89" s="155"/>
      <c r="F89">
        <f>MATCH(Impacts_Additional[[#This Row],[Indicator]],Material_Impacts[Look up],0)</f>
        <v>29</v>
      </c>
      <c r="G89" s="246" cm="1">
        <f t="array" aca="1" ref="G8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89" s="165" cm="1">
        <f t="array" ref="H8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89" s="165" t="e">
        <f>Diesel_RawM_Prim*INDEX(Indicators,MATCH(Impacts_Additional[[#This Row],[Indicator]],Materials!$D:$D,0),MATCH("Diesel Combustion",Materials!$1:$1,0))*Diesel_density*Project_Area*Prim_Lays*Area_trans</f>
        <v>#DIV/0!</v>
      </c>
      <c r="J89" s="250" t="e" cm="1">
        <f t="array" aca="1" ref="J8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89" s="250" t="e" cm="1">
        <f t="array" aca="1" ref="K8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89" s="250" t="e" cm="1">
        <f t="array" aca="1" ref="L8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89" s="250" t="e" cm="1">
        <f t="array" aca="1" ref="M8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89" s="250" t="e" cm="1">
        <f t="array" aca="1" ref="N8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89" s="250" t="e" cm="1">
        <f t="array" aca="1" ref="O8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89" s="250" t="e" cm="1">
        <f t="array" aca="1" ref="P8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89" s="250" t="e" cm="1">
        <f t="array" aca="1" ref="Q8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89" s="250" t="e" cm="1">
        <f t="array" aca="1" ref="R8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89" s="250" t="e" cm="1">
        <f t="array" aca="1" ref="S8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89" s="250" t="e" cm="1">
        <f t="array" aca="1" ref="T8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89" s="250" t="e" cm="1">
        <f t="array" aca="1" ref="U8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89" s="250" t="e" cm="1">
        <f t="array" aca="1" ref="V8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89" s="250" t="e" cm="1">
        <f t="array" aca="1" ref="W8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89" s="250" t="e" cm="1">
        <f t="array" aca="1" ref="X8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89" s="250" t="e" cm="1">
        <f t="array" aca="1" ref="Y8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89" s="250" t="e" cm="1">
        <f t="array" aca="1" ref="Z8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89" s="250" t="e" cm="1">
        <f t="array" aca="1" ref="AA8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89" s="250" t="e" cm="1">
        <f t="array" aca="1" ref="AB8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89" s="250" t="e" cm="1">
        <f t="array" aca="1" ref="AC8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89" s="250" t="e" cm="1">
        <f t="array" aca="1" ref="AD8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89" s="250" t="e" cm="1">
        <f t="array" aca="1" ref="AE8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89" s="250" t="e" cm="1">
        <f t="array" aca="1" ref="AF8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89" s="250" t="e" cm="1">
        <f t="array" aca="1" ref="AG8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89" s="250" t="e" cm="1">
        <f t="array" aca="1" ref="AH8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89" s="250" t="e" cm="1">
        <f t="array" aca="1" ref="AI8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89" s="250" t="e" cm="1">
        <f t="array" aca="1" ref="AJ8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89" s="165" cm="1">
        <f t="array" aca="1" ref="AK89"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89" s="254" cm="1">
        <f t="array" aca="1" ref="AL8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89" s="251" cm="1">
        <f t="array" aca="1" ref="AM89" ca="1">(SUMPRODUCT(Delay_emissions_table[Consumption of Diesel (kg) - Primary Scenario],IF(Delay_emissions_table[Form of Maintenance - Primary Scenario]="Life Extension",1,0))*INDEX(Indicators,MATCH('Additional Impact Indicators'!$A89,Materials!$D:$D,0),MATCH("diesel combustion",Materials!$1:$1,0))+SUMPRODUCT(Delay_emissions_table[Consumption of Petrol (kg) - Primary Scenario],IF(Delay_emissions_table[Form of Maintenance - Primary Scenario]="Life Extension",1,0))*INDEX(Indicators,MATCH('Additional Impact Indicators'!$A89,Materials!$D:$D,0),MATCH("petrol combustion",Materials!$1:$1,0))+IFERROR(SUMPRODUCT(TRANSPOSE(INDEX(elec_project_emissions,MATCH(Elec_scenario&amp;'Additional Impact Indicators'!$B89,INDEX(Electricity_projection,0,3),0)-1,0)),Delay_emissions_table[Consumption of electricity (MJ) - Primary Scenario],IF(Delay_emissions_table[Form of Maintenance - Primary Scenario]="Life Extension",1,0)),0))*Area_trans*Time_adj_Prim</f>
        <v>0</v>
      </c>
      <c r="AN89" s="251" cm="1">
        <f t="array" aca="1" ref="AN89" ca="1">(SUMPRODUCT(Delay_emissions_table[Consumption of Diesel (kg) - Primary Scenario],IF(Delay_emissions_table[Form of Maintenance - Primary Scenario]="Replacement",1,0))*INDEX(Indicators,MATCH('Additional Impact Indicators'!$A89,Materials!$D:$D,0),MATCH("diesel combustion",Materials!$1:$1,0))+SUMPRODUCT(Delay_emissions_table[Consumption of Petrol (kg) - Primary Scenario],IF(Delay_emissions_table[Form of Maintenance - Primary Scenario]="Replacement",1,0))*INDEX(Indicators,MATCH('Additional Impact Indicators'!$A89,Materials!$D:$D,0),MATCH("petrol combustion",Materials!$1:$1,0))+IFERROR(SUMPRODUCT(TRANSPOSE(INDEX(elec_project_emissions,MATCH(Elec_scenario&amp;'Additional Impact Indicators'!$B89,INDEX(Electricity_projection,0,3),0)-1,0)),Delay_emissions_table[Consumption of electricity (MJ) - Primary Scenario],IF(Delay_emissions_table[Form of Maintenance - Primary Scenario]="Replacement",1,0)),0))*Area_trans*Time_adj_Prim</f>
        <v>0</v>
      </c>
      <c r="AO89" s="252" t="e" cm="1">
        <f t="array" ref="AO8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89" s="252" t="e" cm="1">
        <f t="array" ref="AP8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89" s="253" t="e" cm="1">
        <f t="array" ref="AQ8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89" s="385" t="e" cm="1">
        <f t="array" ref="AR8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89" t="e">
        <f ca="1">SUMIF('Additional Impact Indicators'!$G89:$AQ89,"&lt;&gt;#N/A")</f>
        <v>#DIV/0!</v>
      </c>
      <c r="AW89" s="155" t="s">
        <v>585</v>
      </c>
      <c r="AX89" s="155" t="s">
        <v>397</v>
      </c>
      <c r="AY89" t="str">
        <f t="shared" si="4"/>
        <v>A2</v>
      </c>
      <c r="AZ89" s="155" t="s">
        <v>54</v>
      </c>
      <c r="BB89">
        <f>MATCH(Table3[[#This Row],[Indicator]],Material_Impacts[Look up],0)</f>
        <v>29</v>
      </c>
      <c r="BC89" s="246" cm="1">
        <f t="array" aca="1" ref="BC8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89" s="165" cm="1">
        <f t="array" ref="BD8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89" s="165" t="e">
        <f>Diesel_RawM_Sec*INDEX(Indicators,MATCH(Impacts_Additional[[#This Row],[Indicator]],Materials!$D:$D,0),MATCH("Diesel Combustion",Materials!$1:$1,0))*Diesel_density*Project_Area*Sec_Lays*Area_trans</f>
        <v>#DIV/0!</v>
      </c>
      <c r="BF89" s="35" t="e" cm="1">
        <f t="array" aca="1" ref="BF8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89" s="35" t="e" cm="1">
        <f t="array" aca="1" ref="BG8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89" t="e" cm="1">
        <f t="array" aca="1" ref="BH8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89" s="35" t="e" cm="1">
        <f t="array" aca="1" ref="BI8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89" s="35" t="e" cm="1">
        <f t="array" aca="1" ref="BJ8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89" t="e" cm="1">
        <f t="array" aca="1" ref="BK8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89" s="35" t="e" cm="1">
        <f t="array" aca="1" ref="BL8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89" s="35" t="e" cm="1">
        <f t="array" aca="1" ref="BM8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89" t="e" cm="1">
        <f t="array" aca="1" ref="BN8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89" s="35" t="e" cm="1">
        <f t="array" aca="1" ref="BO8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89" s="35" t="e" cm="1">
        <f t="array" aca="1" ref="BP8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89" t="e" cm="1">
        <f t="array" aca="1" ref="BQ8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89" s="35" t="e" cm="1">
        <f t="array" aca="1" ref="BR8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89" s="35" t="e" cm="1">
        <f t="array" aca="1" ref="BS8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89" t="e" cm="1">
        <f t="array" aca="1" ref="BT8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89" s="35" t="e" cm="1">
        <f t="array" aca="1" ref="BU8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89" s="35" t="e" cm="1">
        <f t="array" aca="1" ref="BV8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89" t="e" cm="1">
        <f t="array" aca="1" ref="BW8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89" s="35" t="e" cm="1">
        <f t="array" aca="1" ref="BX8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89" s="35" t="e" cm="1">
        <f t="array" aca="1" ref="BY8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89" t="e" cm="1">
        <f t="array" aca="1" ref="BZ8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89" s="35" t="e" cm="1">
        <f t="array" aca="1" ref="CA8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89" s="35" t="e" cm="1">
        <f t="array" aca="1" ref="CB8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89" t="e" cm="1">
        <f t="array" aca="1" ref="CC8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89" s="35" t="e" cm="1">
        <f t="array" aca="1" ref="CD8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89" s="35" t="e" cm="1">
        <f t="array" aca="1" ref="CE8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89" t="e" cm="1">
        <f t="array" aca="1" ref="CF8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89" s="165" cm="1">
        <f t="array" aca="1" ref="CG89"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89" s="375" cm="1">
        <f t="array" aca="1" ref="CH8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89" s="251" cm="1">
        <f t="array" aca="1" ref="CI89" ca="1">(SUMPRODUCT(Delay_emissions_table[Consumption of Diesel (kg) - Secondary Scenario],IF(Delay_emissions_table[Form of Maintenance - Secondary Scenario]="Life Extension",1,0))*INDEX(Indicators,MATCH('Additional Impact Indicators'!$A89,Materials!$D:$D,0),MATCH("diesel combustion",Materials!$1:$1,0))+SUMPRODUCT(Delay_emissions_table[Consumption of Petrol (kg) - Secondary Scenario],IF(Delay_emissions_table[Form of Maintenance - Secondary Scenario]="Life Extension",1,0))*INDEX(Indicators,MATCH('Additional Impact Indicators'!$A89,Materials!$D:$D,0),MATCH("petrol combustion",Materials!$1:$1,0))+IFERROR(SUMPRODUCT(TRANSPOSE(INDEX(elec_project_emissions,MATCH(Elec_scenario&amp;'Additional Impact Indicators'!$B89,INDEX(Electricity_projection,0,3),0)-1,0)),Delay_emissions_table[Consumption of electricity (MJ) - Secondary Scenario],IF(Delay_emissions_table[Form of Maintenance - Secondary Scenario]="Life Extension",1,0)),0))*Area_trans*time_adj_Sec</f>
        <v>0</v>
      </c>
      <c r="CJ89" s="251" cm="1">
        <f t="array" aca="1" ref="CJ89" ca="1">(SUMPRODUCT(Delay_emissions_table[Consumption of Diesel (kg) - Secondary Scenario],IF(Delay_emissions_table[Form of Maintenance - Secondary Scenario]="Replacement",1,0))*INDEX(Indicators,MATCH('Additional Impact Indicators'!$A89,Materials!$D:$D,0),MATCH("diesel combustion",Materials!$1:$1,0))+SUMPRODUCT(Delay_emissions_table[Consumption of Petrol (kg) - Secondary Scenario],IF(Delay_emissions_table[Form of Maintenance - Secondary Scenario]="Replacement",1,0))*INDEX(Indicators,MATCH('Additional Impact Indicators'!$A89,Materials!$D:$D,0),MATCH("petrol combustion",Materials!$1:$1,0))+IFERROR(SUMPRODUCT(TRANSPOSE(INDEX(elec_project_emissions,MATCH(Elec_scenario&amp;'Additional Impact Indicators'!$B89,INDEX(Electricity_projection,0,3),0)-1,0)),Delay_emissions_table[Consumption of electricity (MJ) - Secondary Scenario],IF(Delay_emissions_table[Form of Maintenance - Secondary Scenario]="Replacement",1,0)),0))*Area_trans*time_adj_Sec</f>
        <v>0</v>
      </c>
      <c r="CK89" s="252" t="e" cm="1">
        <f t="array" ref="CK8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89" s="252" t="e" cm="1">
        <f t="array" ref="CL8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89" s="253" t="e" cm="1">
        <f t="array" ref="CM8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89" s="387" t="e" cm="1">
        <f t="array" ref="CN8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89" s="51" t="e">
        <f ca="1">SUMIF(Table3[[#This Row],[Raw-Materials]:[Transport to recycling facility]],"&lt;&gt;#N/A")</f>
        <v>#DIV/0!</v>
      </c>
      <c r="CT89" t="s">
        <v>585</v>
      </c>
      <c r="CU89" t="s">
        <v>397</v>
      </c>
      <c r="CV89" t="str">
        <f t="shared" si="6"/>
        <v>A2</v>
      </c>
      <c r="CW89" t="s">
        <v>54</v>
      </c>
      <c r="CY89">
        <f>MATCH(Table611[[#This Row],[Indicator]],Material_Impacts[Look up],0)</f>
        <v>29</v>
      </c>
      <c r="CZ89" s="246" cm="1">
        <f t="array" aca="1" ref="CZ8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89" s="165" cm="1">
        <f t="array" ref="DA8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89" s="165" t="e">
        <f>Diesel_RawM_Tert*INDEX(Indicators,MATCH(Impacts_Additional[[#This Row],[Indicator]],Materials!$D:$D,0),MATCH("Diesel Combustion",Materials!$1:$1,0))*Diesel_density*Project_Area*Tert_Lays*Area_trans</f>
        <v>#DIV/0!</v>
      </c>
      <c r="DC89" s="35" t="e" cm="1">
        <f t="array" aca="1" ref="DC8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89" s="35" t="e" cm="1">
        <f t="array" aca="1" ref="DD8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89" t="e" cm="1">
        <f t="array" aca="1" ref="DE8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89" s="35" t="e" cm="1">
        <f t="array" aca="1" ref="DF8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89" s="35" t="e" cm="1">
        <f t="array" aca="1" ref="DG8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89" t="e" cm="1">
        <f t="array" aca="1" ref="DH8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89" s="35" t="e" cm="1">
        <f t="array" aca="1" ref="DI8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89" s="35" t="e" cm="1">
        <f t="array" aca="1" ref="DJ8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89" t="e" cm="1">
        <f t="array" aca="1" ref="DK8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89" s="35" t="e" cm="1">
        <f t="array" aca="1" ref="DL8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89" s="35" t="e" cm="1">
        <f t="array" aca="1" ref="DM8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89" t="e" cm="1">
        <f t="array" aca="1" ref="DN8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89" s="35" t="e" cm="1">
        <f t="array" aca="1" ref="DO8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89" s="35" t="e" cm="1">
        <f t="array" aca="1" ref="DP8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89" t="e" cm="1">
        <f t="array" aca="1" ref="DQ8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89" s="35" t="e" cm="1">
        <f t="array" aca="1" ref="DR8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89" s="35" t="e" cm="1">
        <f t="array" aca="1" ref="DS8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89" t="e" cm="1">
        <f t="array" aca="1" ref="DT8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89" s="35" t="e" cm="1">
        <f t="array" aca="1" ref="DU8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89" s="35" t="e" cm="1">
        <f t="array" aca="1" ref="DV8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89" t="e" cm="1">
        <f t="array" aca="1" ref="DW8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89" s="35" t="e" cm="1">
        <f t="array" aca="1" ref="DX8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89" s="35" t="e" cm="1">
        <f t="array" aca="1" ref="DY8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89" t="e" cm="1">
        <f t="array" aca="1" ref="DZ8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89" s="35" t="e" cm="1">
        <f t="array" aca="1" ref="EA8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89" s="35" t="e" cm="1">
        <f t="array" aca="1" ref="EB8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89" t="e" cm="1">
        <f t="array" aca="1" ref="EC8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89" s="165" cm="1">
        <f t="array" aca="1" ref="ED89"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89" s="375" cm="1">
        <f t="array" aca="1" ref="EE8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89" s="251" cm="1">
        <f t="array" aca="1" ref="EF89" ca="1">(SUMPRODUCT(Delay_emissions_table[Consumption of Diesel (kg) - Tertiary Scenario],IF(Delay_emissions_table[Form of Maintenance - Tertiary Scenario]="Life Extension",1,0))*INDEX(Indicators,MATCH('Additional Impact Indicators'!$A89,Materials!$D:$D,0),MATCH("diesel combustion",Materials!$1:$1,0))+SUMPRODUCT(Delay_emissions_table[Consumption of Petrol (kg) - Tertiary Scenario],IF(Delay_emissions_table[Form of Maintenance - Tertiary Scenario]="Life Extension",1,0))*INDEX(Indicators,MATCH('Additional Impact Indicators'!$A89,Materials!$D:$D,0),MATCH("petrol combustion",Materials!$1:$1,0))+IFERROR(SUMPRODUCT(TRANSPOSE(INDEX(elec_project_emissions,MATCH(Elec_scenario&amp;'Additional Impact Indicators'!$B89,INDEX(Electricity_projection,0,3),0)-1,0)),Delay_emissions_table[Consumption of electricity (MJ) - Tertiary Scenario],IF(Delay_emissions_table[Form of Maintenance - Tertiary Scenario]="Life Extension",1,0)),0))*Area_trans*Time_adj_Tert</f>
        <v>0</v>
      </c>
      <c r="EG89" s="251" cm="1">
        <f t="array" aca="1" ref="EG89" ca="1">(SUMPRODUCT(Delay_emissions_table[Consumption of Diesel (kg) - Tertiary Scenario],IF(Delay_emissions_table[Form of Maintenance - Tertiary Scenario]="Replacement",1,0))*INDEX(Indicators,MATCH('Additional Impact Indicators'!$A89,Materials!$D:$D,0),MATCH("diesel combustion",Materials!$1:$1,0))+SUMPRODUCT(Delay_emissions_table[Consumption of Petrol (kg) - Tertiary Scenario],IF(Delay_emissions_table[Form of Maintenance - Tertiary Scenario]="Replacement",1,0))*INDEX(Indicators,MATCH('Additional Impact Indicators'!$A89,Materials!$D:$D,0),MATCH("petrol combustion",Materials!$1:$1,0))+IFERROR(SUMPRODUCT(TRANSPOSE(INDEX(elec_project_emissions,MATCH(Elec_scenario&amp;'Additional Impact Indicators'!$B89,INDEX(Electricity_projection,0,3),0)-1,0)),Delay_emissions_table[Consumption of electricity (MJ) - Tertiary Scenario],IF(Delay_emissions_table[Form of Maintenance - Tertiary Scenario]="Replacement",1,0)),0))*Area_trans*Time_adj_Tert</f>
        <v>0</v>
      </c>
      <c r="EH89" s="252" t="e" cm="1">
        <f t="array" ref="EH8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89" s="252" t="e" cm="1">
        <f t="array" ref="EI8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89" s="253" t="e" cm="1">
        <f t="array" ref="EJ8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89" s="253" t="e" cm="1">
        <f t="array" ref="EK8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89" t="e">
        <f ca="1">SUMIF(Table611[[#This Row],[Raw-Materials]:[Transport to recycling facility]],"&lt;&gt;#N/A")</f>
        <v>#DIV/0!</v>
      </c>
    </row>
    <row r="90" spans="1:142" x14ac:dyDescent="0.35">
      <c r="A90" t="s">
        <v>586</v>
      </c>
      <c r="B90" t="s">
        <v>400</v>
      </c>
      <c r="C90" t="str">
        <f t="shared" si="5"/>
        <v>A2</v>
      </c>
      <c r="D90" t="s">
        <v>54</v>
      </c>
      <c r="F90">
        <f>MATCH(Impacts_Additional[[#This Row],[Indicator]],Material_Impacts[Look up],0)</f>
        <v>30</v>
      </c>
      <c r="G90" s="246" cm="1">
        <f t="array" aca="1" ref="G9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0" s="166" cm="1">
        <f t="array" ref="H9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0" s="166" t="e">
        <f>Diesel_RawM_Prim*INDEX(Indicators,MATCH(Impacts_Additional[[#This Row],[Indicator]],Materials!$D:$D,0),MATCH("Diesel Combustion",Materials!$1:$1,0))*Diesel_density*Project_Area*Prim_Lays*Area_trans</f>
        <v>#DIV/0!</v>
      </c>
      <c r="J90" s="20" t="e" cm="1">
        <f t="array" aca="1" ref="J9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0" s="20" t="e" cm="1">
        <f t="array" aca="1" ref="K9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0" s="20" t="e" cm="1">
        <f t="array" aca="1" ref="L9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0" s="20" t="e" cm="1">
        <f t="array" aca="1" ref="M9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0" s="20" t="e" cm="1">
        <f t="array" aca="1" ref="N9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0" s="20" t="e" cm="1">
        <f t="array" aca="1" ref="O9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0" s="20" t="e" cm="1">
        <f t="array" aca="1" ref="P9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0" s="20" t="e" cm="1">
        <f t="array" aca="1" ref="Q9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0" s="20" t="e" cm="1">
        <f t="array" aca="1" ref="R9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0" s="20" t="e" cm="1">
        <f t="array" aca="1" ref="S9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0" s="20" t="e" cm="1">
        <f t="array" aca="1" ref="T9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0" s="20" t="e" cm="1">
        <f t="array" aca="1" ref="U9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0" s="20" t="e" cm="1">
        <f t="array" aca="1" ref="V9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0" s="20" t="e" cm="1">
        <f t="array" aca="1" ref="W9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0" s="20" t="e" cm="1">
        <f t="array" aca="1" ref="X9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0" s="20" t="e" cm="1">
        <f t="array" aca="1" ref="Y9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0" s="20" t="e" cm="1">
        <f t="array" aca="1" ref="Z9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0" s="20" t="e" cm="1">
        <f t="array" aca="1" ref="AA9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0" s="20" t="e" cm="1">
        <f t="array" aca="1" ref="AB9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0" s="20" t="e" cm="1">
        <f t="array" aca="1" ref="AC9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0" s="20" t="e" cm="1">
        <f t="array" aca="1" ref="AD9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0" s="20" t="e" cm="1">
        <f t="array" aca="1" ref="AE9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0" s="20" t="e" cm="1">
        <f t="array" aca="1" ref="AF9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0" s="20" t="e" cm="1">
        <f t="array" aca="1" ref="AG9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0" s="20" t="e" cm="1">
        <f t="array" aca="1" ref="AH9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0" s="20" t="e" cm="1">
        <f t="array" aca="1" ref="AI9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0" s="20" t="e" cm="1">
        <f t="array" aca="1" ref="AJ9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0" s="166" cm="1">
        <f t="array" aca="1" ref="AK90"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0" s="1" cm="1">
        <f t="array" aca="1" ref="AL9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0" s="247" cm="1">
        <f t="array" aca="1" ref="AM90" ca="1">(SUMPRODUCT(Delay_emissions_table[Consumption of Diesel (kg) - Primary Scenario],IF(Delay_emissions_table[Form of Maintenance - Primary Scenario]="Life Extension",1,0))*INDEX(Indicators,MATCH('Additional Impact Indicators'!$A90,Materials!$D:$D,0),MATCH("diesel combustion",Materials!$1:$1,0))+SUMPRODUCT(Delay_emissions_table[Consumption of Petrol (kg) - Primary Scenario],IF(Delay_emissions_table[Form of Maintenance - Primary Scenario]="Life Extension",1,0))*INDEX(Indicators,MATCH('Additional Impact Indicators'!$A90,Materials!$D:$D,0),MATCH("petrol combustion",Materials!$1:$1,0))+IFERROR(SUMPRODUCT(TRANSPOSE(INDEX(elec_project_emissions,MATCH(Elec_scenario&amp;'Additional Impact Indicators'!$B90,INDEX(Electricity_projection,0,3),0)-1,0)),Delay_emissions_table[Consumption of electricity (MJ) - Primary Scenario],IF(Delay_emissions_table[Form of Maintenance - Primary Scenario]="Life Extension",1,0)),0))*Area_trans*Time_adj_Prim</f>
        <v>0</v>
      </c>
      <c r="AN90" s="247" cm="1">
        <f t="array" aca="1" ref="AN90" ca="1">(SUMPRODUCT(Delay_emissions_table[Consumption of Diesel (kg) - Primary Scenario],IF(Delay_emissions_table[Form of Maintenance - Primary Scenario]="Replacement",1,0))*INDEX(Indicators,MATCH('Additional Impact Indicators'!$A90,Materials!$D:$D,0),MATCH("diesel combustion",Materials!$1:$1,0))+SUMPRODUCT(Delay_emissions_table[Consumption of Petrol (kg) - Primary Scenario],IF(Delay_emissions_table[Form of Maintenance - Primary Scenario]="Replacement",1,0))*INDEX(Indicators,MATCH('Additional Impact Indicators'!$A90,Materials!$D:$D,0),MATCH("petrol combustion",Materials!$1:$1,0))+IFERROR(SUMPRODUCT(TRANSPOSE(INDEX(elec_project_emissions,MATCH(Elec_scenario&amp;'Additional Impact Indicators'!$B90,INDEX(Electricity_projection,0,3),0)-1,0)),Delay_emissions_table[Consumption of electricity (MJ) - Primary Scenario],IF(Delay_emissions_table[Form of Maintenance - Primary Scenario]="Replacement",1,0)),0))*Area_trans*Time_adj_Prim</f>
        <v>0</v>
      </c>
      <c r="AO90" s="248" t="e" cm="1">
        <f t="array" ref="AO9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0" s="248" t="e" cm="1">
        <f t="array" ref="AP9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0" s="249" t="e" cm="1">
        <f t="array" ref="AQ9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0" s="386" t="e" cm="1">
        <f t="array" ref="AR9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0" t="e">
        <f ca="1">SUMIF('Additional Impact Indicators'!$G90:$AQ90,"&lt;&gt;#N/A")</f>
        <v>#DIV/0!</v>
      </c>
      <c r="AW90" t="s">
        <v>586</v>
      </c>
      <c r="AX90" t="s">
        <v>400</v>
      </c>
      <c r="AY90" t="str">
        <f t="shared" si="4"/>
        <v>A2</v>
      </c>
      <c r="AZ90" t="s">
        <v>54</v>
      </c>
      <c r="BB90">
        <f>MATCH(Table3[[#This Row],[Indicator]],Material_Impacts[Look up],0)</f>
        <v>30</v>
      </c>
      <c r="BC90" s="246" cm="1">
        <f t="array" aca="1" ref="BC9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0" s="166" cm="1">
        <f t="array" ref="BD9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0" s="166" t="e">
        <f>Diesel_RawM_Sec*INDEX(Indicators,MATCH(Impacts_Additional[[#This Row],[Indicator]],Materials!$D:$D,0),MATCH("Diesel Combustion",Materials!$1:$1,0))*Diesel_density*Project_Area*Sec_Lays*Area_trans</f>
        <v>#DIV/0!</v>
      </c>
      <c r="BF90" s="35" t="e" cm="1">
        <f t="array" aca="1" ref="BF9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0" s="35" t="e" cm="1">
        <f t="array" aca="1" ref="BG9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0" t="e" cm="1">
        <f t="array" aca="1" ref="BH9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0" s="35" t="e" cm="1">
        <f t="array" aca="1" ref="BI9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0" s="35" t="e" cm="1">
        <f t="array" aca="1" ref="BJ9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0" t="e" cm="1">
        <f t="array" aca="1" ref="BK9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0" s="35" t="e" cm="1">
        <f t="array" aca="1" ref="BL9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0" s="35" t="e" cm="1">
        <f t="array" aca="1" ref="BM9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0" t="e" cm="1">
        <f t="array" aca="1" ref="BN9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0" s="35" t="e" cm="1">
        <f t="array" aca="1" ref="BO9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0" s="35" t="e" cm="1">
        <f t="array" aca="1" ref="BP9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0" t="e" cm="1">
        <f t="array" aca="1" ref="BQ9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0" s="35" t="e" cm="1">
        <f t="array" aca="1" ref="BR9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0" s="35" t="e" cm="1">
        <f t="array" aca="1" ref="BS9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0" t="e" cm="1">
        <f t="array" aca="1" ref="BT9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0" s="35" t="e" cm="1">
        <f t="array" aca="1" ref="BU9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0" s="35" t="e" cm="1">
        <f t="array" aca="1" ref="BV9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0" t="e" cm="1">
        <f t="array" aca="1" ref="BW9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0" s="35" t="e" cm="1">
        <f t="array" aca="1" ref="BX9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0" s="35" t="e" cm="1">
        <f t="array" aca="1" ref="BY9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0" t="e" cm="1">
        <f t="array" aca="1" ref="BZ9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0" s="35" t="e" cm="1">
        <f t="array" aca="1" ref="CA9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0" s="35" t="e" cm="1">
        <f t="array" aca="1" ref="CB9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0" t="e" cm="1">
        <f t="array" aca="1" ref="CC9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0" s="35" t="e" cm="1">
        <f t="array" aca="1" ref="CD9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0" s="35" t="e" cm="1">
        <f t="array" aca="1" ref="CE9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0" t="e" cm="1">
        <f t="array" aca="1" ref="CF9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0" s="166" cm="1">
        <f t="array" aca="1" ref="CG90"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0" s="375" cm="1">
        <f t="array" aca="1" ref="CH9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0" s="247" cm="1">
        <f t="array" aca="1" ref="CI90" ca="1">(SUMPRODUCT(Delay_emissions_table[Consumption of Diesel (kg) - Secondary Scenario],IF(Delay_emissions_table[Form of Maintenance - Secondary Scenario]="Life Extension",1,0))*INDEX(Indicators,MATCH('Additional Impact Indicators'!$A90,Materials!$D:$D,0),MATCH("diesel combustion",Materials!$1:$1,0))+SUMPRODUCT(Delay_emissions_table[Consumption of Petrol (kg) - Secondary Scenario],IF(Delay_emissions_table[Form of Maintenance - Secondary Scenario]="Life Extension",1,0))*INDEX(Indicators,MATCH('Additional Impact Indicators'!$A90,Materials!$D:$D,0),MATCH("petrol combustion",Materials!$1:$1,0))+IFERROR(SUMPRODUCT(TRANSPOSE(INDEX(elec_project_emissions,MATCH(Elec_scenario&amp;'Additional Impact Indicators'!$B90,INDEX(Electricity_projection,0,3),0)-1,0)),Delay_emissions_table[Consumption of electricity (MJ) - Secondary Scenario],IF(Delay_emissions_table[Form of Maintenance - Secondary Scenario]="Life Extension",1,0)),0))*Area_trans*time_adj_Sec</f>
        <v>0</v>
      </c>
      <c r="CJ90" s="247" cm="1">
        <f t="array" aca="1" ref="CJ90" ca="1">(SUMPRODUCT(Delay_emissions_table[Consumption of Diesel (kg) - Secondary Scenario],IF(Delay_emissions_table[Form of Maintenance - Secondary Scenario]="Replacement",1,0))*INDEX(Indicators,MATCH('Additional Impact Indicators'!$A90,Materials!$D:$D,0),MATCH("diesel combustion",Materials!$1:$1,0))+SUMPRODUCT(Delay_emissions_table[Consumption of Petrol (kg) - Secondary Scenario],IF(Delay_emissions_table[Form of Maintenance - Secondary Scenario]="Replacement",1,0))*INDEX(Indicators,MATCH('Additional Impact Indicators'!$A90,Materials!$D:$D,0),MATCH("petrol combustion",Materials!$1:$1,0))+IFERROR(SUMPRODUCT(TRANSPOSE(INDEX(elec_project_emissions,MATCH(Elec_scenario&amp;'Additional Impact Indicators'!$B90,INDEX(Electricity_projection,0,3),0)-1,0)),Delay_emissions_table[Consumption of electricity (MJ) - Secondary Scenario],IF(Delay_emissions_table[Form of Maintenance - Secondary Scenario]="Replacement",1,0)),0))*Area_trans*time_adj_Sec</f>
        <v>0</v>
      </c>
      <c r="CK90" s="248" t="e" cm="1">
        <f t="array" ref="CK9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0" s="248" t="e" cm="1">
        <f t="array" ref="CL9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0" s="249" t="e" cm="1">
        <f t="array" ref="CM9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0" s="387" t="e" cm="1">
        <f t="array" ref="CN9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0" s="51" t="e">
        <f ca="1">SUMIF(Table3[[#This Row],[Raw-Materials]:[Transport to recycling facility]],"&lt;&gt;#N/A")</f>
        <v>#DIV/0!</v>
      </c>
      <c r="CT90" t="s">
        <v>586</v>
      </c>
      <c r="CU90" t="s">
        <v>400</v>
      </c>
      <c r="CV90" t="str">
        <f t="shared" si="6"/>
        <v>A2</v>
      </c>
      <c r="CW90" t="s">
        <v>54</v>
      </c>
      <c r="CY90">
        <f>MATCH(Table611[[#This Row],[Indicator]],Material_Impacts[Look up],0)</f>
        <v>30</v>
      </c>
      <c r="CZ90" s="246" cm="1">
        <f t="array" aca="1" ref="CZ9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0" s="166" cm="1">
        <f t="array" ref="DA9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0" s="166" t="e">
        <f>Diesel_RawM_Tert*INDEX(Indicators,MATCH(Impacts_Additional[[#This Row],[Indicator]],Materials!$D:$D,0),MATCH("Diesel Combustion",Materials!$1:$1,0))*Diesel_density*Project_Area*Tert_Lays*Area_trans</f>
        <v>#DIV/0!</v>
      </c>
      <c r="DC90" s="35" t="e" cm="1">
        <f t="array" aca="1" ref="DC9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0" s="35" t="e" cm="1">
        <f t="array" aca="1" ref="DD9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0" t="e" cm="1">
        <f t="array" aca="1" ref="DE9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0" s="35" t="e" cm="1">
        <f t="array" aca="1" ref="DF9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0" s="35" t="e" cm="1">
        <f t="array" aca="1" ref="DG9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0" t="e" cm="1">
        <f t="array" aca="1" ref="DH9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0" s="35" t="e" cm="1">
        <f t="array" aca="1" ref="DI9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0" s="35" t="e" cm="1">
        <f t="array" aca="1" ref="DJ9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0" t="e" cm="1">
        <f t="array" aca="1" ref="DK9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0" s="35" t="e" cm="1">
        <f t="array" aca="1" ref="DL9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0" s="35" t="e" cm="1">
        <f t="array" aca="1" ref="DM9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0" t="e" cm="1">
        <f t="array" aca="1" ref="DN9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0" s="35" t="e" cm="1">
        <f t="array" aca="1" ref="DO9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0" s="35" t="e" cm="1">
        <f t="array" aca="1" ref="DP9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0" t="e" cm="1">
        <f t="array" aca="1" ref="DQ9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0" s="35" t="e" cm="1">
        <f t="array" aca="1" ref="DR9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0" s="35" t="e" cm="1">
        <f t="array" aca="1" ref="DS9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0" t="e" cm="1">
        <f t="array" aca="1" ref="DT9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0" s="35" t="e" cm="1">
        <f t="array" aca="1" ref="DU9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0" s="35" t="e" cm="1">
        <f t="array" aca="1" ref="DV9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0" t="e" cm="1">
        <f t="array" aca="1" ref="DW9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0" s="35" t="e" cm="1">
        <f t="array" aca="1" ref="DX9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0" s="35" t="e" cm="1">
        <f t="array" aca="1" ref="DY9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0" t="e" cm="1">
        <f t="array" aca="1" ref="DZ9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0" s="35" t="e" cm="1">
        <f t="array" aca="1" ref="EA9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0" s="35" t="e" cm="1">
        <f t="array" aca="1" ref="EB9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0" t="e" cm="1">
        <f t="array" aca="1" ref="EC9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0" s="166" cm="1">
        <f t="array" aca="1" ref="ED90"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0" s="375" cm="1">
        <f t="array" aca="1" ref="EE9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0" s="247" cm="1">
        <f t="array" aca="1" ref="EF90" ca="1">(SUMPRODUCT(Delay_emissions_table[Consumption of Diesel (kg) - Tertiary Scenario],IF(Delay_emissions_table[Form of Maintenance - Tertiary Scenario]="Life Extension",1,0))*INDEX(Indicators,MATCH('Additional Impact Indicators'!$A90,Materials!$D:$D,0),MATCH("diesel combustion",Materials!$1:$1,0))+SUMPRODUCT(Delay_emissions_table[Consumption of Petrol (kg) - Tertiary Scenario],IF(Delay_emissions_table[Form of Maintenance - Tertiary Scenario]="Life Extension",1,0))*INDEX(Indicators,MATCH('Additional Impact Indicators'!$A90,Materials!$D:$D,0),MATCH("petrol combustion",Materials!$1:$1,0))+IFERROR(SUMPRODUCT(TRANSPOSE(INDEX(elec_project_emissions,MATCH(Elec_scenario&amp;'Additional Impact Indicators'!$B90,INDEX(Electricity_projection,0,3),0)-1,0)),Delay_emissions_table[Consumption of electricity (MJ) - Tertiary Scenario],IF(Delay_emissions_table[Form of Maintenance - Tertiary Scenario]="Life Extension",1,0)),0))*Area_trans*Time_adj_Tert</f>
        <v>0</v>
      </c>
      <c r="EG90" s="247" cm="1">
        <f t="array" aca="1" ref="EG90" ca="1">(SUMPRODUCT(Delay_emissions_table[Consumption of Diesel (kg) - Tertiary Scenario],IF(Delay_emissions_table[Form of Maintenance - Tertiary Scenario]="Replacement",1,0))*INDEX(Indicators,MATCH('Additional Impact Indicators'!$A90,Materials!$D:$D,0),MATCH("diesel combustion",Materials!$1:$1,0))+SUMPRODUCT(Delay_emissions_table[Consumption of Petrol (kg) - Tertiary Scenario],IF(Delay_emissions_table[Form of Maintenance - Tertiary Scenario]="Replacement",1,0))*INDEX(Indicators,MATCH('Additional Impact Indicators'!$A90,Materials!$D:$D,0),MATCH("petrol combustion",Materials!$1:$1,0))+IFERROR(SUMPRODUCT(TRANSPOSE(INDEX(elec_project_emissions,MATCH(Elec_scenario&amp;'Additional Impact Indicators'!$B90,INDEX(Electricity_projection,0,3),0)-1,0)),Delay_emissions_table[Consumption of electricity (MJ) - Tertiary Scenario],IF(Delay_emissions_table[Form of Maintenance - Tertiary Scenario]="Replacement",1,0)),0))*Area_trans*Time_adj_Tert</f>
        <v>0</v>
      </c>
      <c r="EH90" s="248" t="e" cm="1">
        <f t="array" ref="EH9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0" s="248" t="e" cm="1">
        <f t="array" ref="EI9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0" s="249" t="e" cm="1">
        <f t="array" ref="EJ9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0" s="249" t="e" cm="1">
        <f t="array" ref="EK9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0" t="e">
        <f ca="1">SUMIF(Table611[[#This Row],[Raw-Materials]:[Transport to recycling facility]],"&lt;&gt;#N/A")</f>
        <v>#DIV/0!</v>
      </c>
    </row>
    <row r="91" spans="1:142" x14ac:dyDescent="0.35">
      <c r="A91" s="155" t="s">
        <v>587</v>
      </c>
      <c r="B91" s="155" t="s">
        <v>403</v>
      </c>
      <c r="C91" s="155" t="str">
        <f t="shared" si="5"/>
        <v>A2</v>
      </c>
      <c r="D91" s="155" t="s">
        <v>54</v>
      </c>
      <c r="E91" s="155"/>
      <c r="F91">
        <f>MATCH(Impacts_Additional[[#This Row],[Indicator]],Material_Impacts[Look up],0)</f>
        <v>31</v>
      </c>
      <c r="G91" s="246" cm="1">
        <f t="array" aca="1" ref="G9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1" s="165" cm="1">
        <f t="array" ref="H9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1" s="165" t="e">
        <f>Diesel_RawM_Prim*INDEX(Indicators,MATCH(Impacts_Additional[[#This Row],[Indicator]],Materials!$D:$D,0),MATCH("Diesel Combustion",Materials!$1:$1,0))*Diesel_density*Project_Area*Prim_Lays*Area_trans</f>
        <v>#DIV/0!</v>
      </c>
      <c r="J91" s="250" t="e" cm="1">
        <f t="array" aca="1" ref="J9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1" s="250" t="e" cm="1">
        <f t="array" aca="1" ref="K9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1" s="250" t="e" cm="1">
        <f t="array" aca="1" ref="L9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1" s="250" t="e" cm="1">
        <f t="array" aca="1" ref="M9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1" s="250" t="e" cm="1">
        <f t="array" aca="1" ref="N9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1" s="250" t="e" cm="1">
        <f t="array" aca="1" ref="O9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1" s="250" t="e" cm="1">
        <f t="array" aca="1" ref="P9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1" s="250" t="e" cm="1">
        <f t="array" aca="1" ref="Q9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1" s="250" t="e" cm="1">
        <f t="array" aca="1" ref="R9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1" s="250" t="e" cm="1">
        <f t="array" aca="1" ref="S9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1" s="250" t="e" cm="1">
        <f t="array" aca="1" ref="T9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1" s="250" t="e" cm="1">
        <f t="array" aca="1" ref="U9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1" s="250" t="e" cm="1">
        <f t="array" aca="1" ref="V9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1" s="250" t="e" cm="1">
        <f t="array" aca="1" ref="W9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1" s="250" t="e" cm="1">
        <f t="array" aca="1" ref="X9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1" s="250" t="e" cm="1">
        <f t="array" aca="1" ref="Y9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1" s="250" t="e" cm="1">
        <f t="array" aca="1" ref="Z9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1" s="250" t="e" cm="1">
        <f t="array" aca="1" ref="AA9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1" s="250" t="e" cm="1">
        <f t="array" aca="1" ref="AB9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1" s="250" t="e" cm="1">
        <f t="array" aca="1" ref="AC9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1" s="250" t="e" cm="1">
        <f t="array" aca="1" ref="AD9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1" s="250" t="e" cm="1">
        <f t="array" aca="1" ref="AE9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1" s="250" t="e" cm="1">
        <f t="array" aca="1" ref="AF9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1" s="250" t="e" cm="1">
        <f t="array" aca="1" ref="AG9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1" s="250" t="e" cm="1">
        <f t="array" aca="1" ref="AH9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1" s="250" t="e" cm="1">
        <f t="array" aca="1" ref="AI9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1" s="250" t="e" cm="1">
        <f t="array" aca="1" ref="AJ9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1" s="165" cm="1">
        <f t="array" aca="1" ref="AK91"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1" s="254" cm="1">
        <f t="array" aca="1" ref="AL9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1" s="251" cm="1">
        <f t="array" aca="1" ref="AM91" ca="1">(SUMPRODUCT(Delay_emissions_table[Consumption of Diesel (kg) - Primary Scenario],IF(Delay_emissions_table[Form of Maintenance - Primary Scenario]="Life Extension",1,0))*INDEX(Indicators,MATCH('Additional Impact Indicators'!$A91,Materials!$D:$D,0),MATCH("diesel combustion",Materials!$1:$1,0))+SUMPRODUCT(Delay_emissions_table[Consumption of Petrol (kg) - Primary Scenario],IF(Delay_emissions_table[Form of Maintenance - Primary Scenario]="Life Extension",1,0))*INDEX(Indicators,MATCH('Additional Impact Indicators'!$A91,Materials!$D:$D,0),MATCH("petrol combustion",Materials!$1:$1,0))+IFERROR(SUMPRODUCT(TRANSPOSE(INDEX(elec_project_emissions,MATCH(Elec_scenario&amp;'Additional Impact Indicators'!$B91,INDEX(Electricity_projection,0,3),0)-1,0)),Delay_emissions_table[Consumption of electricity (MJ) - Primary Scenario],IF(Delay_emissions_table[Form of Maintenance - Primary Scenario]="Life Extension",1,0)),0))*Area_trans*Time_adj_Prim</f>
        <v>0</v>
      </c>
      <c r="AN91" s="251" cm="1">
        <f t="array" aca="1" ref="AN91" ca="1">(SUMPRODUCT(Delay_emissions_table[Consumption of Diesel (kg) - Primary Scenario],IF(Delay_emissions_table[Form of Maintenance - Primary Scenario]="Replacement",1,0))*INDEX(Indicators,MATCH('Additional Impact Indicators'!$A91,Materials!$D:$D,0),MATCH("diesel combustion",Materials!$1:$1,0))+SUMPRODUCT(Delay_emissions_table[Consumption of Petrol (kg) - Primary Scenario],IF(Delay_emissions_table[Form of Maintenance - Primary Scenario]="Replacement",1,0))*INDEX(Indicators,MATCH('Additional Impact Indicators'!$A91,Materials!$D:$D,0),MATCH("petrol combustion",Materials!$1:$1,0))+IFERROR(SUMPRODUCT(TRANSPOSE(INDEX(elec_project_emissions,MATCH(Elec_scenario&amp;'Additional Impact Indicators'!$B91,INDEX(Electricity_projection,0,3),0)-1,0)),Delay_emissions_table[Consumption of electricity (MJ) - Primary Scenario],IF(Delay_emissions_table[Form of Maintenance - Primary Scenario]="Replacement",1,0)),0))*Area_trans*Time_adj_Prim</f>
        <v>0</v>
      </c>
      <c r="AO91" s="252" t="e" cm="1">
        <f t="array" ref="AO9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1" s="252" t="e" cm="1">
        <f t="array" ref="AP9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1" s="253" t="e" cm="1">
        <f t="array" ref="AQ9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1" s="385" t="e" cm="1">
        <f t="array" ref="AR9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1" t="e">
        <f ca="1">SUMIF('Additional Impact Indicators'!$G91:$AQ91,"&lt;&gt;#N/A")</f>
        <v>#DIV/0!</v>
      </c>
      <c r="AW91" s="155" t="s">
        <v>587</v>
      </c>
      <c r="AX91" s="155" t="s">
        <v>403</v>
      </c>
      <c r="AY91" t="str">
        <f t="shared" si="4"/>
        <v>A2</v>
      </c>
      <c r="AZ91" s="155" t="s">
        <v>54</v>
      </c>
      <c r="BB91">
        <f>MATCH(Table3[[#This Row],[Indicator]],Material_Impacts[Look up],0)</f>
        <v>31</v>
      </c>
      <c r="BC91" s="246" cm="1">
        <f t="array" aca="1" ref="BC9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1" s="165" cm="1">
        <f t="array" ref="BD9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1" s="165" t="e">
        <f>Diesel_RawM_Sec*INDEX(Indicators,MATCH(Impacts_Additional[[#This Row],[Indicator]],Materials!$D:$D,0),MATCH("Diesel Combustion",Materials!$1:$1,0))*Diesel_density*Project_Area*Sec_Lays*Area_trans</f>
        <v>#DIV/0!</v>
      </c>
      <c r="BF91" s="35" t="e" cm="1">
        <f t="array" aca="1" ref="BF9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1" s="35" t="e" cm="1">
        <f t="array" aca="1" ref="BG9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1" t="e" cm="1">
        <f t="array" aca="1" ref="BH9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1" s="35" t="e" cm="1">
        <f t="array" aca="1" ref="BI9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1" s="35" t="e" cm="1">
        <f t="array" aca="1" ref="BJ9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1" t="e" cm="1">
        <f t="array" aca="1" ref="BK9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1" s="35" t="e" cm="1">
        <f t="array" aca="1" ref="BL9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1" s="35" t="e" cm="1">
        <f t="array" aca="1" ref="BM9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1" t="e" cm="1">
        <f t="array" aca="1" ref="BN9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1" s="35" t="e" cm="1">
        <f t="array" aca="1" ref="BO9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1" s="35" t="e" cm="1">
        <f t="array" aca="1" ref="BP9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1" t="e" cm="1">
        <f t="array" aca="1" ref="BQ9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1" s="35" t="e" cm="1">
        <f t="array" aca="1" ref="BR9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1" s="35" t="e" cm="1">
        <f t="array" aca="1" ref="BS9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1" t="e" cm="1">
        <f t="array" aca="1" ref="BT9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1" s="35" t="e" cm="1">
        <f t="array" aca="1" ref="BU9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1" s="35" t="e" cm="1">
        <f t="array" aca="1" ref="BV9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1" t="e" cm="1">
        <f t="array" aca="1" ref="BW9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1" s="35" t="e" cm="1">
        <f t="array" aca="1" ref="BX9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1" s="35" t="e" cm="1">
        <f t="array" aca="1" ref="BY9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1" t="e" cm="1">
        <f t="array" aca="1" ref="BZ9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1" s="35" t="e" cm="1">
        <f t="array" aca="1" ref="CA9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1" s="35" t="e" cm="1">
        <f t="array" aca="1" ref="CB9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1" t="e" cm="1">
        <f t="array" aca="1" ref="CC9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1" s="35" t="e" cm="1">
        <f t="array" aca="1" ref="CD9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1" s="35" t="e" cm="1">
        <f t="array" aca="1" ref="CE9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1" t="e" cm="1">
        <f t="array" aca="1" ref="CF9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1" s="165" cm="1">
        <f t="array" aca="1" ref="CG91"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1" s="375" cm="1">
        <f t="array" aca="1" ref="CH9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1" s="251" cm="1">
        <f t="array" aca="1" ref="CI91" ca="1">(SUMPRODUCT(Delay_emissions_table[Consumption of Diesel (kg) - Secondary Scenario],IF(Delay_emissions_table[Form of Maintenance - Secondary Scenario]="Life Extension",1,0))*INDEX(Indicators,MATCH('Additional Impact Indicators'!$A91,Materials!$D:$D,0),MATCH("diesel combustion",Materials!$1:$1,0))+SUMPRODUCT(Delay_emissions_table[Consumption of Petrol (kg) - Secondary Scenario],IF(Delay_emissions_table[Form of Maintenance - Secondary Scenario]="Life Extension",1,0))*INDEX(Indicators,MATCH('Additional Impact Indicators'!$A91,Materials!$D:$D,0),MATCH("petrol combustion",Materials!$1:$1,0))+IFERROR(SUMPRODUCT(TRANSPOSE(INDEX(elec_project_emissions,MATCH(Elec_scenario&amp;'Additional Impact Indicators'!$B91,INDEX(Electricity_projection,0,3),0)-1,0)),Delay_emissions_table[Consumption of electricity (MJ) - Secondary Scenario],IF(Delay_emissions_table[Form of Maintenance - Secondary Scenario]="Life Extension",1,0)),0))*Area_trans*time_adj_Sec</f>
        <v>0</v>
      </c>
      <c r="CJ91" s="251" cm="1">
        <f t="array" aca="1" ref="CJ91" ca="1">(SUMPRODUCT(Delay_emissions_table[Consumption of Diesel (kg) - Secondary Scenario],IF(Delay_emissions_table[Form of Maintenance - Secondary Scenario]="Replacement",1,0))*INDEX(Indicators,MATCH('Additional Impact Indicators'!$A91,Materials!$D:$D,0),MATCH("diesel combustion",Materials!$1:$1,0))+SUMPRODUCT(Delay_emissions_table[Consumption of Petrol (kg) - Secondary Scenario],IF(Delay_emissions_table[Form of Maintenance - Secondary Scenario]="Replacement",1,0))*INDEX(Indicators,MATCH('Additional Impact Indicators'!$A91,Materials!$D:$D,0),MATCH("petrol combustion",Materials!$1:$1,0))+IFERROR(SUMPRODUCT(TRANSPOSE(INDEX(elec_project_emissions,MATCH(Elec_scenario&amp;'Additional Impact Indicators'!$B91,INDEX(Electricity_projection,0,3),0)-1,0)),Delay_emissions_table[Consumption of electricity (MJ) - Secondary Scenario],IF(Delay_emissions_table[Form of Maintenance - Secondary Scenario]="Replacement",1,0)),0))*Area_trans*time_adj_Sec</f>
        <v>0</v>
      </c>
      <c r="CK91" s="252" t="e" cm="1">
        <f t="array" ref="CK9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1" s="252" t="e" cm="1">
        <f t="array" ref="CL9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1" s="253" t="e" cm="1">
        <f t="array" ref="CM9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1" s="387" t="e" cm="1">
        <f t="array" ref="CN9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1" s="51" t="e">
        <f ca="1">SUMIF(Table3[[#This Row],[Raw-Materials]:[Transport to recycling facility]],"&lt;&gt;#N/A")</f>
        <v>#DIV/0!</v>
      </c>
      <c r="CT91" t="s">
        <v>587</v>
      </c>
      <c r="CU91" t="s">
        <v>403</v>
      </c>
      <c r="CV91" t="str">
        <f t="shared" si="6"/>
        <v>A2</v>
      </c>
      <c r="CW91" t="s">
        <v>54</v>
      </c>
      <c r="CY91">
        <f>MATCH(Table611[[#This Row],[Indicator]],Material_Impacts[Look up],0)</f>
        <v>31</v>
      </c>
      <c r="CZ91" s="246" cm="1">
        <f t="array" aca="1" ref="CZ9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1" s="165" cm="1">
        <f t="array" ref="DA9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1" s="165" t="e">
        <f>Diesel_RawM_Tert*INDEX(Indicators,MATCH(Impacts_Additional[[#This Row],[Indicator]],Materials!$D:$D,0),MATCH("Diesel Combustion",Materials!$1:$1,0))*Diesel_density*Project_Area*Tert_Lays*Area_trans</f>
        <v>#DIV/0!</v>
      </c>
      <c r="DC91" s="35" t="e" cm="1">
        <f t="array" aca="1" ref="DC9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1" s="35" t="e" cm="1">
        <f t="array" aca="1" ref="DD9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1" t="e" cm="1">
        <f t="array" aca="1" ref="DE9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1" s="35" t="e" cm="1">
        <f t="array" aca="1" ref="DF9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1" s="35" t="e" cm="1">
        <f t="array" aca="1" ref="DG9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1" t="e" cm="1">
        <f t="array" aca="1" ref="DH9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1" s="35" t="e" cm="1">
        <f t="array" aca="1" ref="DI9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1" s="35" t="e" cm="1">
        <f t="array" aca="1" ref="DJ9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1" t="e" cm="1">
        <f t="array" aca="1" ref="DK9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1" s="35" t="e" cm="1">
        <f t="array" aca="1" ref="DL9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1" s="35" t="e" cm="1">
        <f t="array" aca="1" ref="DM9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1" t="e" cm="1">
        <f t="array" aca="1" ref="DN9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1" s="35" t="e" cm="1">
        <f t="array" aca="1" ref="DO9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1" s="35" t="e" cm="1">
        <f t="array" aca="1" ref="DP9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1" t="e" cm="1">
        <f t="array" aca="1" ref="DQ9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1" s="35" t="e" cm="1">
        <f t="array" aca="1" ref="DR9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1" s="35" t="e" cm="1">
        <f t="array" aca="1" ref="DS9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1" t="e" cm="1">
        <f t="array" aca="1" ref="DT9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1" s="35" t="e" cm="1">
        <f t="array" aca="1" ref="DU9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1" s="35" t="e" cm="1">
        <f t="array" aca="1" ref="DV9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1" t="e" cm="1">
        <f t="array" aca="1" ref="DW9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1" s="35" t="e" cm="1">
        <f t="array" aca="1" ref="DX9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1" s="35" t="e" cm="1">
        <f t="array" aca="1" ref="DY9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1" t="e" cm="1">
        <f t="array" aca="1" ref="DZ9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1" s="35" t="e" cm="1">
        <f t="array" aca="1" ref="EA9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1" s="35" t="e" cm="1">
        <f t="array" aca="1" ref="EB9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1" t="e" cm="1">
        <f t="array" aca="1" ref="EC9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1" s="165" cm="1">
        <f t="array" aca="1" ref="ED91"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1" s="375" cm="1">
        <f t="array" aca="1" ref="EE9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1" s="251" cm="1">
        <f t="array" aca="1" ref="EF91" ca="1">(SUMPRODUCT(Delay_emissions_table[Consumption of Diesel (kg) - Tertiary Scenario],IF(Delay_emissions_table[Form of Maintenance - Tertiary Scenario]="Life Extension",1,0))*INDEX(Indicators,MATCH('Additional Impact Indicators'!$A91,Materials!$D:$D,0),MATCH("diesel combustion",Materials!$1:$1,0))+SUMPRODUCT(Delay_emissions_table[Consumption of Petrol (kg) - Tertiary Scenario],IF(Delay_emissions_table[Form of Maintenance - Tertiary Scenario]="Life Extension",1,0))*INDEX(Indicators,MATCH('Additional Impact Indicators'!$A91,Materials!$D:$D,0),MATCH("petrol combustion",Materials!$1:$1,0))+IFERROR(SUMPRODUCT(TRANSPOSE(INDEX(elec_project_emissions,MATCH(Elec_scenario&amp;'Additional Impact Indicators'!$B91,INDEX(Electricity_projection,0,3),0)-1,0)),Delay_emissions_table[Consumption of electricity (MJ) - Tertiary Scenario],IF(Delay_emissions_table[Form of Maintenance - Tertiary Scenario]="Life Extension",1,0)),0))*Area_trans*Time_adj_Tert</f>
        <v>0</v>
      </c>
      <c r="EG91" s="251" cm="1">
        <f t="array" aca="1" ref="EG91" ca="1">(SUMPRODUCT(Delay_emissions_table[Consumption of Diesel (kg) - Tertiary Scenario],IF(Delay_emissions_table[Form of Maintenance - Tertiary Scenario]="Replacement",1,0))*INDEX(Indicators,MATCH('Additional Impact Indicators'!$A91,Materials!$D:$D,0),MATCH("diesel combustion",Materials!$1:$1,0))+SUMPRODUCT(Delay_emissions_table[Consumption of Petrol (kg) - Tertiary Scenario],IF(Delay_emissions_table[Form of Maintenance - Tertiary Scenario]="Replacement",1,0))*INDEX(Indicators,MATCH('Additional Impact Indicators'!$A91,Materials!$D:$D,0),MATCH("petrol combustion",Materials!$1:$1,0))+IFERROR(SUMPRODUCT(TRANSPOSE(INDEX(elec_project_emissions,MATCH(Elec_scenario&amp;'Additional Impact Indicators'!$B91,INDEX(Electricity_projection,0,3),0)-1,0)),Delay_emissions_table[Consumption of electricity (MJ) - Tertiary Scenario],IF(Delay_emissions_table[Form of Maintenance - Tertiary Scenario]="Replacement",1,0)),0))*Area_trans*Time_adj_Tert</f>
        <v>0</v>
      </c>
      <c r="EH91" s="252" t="e" cm="1">
        <f t="array" ref="EH9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1" s="252" t="e" cm="1">
        <f t="array" ref="EI9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1" s="253" t="e" cm="1">
        <f t="array" ref="EJ9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1" s="253" t="e" cm="1">
        <f t="array" ref="EK9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1" t="e">
        <f ca="1">SUMIF(Table611[[#This Row],[Raw-Materials]:[Transport to recycling facility]],"&lt;&gt;#N/A")</f>
        <v>#DIV/0!</v>
      </c>
    </row>
    <row r="92" spans="1:142" x14ac:dyDescent="0.35">
      <c r="A92" t="s">
        <v>588</v>
      </c>
      <c r="B92" t="s">
        <v>531</v>
      </c>
      <c r="C92" t="str">
        <f t="shared" si="5"/>
        <v>A2</v>
      </c>
      <c r="D92" t="s">
        <v>54</v>
      </c>
      <c r="F92">
        <f>MATCH(Impacts_Additional[[#This Row],[Indicator]],Material_Impacts[Look up],0)</f>
        <v>32</v>
      </c>
      <c r="G92" s="246" cm="1">
        <f t="array" aca="1" ref="G9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2" s="166" cm="1">
        <f t="array" ref="H9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2" s="166" t="e">
        <f>Diesel_RawM_Prim*INDEX(Indicators,MATCH(Impacts_Additional[[#This Row],[Indicator]],Materials!$D:$D,0),MATCH("Diesel Combustion",Materials!$1:$1,0))*Diesel_density*Project_Area*Prim_Lays*Area_trans</f>
        <v>#DIV/0!</v>
      </c>
      <c r="J92" s="20" t="e" cm="1">
        <f t="array" aca="1" ref="J9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2" s="20" t="e" cm="1">
        <f t="array" aca="1" ref="K9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2" s="20" t="e" cm="1">
        <f t="array" aca="1" ref="L9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2" s="20" t="e" cm="1">
        <f t="array" aca="1" ref="M9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2" s="20" t="e" cm="1">
        <f t="array" aca="1" ref="N9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2" s="20" t="e" cm="1">
        <f t="array" aca="1" ref="O9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2" s="20" t="e" cm="1">
        <f t="array" aca="1" ref="P9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2" s="20" t="e" cm="1">
        <f t="array" aca="1" ref="Q9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2" s="20" t="e" cm="1">
        <f t="array" aca="1" ref="R9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2" s="20" t="e" cm="1">
        <f t="array" aca="1" ref="S9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2" s="20" t="e" cm="1">
        <f t="array" aca="1" ref="T9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2" s="20" t="e" cm="1">
        <f t="array" aca="1" ref="U9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2" s="20" t="e" cm="1">
        <f t="array" aca="1" ref="V9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2" s="20" t="e" cm="1">
        <f t="array" aca="1" ref="W9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2" s="20" t="e" cm="1">
        <f t="array" aca="1" ref="X9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2" s="20" t="e" cm="1">
        <f t="array" aca="1" ref="Y9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2" s="20" t="e" cm="1">
        <f t="array" aca="1" ref="Z9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2" s="20" t="e" cm="1">
        <f t="array" aca="1" ref="AA9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2" s="20" t="e" cm="1">
        <f t="array" aca="1" ref="AB9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2" s="20" t="e" cm="1">
        <f t="array" aca="1" ref="AC9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2" s="20" t="e" cm="1">
        <f t="array" aca="1" ref="AD9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2" s="20" t="e" cm="1">
        <f t="array" aca="1" ref="AE9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2" s="20" t="e" cm="1">
        <f t="array" aca="1" ref="AF9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2" s="20" t="e" cm="1">
        <f t="array" aca="1" ref="AG9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2" s="20" t="e" cm="1">
        <f t="array" aca="1" ref="AH9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2" s="20" t="e" cm="1">
        <f t="array" aca="1" ref="AI9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2" s="20" t="e" cm="1">
        <f t="array" aca="1" ref="AJ9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2" s="166" cm="1">
        <f t="array" aca="1" ref="AK92"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2" s="1" cm="1">
        <f t="array" aca="1" ref="AL9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2" s="247" cm="1">
        <f t="array" aca="1" ref="AM92" ca="1">(SUMPRODUCT(Delay_emissions_table[Consumption of Diesel (kg) - Primary Scenario],IF(Delay_emissions_table[Form of Maintenance - Primary Scenario]="Life Extension",1,0))*INDEX(Indicators,MATCH('Additional Impact Indicators'!$A92,Materials!$D:$D,0),MATCH("diesel combustion",Materials!$1:$1,0))+SUMPRODUCT(Delay_emissions_table[Consumption of Petrol (kg) - Primary Scenario],IF(Delay_emissions_table[Form of Maintenance - Primary Scenario]="Life Extension",1,0))*INDEX(Indicators,MATCH('Additional Impact Indicators'!$A92,Materials!$D:$D,0),MATCH("petrol combustion",Materials!$1:$1,0))+IFERROR(SUMPRODUCT(TRANSPOSE(INDEX(elec_project_emissions,MATCH(Elec_scenario&amp;'Additional Impact Indicators'!$B92,INDEX(Electricity_projection,0,3),0)-1,0)),Delay_emissions_table[Consumption of electricity (MJ) - Primary Scenario],IF(Delay_emissions_table[Form of Maintenance - Primary Scenario]="Life Extension",1,0)),0))*Area_trans*Time_adj_Prim</f>
        <v>0</v>
      </c>
      <c r="AN92" s="247" cm="1">
        <f t="array" aca="1" ref="AN92" ca="1">(SUMPRODUCT(Delay_emissions_table[Consumption of Diesel (kg) - Primary Scenario],IF(Delay_emissions_table[Form of Maintenance - Primary Scenario]="Replacement",1,0))*INDEX(Indicators,MATCH('Additional Impact Indicators'!$A92,Materials!$D:$D,0),MATCH("diesel combustion",Materials!$1:$1,0))+SUMPRODUCT(Delay_emissions_table[Consumption of Petrol (kg) - Primary Scenario],IF(Delay_emissions_table[Form of Maintenance - Primary Scenario]="Replacement",1,0))*INDEX(Indicators,MATCH('Additional Impact Indicators'!$A92,Materials!$D:$D,0),MATCH("petrol combustion",Materials!$1:$1,0))+IFERROR(SUMPRODUCT(TRANSPOSE(INDEX(elec_project_emissions,MATCH(Elec_scenario&amp;'Additional Impact Indicators'!$B92,INDEX(Electricity_projection,0,3),0)-1,0)),Delay_emissions_table[Consumption of electricity (MJ) - Primary Scenario],IF(Delay_emissions_table[Form of Maintenance - Primary Scenario]="Replacement",1,0)),0))*Area_trans*Time_adj_Prim</f>
        <v>0</v>
      </c>
      <c r="AO92" s="248" t="e" cm="1">
        <f t="array" ref="AO9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2" s="248" t="e" cm="1">
        <f t="array" ref="AP9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2" s="249" t="e" cm="1">
        <f t="array" ref="AQ9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2" s="386" t="e" cm="1">
        <f t="array" ref="AR9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2" t="e">
        <f ca="1">SUMIF('Additional Impact Indicators'!$G92:$AQ92,"&lt;&gt;#N/A")</f>
        <v>#DIV/0!</v>
      </c>
      <c r="AW92" t="s">
        <v>588</v>
      </c>
      <c r="AX92" t="s">
        <v>531</v>
      </c>
      <c r="AY92" t="str">
        <f t="shared" si="4"/>
        <v>A2</v>
      </c>
      <c r="AZ92" t="s">
        <v>54</v>
      </c>
      <c r="BB92">
        <f>MATCH(Table3[[#This Row],[Indicator]],Material_Impacts[Look up],0)</f>
        <v>32</v>
      </c>
      <c r="BC92" s="246" cm="1">
        <f t="array" aca="1" ref="BC9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2" s="166" cm="1">
        <f t="array" ref="BD9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2" s="166" t="e">
        <f>Diesel_RawM_Sec*INDEX(Indicators,MATCH(Impacts_Additional[[#This Row],[Indicator]],Materials!$D:$D,0),MATCH("Diesel Combustion",Materials!$1:$1,0))*Diesel_density*Project_Area*Sec_Lays*Area_trans</f>
        <v>#DIV/0!</v>
      </c>
      <c r="BF92" s="35" t="e" cm="1">
        <f t="array" aca="1" ref="BF9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2" s="35" t="e" cm="1">
        <f t="array" aca="1" ref="BG9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2" t="e" cm="1">
        <f t="array" aca="1" ref="BH9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2" s="35" t="e" cm="1">
        <f t="array" aca="1" ref="BI9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2" s="35" t="e" cm="1">
        <f t="array" aca="1" ref="BJ9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2" t="e" cm="1">
        <f t="array" aca="1" ref="BK9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2" s="35" t="e" cm="1">
        <f t="array" aca="1" ref="BL9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2" s="35" t="e" cm="1">
        <f t="array" aca="1" ref="BM9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2" t="e" cm="1">
        <f t="array" aca="1" ref="BN9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2" s="35" t="e" cm="1">
        <f t="array" aca="1" ref="BO9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2" s="35" t="e" cm="1">
        <f t="array" aca="1" ref="BP9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2" t="e" cm="1">
        <f t="array" aca="1" ref="BQ9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2" s="35" t="e" cm="1">
        <f t="array" aca="1" ref="BR9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2" s="35" t="e" cm="1">
        <f t="array" aca="1" ref="BS9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2" t="e" cm="1">
        <f t="array" aca="1" ref="BT9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2" s="35" t="e" cm="1">
        <f t="array" aca="1" ref="BU9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2" s="35" t="e" cm="1">
        <f t="array" aca="1" ref="BV9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2" t="e" cm="1">
        <f t="array" aca="1" ref="BW9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2" s="35" t="e" cm="1">
        <f t="array" aca="1" ref="BX9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2" s="35" t="e" cm="1">
        <f t="array" aca="1" ref="BY9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2" t="e" cm="1">
        <f t="array" aca="1" ref="BZ9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2" s="35" t="e" cm="1">
        <f t="array" aca="1" ref="CA9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2" s="35" t="e" cm="1">
        <f t="array" aca="1" ref="CB9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2" t="e" cm="1">
        <f t="array" aca="1" ref="CC9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2" s="35" t="e" cm="1">
        <f t="array" aca="1" ref="CD9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2" s="35" t="e" cm="1">
        <f t="array" aca="1" ref="CE9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2" t="e" cm="1">
        <f t="array" aca="1" ref="CF9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2" s="166" cm="1">
        <f t="array" aca="1" ref="CG92"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2" s="375" cm="1">
        <f t="array" aca="1" ref="CH9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2" s="247" cm="1">
        <f t="array" aca="1" ref="CI92" ca="1">(SUMPRODUCT(Delay_emissions_table[Consumption of Diesel (kg) - Secondary Scenario],IF(Delay_emissions_table[Form of Maintenance - Secondary Scenario]="Life Extension",1,0))*INDEX(Indicators,MATCH('Additional Impact Indicators'!$A92,Materials!$D:$D,0),MATCH("diesel combustion",Materials!$1:$1,0))+SUMPRODUCT(Delay_emissions_table[Consumption of Petrol (kg) - Secondary Scenario],IF(Delay_emissions_table[Form of Maintenance - Secondary Scenario]="Life Extension",1,0))*INDEX(Indicators,MATCH('Additional Impact Indicators'!$A92,Materials!$D:$D,0),MATCH("petrol combustion",Materials!$1:$1,0))+IFERROR(SUMPRODUCT(TRANSPOSE(INDEX(elec_project_emissions,MATCH(Elec_scenario&amp;'Additional Impact Indicators'!$B92,INDEX(Electricity_projection,0,3),0)-1,0)),Delay_emissions_table[Consumption of electricity (MJ) - Secondary Scenario],IF(Delay_emissions_table[Form of Maintenance - Secondary Scenario]="Life Extension",1,0)),0))*Area_trans*time_adj_Sec</f>
        <v>0</v>
      </c>
      <c r="CJ92" s="247" cm="1">
        <f t="array" aca="1" ref="CJ92" ca="1">(SUMPRODUCT(Delay_emissions_table[Consumption of Diesel (kg) - Secondary Scenario],IF(Delay_emissions_table[Form of Maintenance - Secondary Scenario]="Replacement",1,0))*INDEX(Indicators,MATCH('Additional Impact Indicators'!$A92,Materials!$D:$D,0),MATCH("diesel combustion",Materials!$1:$1,0))+SUMPRODUCT(Delay_emissions_table[Consumption of Petrol (kg) - Secondary Scenario],IF(Delay_emissions_table[Form of Maintenance - Secondary Scenario]="Replacement",1,0))*INDEX(Indicators,MATCH('Additional Impact Indicators'!$A92,Materials!$D:$D,0),MATCH("petrol combustion",Materials!$1:$1,0))+IFERROR(SUMPRODUCT(TRANSPOSE(INDEX(elec_project_emissions,MATCH(Elec_scenario&amp;'Additional Impact Indicators'!$B92,INDEX(Electricity_projection,0,3),0)-1,0)),Delay_emissions_table[Consumption of electricity (MJ) - Secondary Scenario],IF(Delay_emissions_table[Form of Maintenance - Secondary Scenario]="Replacement",1,0)),0))*Area_trans*time_adj_Sec</f>
        <v>0</v>
      </c>
      <c r="CK92" s="248" t="e" cm="1">
        <f t="array" ref="CK9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2" s="248" t="e" cm="1">
        <f t="array" ref="CL9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2" s="249" t="e" cm="1">
        <f t="array" ref="CM9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2" s="387" t="e" cm="1">
        <f t="array" ref="CN9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2" s="51" t="e">
        <f ca="1">SUMIF(Table3[[#This Row],[Raw-Materials]:[Transport to recycling facility]],"&lt;&gt;#N/A")</f>
        <v>#DIV/0!</v>
      </c>
      <c r="CT92" t="s">
        <v>588</v>
      </c>
      <c r="CU92" t="s">
        <v>531</v>
      </c>
      <c r="CV92" t="str">
        <f t="shared" si="6"/>
        <v>A2</v>
      </c>
      <c r="CW92" t="s">
        <v>54</v>
      </c>
      <c r="CY92">
        <f>MATCH(Table611[[#This Row],[Indicator]],Material_Impacts[Look up],0)</f>
        <v>32</v>
      </c>
      <c r="CZ92" s="246" cm="1">
        <f t="array" aca="1" ref="CZ9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2" s="166" cm="1">
        <f t="array" ref="DA9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2" s="166" t="e">
        <f>Diesel_RawM_Tert*INDEX(Indicators,MATCH(Impacts_Additional[[#This Row],[Indicator]],Materials!$D:$D,0),MATCH("Diesel Combustion",Materials!$1:$1,0))*Diesel_density*Project_Area*Tert_Lays*Area_trans</f>
        <v>#DIV/0!</v>
      </c>
      <c r="DC92" s="35" t="e" cm="1">
        <f t="array" aca="1" ref="DC9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2" s="35" t="e" cm="1">
        <f t="array" aca="1" ref="DD9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2" t="e" cm="1">
        <f t="array" aca="1" ref="DE9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2" s="35" t="e" cm="1">
        <f t="array" aca="1" ref="DF9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2" s="35" t="e" cm="1">
        <f t="array" aca="1" ref="DG9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2" t="e" cm="1">
        <f t="array" aca="1" ref="DH9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2" s="35" t="e" cm="1">
        <f t="array" aca="1" ref="DI9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2" s="35" t="e" cm="1">
        <f t="array" aca="1" ref="DJ9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2" t="e" cm="1">
        <f t="array" aca="1" ref="DK9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2" s="35" t="e" cm="1">
        <f t="array" aca="1" ref="DL9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2" s="35" t="e" cm="1">
        <f t="array" aca="1" ref="DM9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2" t="e" cm="1">
        <f t="array" aca="1" ref="DN9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2" s="35" t="e" cm="1">
        <f t="array" aca="1" ref="DO9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2" s="35" t="e" cm="1">
        <f t="array" aca="1" ref="DP9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2" t="e" cm="1">
        <f t="array" aca="1" ref="DQ9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2" s="35" t="e" cm="1">
        <f t="array" aca="1" ref="DR9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2" s="35" t="e" cm="1">
        <f t="array" aca="1" ref="DS9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2" t="e" cm="1">
        <f t="array" aca="1" ref="DT9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2" s="35" t="e" cm="1">
        <f t="array" aca="1" ref="DU9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2" s="35" t="e" cm="1">
        <f t="array" aca="1" ref="DV9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2" t="e" cm="1">
        <f t="array" aca="1" ref="DW9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2" s="35" t="e" cm="1">
        <f t="array" aca="1" ref="DX9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2" s="35" t="e" cm="1">
        <f t="array" aca="1" ref="DY9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2" t="e" cm="1">
        <f t="array" aca="1" ref="DZ9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2" s="35" t="e" cm="1">
        <f t="array" aca="1" ref="EA9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2" s="35" t="e" cm="1">
        <f t="array" aca="1" ref="EB9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2" t="e" cm="1">
        <f t="array" aca="1" ref="EC9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2" s="166" cm="1">
        <f t="array" aca="1" ref="ED92"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2" s="375" cm="1">
        <f t="array" aca="1" ref="EE9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2" s="247" cm="1">
        <f t="array" aca="1" ref="EF92" ca="1">(SUMPRODUCT(Delay_emissions_table[Consumption of Diesel (kg) - Tertiary Scenario],IF(Delay_emissions_table[Form of Maintenance - Tertiary Scenario]="Life Extension",1,0))*INDEX(Indicators,MATCH('Additional Impact Indicators'!$A92,Materials!$D:$D,0),MATCH("diesel combustion",Materials!$1:$1,0))+SUMPRODUCT(Delay_emissions_table[Consumption of Petrol (kg) - Tertiary Scenario],IF(Delay_emissions_table[Form of Maintenance - Tertiary Scenario]="Life Extension",1,0))*INDEX(Indicators,MATCH('Additional Impact Indicators'!$A92,Materials!$D:$D,0),MATCH("petrol combustion",Materials!$1:$1,0))+IFERROR(SUMPRODUCT(TRANSPOSE(INDEX(elec_project_emissions,MATCH(Elec_scenario&amp;'Additional Impact Indicators'!$B92,INDEX(Electricity_projection,0,3),0)-1,0)),Delay_emissions_table[Consumption of electricity (MJ) - Tertiary Scenario],IF(Delay_emissions_table[Form of Maintenance - Tertiary Scenario]="Life Extension",1,0)),0))*Area_trans*Time_adj_Tert</f>
        <v>0</v>
      </c>
      <c r="EG92" s="247" cm="1">
        <f t="array" aca="1" ref="EG92" ca="1">(SUMPRODUCT(Delay_emissions_table[Consumption of Diesel (kg) - Tertiary Scenario],IF(Delay_emissions_table[Form of Maintenance - Tertiary Scenario]="Replacement",1,0))*INDEX(Indicators,MATCH('Additional Impact Indicators'!$A92,Materials!$D:$D,0),MATCH("diesel combustion",Materials!$1:$1,0))+SUMPRODUCT(Delay_emissions_table[Consumption of Petrol (kg) - Tertiary Scenario],IF(Delay_emissions_table[Form of Maintenance - Tertiary Scenario]="Replacement",1,0))*INDEX(Indicators,MATCH('Additional Impact Indicators'!$A92,Materials!$D:$D,0),MATCH("petrol combustion",Materials!$1:$1,0))+IFERROR(SUMPRODUCT(TRANSPOSE(INDEX(elec_project_emissions,MATCH(Elec_scenario&amp;'Additional Impact Indicators'!$B92,INDEX(Electricity_projection,0,3),0)-1,0)),Delay_emissions_table[Consumption of electricity (MJ) - Tertiary Scenario],IF(Delay_emissions_table[Form of Maintenance - Tertiary Scenario]="Replacement",1,0)),0))*Area_trans*Time_adj_Tert</f>
        <v>0</v>
      </c>
      <c r="EH92" s="248" t="e" cm="1">
        <f t="array" ref="EH9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2" s="248" t="e" cm="1">
        <f t="array" ref="EI9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2" s="249" t="e" cm="1">
        <f t="array" ref="EJ9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2" s="249" t="e" cm="1">
        <f t="array" ref="EK9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2" t="e">
        <f ca="1">SUMIF(Table611[[#This Row],[Raw-Materials]:[Transport to recycling facility]],"&lt;&gt;#N/A")</f>
        <v>#DIV/0!</v>
      </c>
    </row>
    <row r="93" spans="1:142" x14ac:dyDescent="0.35">
      <c r="A93" s="155" t="s">
        <v>589</v>
      </c>
      <c r="B93" s="155" t="s">
        <v>406</v>
      </c>
      <c r="C93" s="155" t="str">
        <f t="shared" si="5"/>
        <v>A2</v>
      </c>
      <c r="D93" s="155" t="s">
        <v>54</v>
      </c>
      <c r="E93" s="155"/>
      <c r="F93">
        <f>MATCH(Impacts_Additional[[#This Row],[Indicator]],Material_Impacts[Look up],0)</f>
        <v>33</v>
      </c>
      <c r="G93" s="246" cm="1">
        <f t="array" aca="1" ref="G9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3" s="165" cm="1">
        <f t="array" ref="H9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3" s="165" t="e">
        <f>Diesel_RawM_Prim*INDEX(Indicators,MATCH(Impacts_Additional[[#This Row],[Indicator]],Materials!$D:$D,0),MATCH("Diesel Combustion",Materials!$1:$1,0))*Diesel_density*Project_Area*Prim_Lays*Area_trans</f>
        <v>#DIV/0!</v>
      </c>
      <c r="J93" s="250" t="e" cm="1">
        <f t="array" aca="1" ref="J9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3" s="250" t="e" cm="1">
        <f t="array" aca="1" ref="K9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3" s="250" t="e" cm="1">
        <f t="array" aca="1" ref="L9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3" s="250" t="e" cm="1">
        <f t="array" aca="1" ref="M9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3" s="250" t="e" cm="1">
        <f t="array" aca="1" ref="N9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3" s="250" t="e" cm="1">
        <f t="array" aca="1" ref="O9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3" s="250" t="e" cm="1">
        <f t="array" aca="1" ref="P9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3" s="250" t="e" cm="1">
        <f t="array" aca="1" ref="Q9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3" s="250" t="e" cm="1">
        <f t="array" aca="1" ref="R9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3" s="250" t="e" cm="1">
        <f t="array" aca="1" ref="S9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3" s="250" t="e" cm="1">
        <f t="array" aca="1" ref="T9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3" s="250" t="e" cm="1">
        <f t="array" aca="1" ref="U9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3" s="250" t="e" cm="1">
        <f t="array" aca="1" ref="V9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3" s="250" t="e" cm="1">
        <f t="array" aca="1" ref="W9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3" s="250" t="e" cm="1">
        <f t="array" aca="1" ref="X9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3" s="250" t="e" cm="1">
        <f t="array" aca="1" ref="Y9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3" s="250" t="e" cm="1">
        <f t="array" aca="1" ref="Z9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3" s="250" t="e" cm="1">
        <f t="array" aca="1" ref="AA9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3" s="250" t="e" cm="1">
        <f t="array" aca="1" ref="AB9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3" s="250" t="e" cm="1">
        <f t="array" aca="1" ref="AC9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3" s="250" t="e" cm="1">
        <f t="array" aca="1" ref="AD9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3" s="250" t="e" cm="1">
        <f t="array" aca="1" ref="AE9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3" s="250" t="e" cm="1">
        <f t="array" aca="1" ref="AF9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3" s="250" t="e" cm="1">
        <f t="array" aca="1" ref="AG9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3" s="250" t="e" cm="1">
        <f t="array" aca="1" ref="AH9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3" s="250" t="e" cm="1">
        <f t="array" aca="1" ref="AI9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3" s="250" t="e" cm="1">
        <f t="array" aca="1" ref="AJ9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3" s="165" cm="1">
        <f t="array" aca="1" ref="AK93"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3" s="254" cm="1">
        <f t="array" aca="1" ref="AL9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3" s="251" cm="1">
        <f t="array" aca="1" ref="AM93" ca="1">(SUMPRODUCT(Delay_emissions_table[Consumption of Diesel (kg) - Primary Scenario],IF(Delay_emissions_table[Form of Maintenance - Primary Scenario]="Life Extension",1,0))*INDEX(Indicators,MATCH('Additional Impact Indicators'!$A93,Materials!$D:$D,0),MATCH("diesel combustion",Materials!$1:$1,0))+SUMPRODUCT(Delay_emissions_table[Consumption of Petrol (kg) - Primary Scenario],IF(Delay_emissions_table[Form of Maintenance - Primary Scenario]="Life Extension",1,0))*INDEX(Indicators,MATCH('Additional Impact Indicators'!$A93,Materials!$D:$D,0),MATCH("petrol combustion",Materials!$1:$1,0))+IFERROR(SUMPRODUCT(TRANSPOSE(INDEX(elec_project_emissions,MATCH(Elec_scenario&amp;'Additional Impact Indicators'!$B93,INDEX(Electricity_projection,0,3),0)-1,0)),Delay_emissions_table[Consumption of electricity (MJ) - Primary Scenario],IF(Delay_emissions_table[Form of Maintenance - Primary Scenario]="Life Extension",1,0)),0))*Area_trans*Time_adj_Prim</f>
        <v>0</v>
      </c>
      <c r="AN93" s="251" cm="1">
        <f t="array" aca="1" ref="AN93" ca="1">(SUMPRODUCT(Delay_emissions_table[Consumption of Diesel (kg) - Primary Scenario],IF(Delay_emissions_table[Form of Maintenance - Primary Scenario]="Replacement",1,0))*INDEX(Indicators,MATCH('Additional Impact Indicators'!$A93,Materials!$D:$D,0),MATCH("diesel combustion",Materials!$1:$1,0))+SUMPRODUCT(Delay_emissions_table[Consumption of Petrol (kg) - Primary Scenario],IF(Delay_emissions_table[Form of Maintenance - Primary Scenario]="Replacement",1,0))*INDEX(Indicators,MATCH('Additional Impact Indicators'!$A93,Materials!$D:$D,0),MATCH("petrol combustion",Materials!$1:$1,0))+IFERROR(SUMPRODUCT(TRANSPOSE(INDEX(elec_project_emissions,MATCH(Elec_scenario&amp;'Additional Impact Indicators'!$B93,INDEX(Electricity_projection,0,3),0)-1,0)),Delay_emissions_table[Consumption of electricity (MJ) - Primary Scenario],IF(Delay_emissions_table[Form of Maintenance - Primary Scenario]="Replacement",1,0)),0))*Area_trans*Time_adj_Prim</f>
        <v>0</v>
      </c>
      <c r="AO93" s="252" t="e" cm="1">
        <f t="array" ref="AO9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3" s="252" t="e" cm="1">
        <f t="array" ref="AP9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3" s="253" t="e" cm="1">
        <f t="array" ref="AQ9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3" s="385" t="e" cm="1">
        <f t="array" ref="AR9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3" t="e">
        <f ca="1">SUMIF('Additional Impact Indicators'!$G93:$AQ93,"&lt;&gt;#N/A")</f>
        <v>#DIV/0!</v>
      </c>
      <c r="AW93" s="155" t="s">
        <v>589</v>
      </c>
      <c r="AX93" s="155" t="s">
        <v>406</v>
      </c>
      <c r="AY93" t="str">
        <f t="shared" ref="AY93:AY112" si="7">IF(ISNUMBER(SEARCH("A1",AW93)),"A1","A2")</f>
        <v>A2</v>
      </c>
      <c r="AZ93" s="155" t="s">
        <v>54</v>
      </c>
      <c r="BB93">
        <f>MATCH(Table3[[#This Row],[Indicator]],Material_Impacts[Look up],0)</f>
        <v>33</v>
      </c>
      <c r="BC93" s="246" cm="1">
        <f t="array" aca="1" ref="BC9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3" s="165" cm="1">
        <f t="array" ref="BD9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3" s="165" t="e">
        <f>Diesel_RawM_Sec*INDEX(Indicators,MATCH(Impacts_Additional[[#This Row],[Indicator]],Materials!$D:$D,0),MATCH("Diesel Combustion",Materials!$1:$1,0))*Diesel_density*Project_Area*Sec_Lays*Area_trans</f>
        <v>#DIV/0!</v>
      </c>
      <c r="BF93" s="35" t="e" cm="1">
        <f t="array" aca="1" ref="BF9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3" s="35" t="e" cm="1">
        <f t="array" aca="1" ref="BG9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3" t="e" cm="1">
        <f t="array" aca="1" ref="BH9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3" s="35" t="e" cm="1">
        <f t="array" aca="1" ref="BI9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3" s="35" t="e" cm="1">
        <f t="array" aca="1" ref="BJ9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3" t="e" cm="1">
        <f t="array" aca="1" ref="BK9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3" s="35" t="e" cm="1">
        <f t="array" aca="1" ref="BL9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3" s="35" t="e" cm="1">
        <f t="array" aca="1" ref="BM9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3" t="e" cm="1">
        <f t="array" aca="1" ref="BN9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3" s="35" t="e" cm="1">
        <f t="array" aca="1" ref="BO9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3" s="35" t="e" cm="1">
        <f t="array" aca="1" ref="BP9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3" t="e" cm="1">
        <f t="array" aca="1" ref="BQ9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3" s="35" t="e" cm="1">
        <f t="array" aca="1" ref="BR9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3" s="35" t="e" cm="1">
        <f t="array" aca="1" ref="BS9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3" t="e" cm="1">
        <f t="array" aca="1" ref="BT9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3" s="35" t="e" cm="1">
        <f t="array" aca="1" ref="BU9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3" s="35" t="e" cm="1">
        <f t="array" aca="1" ref="BV9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3" t="e" cm="1">
        <f t="array" aca="1" ref="BW9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3" s="35" t="e" cm="1">
        <f t="array" aca="1" ref="BX9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3" s="35" t="e" cm="1">
        <f t="array" aca="1" ref="BY9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3" t="e" cm="1">
        <f t="array" aca="1" ref="BZ9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3" s="35" t="e" cm="1">
        <f t="array" aca="1" ref="CA9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3" s="35" t="e" cm="1">
        <f t="array" aca="1" ref="CB9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3" t="e" cm="1">
        <f t="array" aca="1" ref="CC9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3" s="35" t="e" cm="1">
        <f t="array" aca="1" ref="CD9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3" s="35" t="e" cm="1">
        <f t="array" aca="1" ref="CE9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3" t="e" cm="1">
        <f t="array" aca="1" ref="CF9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3" s="165" cm="1">
        <f t="array" aca="1" ref="CG93"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3" s="375" cm="1">
        <f t="array" aca="1" ref="CH9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3" s="251" cm="1">
        <f t="array" aca="1" ref="CI93" ca="1">(SUMPRODUCT(Delay_emissions_table[Consumption of Diesel (kg) - Secondary Scenario],IF(Delay_emissions_table[Form of Maintenance - Secondary Scenario]="Life Extension",1,0))*INDEX(Indicators,MATCH('Additional Impact Indicators'!$A93,Materials!$D:$D,0),MATCH("diesel combustion",Materials!$1:$1,0))+SUMPRODUCT(Delay_emissions_table[Consumption of Petrol (kg) - Secondary Scenario],IF(Delay_emissions_table[Form of Maintenance - Secondary Scenario]="Life Extension",1,0))*INDEX(Indicators,MATCH('Additional Impact Indicators'!$A93,Materials!$D:$D,0),MATCH("petrol combustion",Materials!$1:$1,0))+IFERROR(SUMPRODUCT(TRANSPOSE(INDEX(elec_project_emissions,MATCH(Elec_scenario&amp;'Additional Impact Indicators'!$B93,INDEX(Electricity_projection,0,3),0)-1,0)),Delay_emissions_table[Consumption of electricity (MJ) - Secondary Scenario],IF(Delay_emissions_table[Form of Maintenance - Secondary Scenario]="Life Extension",1,0)),0))*Area_trans*time_adj_Sec</f>
        <v>0</v>
      </c>
      <c r="CJ93" s="251" cm="1">
        <f t="array" aca="1" ref="CJ93" ca="1">(SUMPRODUCT(Delay_emissions_table[Consumption of Diesel (kg) - Secondary Scenario],IF(Delay_emissions_table[Form of Maintenance - Secondary Scenario]="Replacement",1,0))*INDEX(Indicators,MATCH('Additional Impact Indicators'!$A93,Materials!$D:$D,0),MATCH("diesel combustion",Materials!$1:$1,0))+SUMPRODUCT(Delay_emissions_table[Consumption of Petrol (kg) - Secondary Scenario],IF(Delay_emissions_table[Form of Maintenance - Secondary Scenario]="Replacement",1,0))*INDEX(Indicators,MATCH('Additional Impact Indicators'!$A93,Materials!$D:$D,0),MATCH("petrol combustion",Materials!$1:$1,0))+IFERROR(SUMPRODUCT(TRANSPOSE(INDEX(elec_project_emissions,MATCH(Elec_scenario&amp;'Additional Impact Indicators'!$B93,INDEX(Electricity_projection,0,3),0)-1,0)),Delay_emissions_table[Consumption of electricity (MJ) - Secondary Scenario],IF(Delay_emissions_table[Form of Maintenance - Secondary Scenario]="Replacement",1,0)),0))*Area_trans*time_adj_Sec</f>
        <v>0</v>
      </c>
      <c r="CK93" s="252" t="e" cm="1">
        <f t="array" ref="CK9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3" s="252" t="e" cm="1">
        <f t="array" ref="CL9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3" s="253" t="e" cm="1">
        <f t="array" ref="CM9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3" s="387" t="e" cm="1">
        <f t="array" ref="CN9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3" s="51" t="e">
        <f ca="1">SUMIF(Table3[[#This Row],[Raw-Materials]:[Transport to recycling facility]],"&lt;&gt;#N/A")</f>
        <v>#DIV/0!</v>
      </c>
      <c r="CT93" t="s">
        <v>589</v>
      </c>
      <c r="CU93" t="s">
        <v>406</v>
      </c>
      <c r="CV93" t="str">
        <f t="shared" si="6"/>
        <v>A2</v>
      </c>
      <c r="CW93" t="s">
        <v>54</v>
      </c>
      <c r="CY93">
        <f>MATCH(Table611[[#This Row],[Indicator]],Material_Impacts[Look up],0)</f>
        <v>33</v>
      </c>
      <c r="CZ93" s="246" cm="1">
        <f t="array" aca="1" ref="CZ9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3" s="165" cm="1">
        <f t="array" ref="DA9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3" s="165" t="e">
        <f>Diesel_RawM_Tert*INDEX(Indicators,MATCH(Impacts_Additional[[#This Row],[Indicator]],Materials!$D:$D,0),MATCH("Diesel Combustion",Materials!$1:$1,0))*Diesel_density*Project_Area*Tert_Lays*Area_trans</f>
        <v>#DIV/0!</v>
      </c>
      <c r="DC93" s="35" t="e" cm="1">
        <f t="array" aca="1" ref="DC9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3" s="35" t="e" cm="1">
        <f t="array" aca="1" ref="DD9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3" t="e" cm="1">
        <f t="array" aca="1" ref="DE9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3" s="35" t="e" cm="1">
        <f t="array" aca="1" ref="DF9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3" s="35" t="e" cm="1">
        <f t="array" aca="1" ref="DG9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3" t="e" cm="1">
        <f t="array" aca="1" ref="DH9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3" s="35" t="e" cm="1">
        <f t="array" aca="1" ref="DI9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3" s="35" t="e" cm="1">
        <f t="array" aca="1" ref="DJ9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3" t="e" cm="1">
        <f t="array" aca="1" ref="DK9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3" s="35" t="e" cm="1">
        <f t="array" aca="1" ref="DL9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3" s="35" t="e" cm="1">
        <f t="array" aca="1" ref="DM9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3" t="e" cm="1">
        <f t="array" aca="1" ref="DN9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3" s="35" t="e" cm="1">
        <f t="array" aca="1" ref="DO9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3" s="35" t="e" cm="1">
        <f t="array" aca="1" ref="DP9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3" t="e" cm="1">
        <f t="array" aca="1" ref="DQ9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3" s="35" t="e" cm="1">
        <f t="array" aca="1" ref="DR9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3" s="35" t="e" cm="1">
        <f t="array" aca="1" ref="DS9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3" t="e" cm="1">
        <f t="array" aca="1" ref="DT9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3" s="35" t="e" cm="1">
        <f t="array" aca="1" ref="DU9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3" s="35" t="e" cm="1">
        <f t="array" aca="1" ref="DV9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3" t="e" cm="1">
        <f t="array" aca="1" ref="DW9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3" s="35" t="e" cm="1">
        <f t="array" aca="1" ref="DX9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3" s="35" t="e" cm="1">
        <f t="array" aca="1" ref="DY9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3" t="e" cm="1">
        <f t="array" aca="1" ref="DZ9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3" s="35" t="e" cm="1">
        <f t="array" aca="1" ref="EA9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3" s="35" t="e" cm="1">
        <f t="array" aca="1" ref="EB9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3" t="e" cm="1">
        <f t="array" aca="1" ref="EC9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3" s="165" cm="1">
        <f t="array" aca="1" ref="ED93"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3" s="375" cm="1">
        <f t="array" aca="1" ref="EE9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3" s="251" cm="1">
        <f t="array" aca="1" ref="EF93" ca="1">(SUMPRODUCT(Delay_emissions_table[Consumption of Diesel (kg) - Tertiary Scenario],IF(Delay_emissions_table[Form of Maintenance - Tertiary Scenario]="Life Extension",1,0))*INDEX(Indicators,MATCH('Additional Impact Indicators'!$A93,Materials!$D:$D,0),MATCH("diesel combustion",Materials!$1:$1,0))+SUMPRODUCT(Delay_emissions_table[Consumption of Petrol (kg) - Tertiary Scenario],IF(Delay_emissions_table[Form of Maintenance - Tertiary Scenario]="Life Extension",1,0))*INDEX(Indicators,MATCH('Additional Impact Indicators'!$A93,Materials!$D:$D,0),MATCH("petrol combustion",Materials!$1:$1,0))+IFERROR(SUMPRODUCT(TRANSPOSE(INDEX(elec_project_emissions,MATCH(Elec_scenario&amp;'Additional Impact Indicators'!$B93,INDEX(Electricity_projection,0,3),0)-1,0)),Delay_emissions_table[Consumption of electricity (MJ) - Tertiary Scenario],IF(Delay_emissions_table[Form of Maintenance - Tertiary Scenario]="Life Extension",1,0)),0))*Area_trans*Time_adj_Tert</f>
        <v>0</v>
      </c>
      <c r="EG93" s="251" cm="1">
        <f t="array" aca="1" ref="EG93" ca="1">(SUMPRODUCT(Delay_emissions_table[Consumption of Diesel (kg) - Tertiary Scenario],IF(Delay_emissions_table[Form of Maintenance - Tertiary Scenario]="Replacement",1,0))*INDEX(Indicators,MATCH('Additional Impact Indicators'!$A93,Materials!$D:$D,0),MATCH("diesel combustion",Materials!$1:$1,0))+SUMPRODUCT(Delay_emissions_table[Consumption of Petrol (kg) - Tertiary Scenario],IF(Delay_emissions_table[Form of Maintenance - Tertiary Scenario]="Replacement",1,0))*INDEX(Indicators,MATCH('Additional Impact Indicators'!$A93,Materials!$D:$D,0),MATCH("petrol combustion",Materials!$1:$1,0))+IFERROR(SUMPRODUCT(TRANSPOSE(INDEX(elec_project_emissions,MATCH(Elec_scenario&amp;'Additional Impact Indicators'!$B93,INDEX(Electricity_projection,0,3),0)-1,0)),Delay_emissions_table[Consumption of electricity (MJ) - Tertiary Scenario],IF(Delay_emissions_table[Form of Maintenance - Tertiary Scenario]="Replacement",1,0)),0))*Area_trans*Time_adj_Tert</f>
        <v>0</v>
      </c>
      <c r="EH93" s="252" t="e" cm="1">
        <f t="array" ref="EH9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3" s="252" t="e" cm="1">
        <f t="array" ref="EI9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3" s="253" t="e" cm="1">
        <f t="array" ref="EJ9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3" s="253" t="e" cm="1">
        <f t="array" ref="EK9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3" t="e">
        <f ca="1">SUMIF(Table611[[#This Row],[Raw-Materials]:[Transport to recycling facility]],"&lt;&gt;#N/A")</f>
        <v>#DIV/0!</v>
      </c>
    </row>
    <row r="94" spans="1:142" x14ac:dyDescent="0.35">
      <c r="A94" t="s">
        <v>590</v>
      </c>
      <c r="B94" t="s">
        <v>534</v>
      </c>
      <c r="C94" t="str">
        <f t="shared" si="5"/>
        <v>A2</v>
      </c>
      <c r="D94" t="s">
        <v>54</v>
      </c>
      <c r="F94">
        <f>MATCH(Impacts_Additional[[#This Row],[Indicator]],Material_Impacts[Look up],0)</f>
        <v>34</v>
      </c>
      <c r="G94" s="246" cm="1">
        <f t="array" aca="1" ref="G9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4" s="166" cm="1">
        <f t="array" ref="H9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4" s="166" t="e">
        <f>Diesel_RawM_Prim*INDEX(Indicators,MATCH(Impacts_Additional[[#This Row],[Indicator]],Materials!$D:$D,0),MATCH("Diesel Combustion",Materials!$1:$1,0))*Diesel_density*Project_Area*Prim_Lays*Area_trans</f>
        <v>#DIV/0!</v>
      </c>
      <c r="J94" s="20" t="e" cm="1">
        <f t="array" aca="1" ref="J9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4" s="20" t="e" cm="1">
        <f t="array" aca="1" ref="K9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4" s="20" t="e" cm="1">
        <f t="array" aca="1" ref="L9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4" s="20" t="e" cm="1">
        <f t="array" aca="1" ref="M9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4" s="20" t="e" cm="1">
        <f t="array" aca="1" ref="N9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4" s="20" t="e" cm="1">
        <f t="array" aca="1" ref="O9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4" s="20" t="e" cm="1">
        <f t="array" aca="1" ref="P9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4" s="20" t="e" cm="1">
        <f t="array" aca="1" ref="Q9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4" s="20" t="e" cm="1">
        <f t="array" aca="1" ref="R9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4" s="20" t="e" cm="1">
        <f t="array" aca="1" ref="S9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4" s="20" t="e" cm="1">
        <f t="array" aca="1" ref="T9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4" s="20" t="e" cm="1">
        <f t="array" aca="1" ref="U9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4" s="20" t="e" cm="1">
        <f t="array" aca="1" ref="V9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4" s="20" t="e" cm="1">
        <f t="array" aca="1" ref="W9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4" s="20" t="e" cm="1">
        <f t="array" aca="1" ref="X9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4" s="20" t="e" cm="1">
        <f t="array" aca="1" ref="Y9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4" s="20" t="e" cm="1">
        <f t="array" aca="1" ref="Z9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4" s="20" t="e" cm="1">
        <f t="array" aca="1" ref="AA9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4" s="20" t="e" cm="1">
        <f t="array" aca="1" ref="AB9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4" s="20" t="e" cm="1">
        <f t="array" aca="1" ref="AC9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4" s="20" t="e" cm="1">
        <f t="array" aca="1" ref="AD9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4" s="20" t="e" cm="1">
        <f t="array" aca="1" ref="AE9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4" s="20" t="e" cm="1">
        <f t="array" aca="1" ref="AF9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4" s="20" t="e" cm="1">
        <f t="array" aca="1" ref="AG9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4" s="20" t="e" cm="1">
        <f t="array" aca="1" ref="AH9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4" s="20" t="e" cm="1">
        <f t="array" aca="1" ref="AI9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4" s="20" t="e" cm="1">
        <f t="array" aca="1" ref="AJ9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4" s="166" cm="1">
        <f t="array" aca="1" ref="AK94"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4" s="1" cm="1">
        <f t="array" aca="1" ref="AL9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4" s="247" cm="1">
        <f t="array" aca="1" ref="AM94" ca="1">(SUMPRODUCT(Delay_emissions_table[Consumption of Diesel (kg) - Primary Scenario],IF(Delay_emissions_table[Form of Maintenance - Primary Scenario]="Life Extension",1,0))*INDEX(Indicators,MATCH('Additional Impact Indicators'!$A94,Materials!$D:$D,0),MATCH("diesel combustion",Materials!$1:$1,0))+SUMPRODUCT(Delay_emissions_table[Consumption of Petrol (kg) - Primary Scenario],IF(Delay_emissions_table[Form of Maintenance - Primary Scenario]="Life Extension",1,0))*INDEX(Indicators,MATCH('Additional Impact Indicators'!$A94,Materials!$D:$D,0),MATCH("petrol combustion",Materials!$1:$1,0))+IFERROR(SUMPRODUCT(TRANSPOSE(INDEX(elec_project_emissions,MATCH(Elec_scenario&amp;'Additional Impact Indicators'!$B94,INDEX(Electricity_projection,0,3),0)-1,0)),Delay_emissions_table[Consumption of electricity (MJ) - Primary Scenario],IF(Delay_emissions_table[Form of Maintenance - Primary Scenario]="Life Extension",1,0)),0))*Area_trans*Time_adj_Prim</f>
        <v>0</v>
      </c>
      <c r="AN94" s="247" cm="1">
        <f t="array" aca="1" ref="AN94" ca="1">(SUMPRODUCT(Delay_emissions_table[Consumption of Diesel (kg) - Primary Scenario],IF(Delay_emissions_table[Form of Maintenance - Primary Scenario]="Replacement",1,0))*INDEX(Indicators,MATCH('Additional Impact Indicators'!$A94,Materials!$D:$D,0),MATCH("diesel combustion",Materials!$1:$1,0))+SUMPRODUCT(Delay_emissions_table[Consumption of Petrol (kg) - Primary Scenario],IF(Delay_emissions_table[Form of Maintenance - Primary Scenario]="Replacement",1,0))*INDEX(Indicators,MATCH('Additional Impact Indicators'!$A94,Materials!$D:$D,0),MATCH("petrol combustion",Materials!$1:$1,0))+IFERROR(SUMPRODUCT(TRANSPOSE(INDEX(elec_project_emissions,MATCH(Elec_scenario&amp;'Additional Impact Indicators'!$B94,INDEX(Electricity_projection,0,3),0)-1,0)),Delay_emissions_table[Consumption of electricity (MJ) - Primary Scenario],IF(Delay_emissions_table[Form of Maintenance - Primary Scenario]="Replacement",1,0)),0))*Area_trans*Time_adj_Prim</f>
        <v>0</v>
      </c>
      <c r="AO94" s="248" t="e" cm="1">
        <f t="array" ref="AO9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4" s="248" t="e" cm="1">
        <f t="array" ref="AP9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4" s="249" t="e" cm="1">
        <f t="array" ref="AQ9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4" s="386" t="e" cm="1">
        <f t="array" ref="AR9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4" t="e">
        <f ca="1">SUMIF('Additional Impact Indicators'!$G94:$AQ94,"&lt;&gt;#N/A")</f>
        <v>#DIV/0!</v>
      </c>
      <c r="AW94" t="s">
        <v>590</v>
      </c>
      <c r="AX94" t="s">
        <v>534</v>
      </c>
      <c r="AY94" t="str">
        <f t="shared" si="7"/>
        <v>A2</v>
      </c>
      <c r="AZ94" t="s">
        <v>54</v>
      </c>
      <c r="BB94">
        <f>MATCH(Table3[[#This Row],[Indicator]],Material_Impacts[Look up],0)</f>
        <v>34</v>
      </c>
      <c r="BC94" s="246" cm="1">
        <f t="array" aca="1" ref="BC9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4" s="166" cm="1">
        <f t="array" ref="BD9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4" s="166" t="e">
        <f>Diesel_RawM_Sec*INDEX(Indicators,MATCH(Impacts_Additional[[#This Row],[Indicator]],Materials!$D:$D,0),MATCH("Diesel Combustion",Materials!$1:$1,0))*Diesel_density*Project_Area*Sec_Lays*Area_trans</f>
        <v>#DIV/0!</v>
      </c>
      <c r="BF94" s="35" t="e" cm="1">
        <f t="array" aca="1" ref="BF9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4" s="35" t="e" cm="1">
        <f t="array" aca="1" ref="BG9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4" t="e" cm="1">
        <f t="array" aca="1" ref="BH9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4" s="35" t="e" cm="1">
        <f t="array" aca="1" ref="BI9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4" s="35" t="e" cm="1">
        <f t="array" aca="1" ref="BJ9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4" t="e" cm="1">
        <f t="array" aca="1" ref="BK9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4" s="35" t="e" cm="1">
        <f t="array" aca="1" ref="BL9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4" s="35" t="e" cm="1">
        <f t="array" aca="1" ref="BM9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4" t="e" cm="1">
        <f t="array" aca="1" ref="BN9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4" s="35" t="e" cm="1">
        <f t="array" aca="1" ref="BO9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4" s="35" t="e" cm="1">
        <f t="array" aca="1" ref="BP9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4" t="e" cm="1">
        <f t="array" aca="1" ref="BQ9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4" s="35" t="e" cm="1">
        <f t="array" aca="1" ref="BR9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4" s="35" t="e" cm="1">
        <f t="array" aca="1" ref="BS9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4" t="e" cm="1">
        <f t="array" aca="1" ref="BT9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4" s="35" t="e" cm="1">
        <f t="array" aca="1" ref="BU9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4" s="35" t="e" cm="1">
        <f t="array" aca="1" ref="BV9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4" t="e" cm="1">
        <f t="array" aca="1" ref="BW9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4" s="35" t="e" cm="1">
        <f t="array" aca="1" ref="BX9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4" s="35" t="e" cm="1">
        <f t="array" aca="1" ref="BY9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4" t="e" cm="1">
        <f t="array" aca="1" ref="BZ9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4" s="35" t="e" cm="1">
        <f t="array" aca="1" ref="CA9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4" s="35" t="e" cm="1">
        <f t="array" aca="1" ref="CB9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4" t="e" cm="1">
        <f t="array" aca="1" ref="CC9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4" s="35" t="e" cm="1">
        <f t="array" aca="1" ref="CD9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4" s="35" t="e" cm="1">
        <f t="array" aca="1" ref="CE9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4" t="e" cm="1">
        <f t="array" aca="1" ref="CF9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4" s="166" cm="1">
        <f t="array" aca="1" ref="CG94"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4" s="375" cm="1">
        <f t="array" aca="1" ref="CH9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4" s="247" cm="1">
        <f t="array" aca="1" ref="CI94" ca="1">(SUMPRODUCT(Delay_emissions_table[Consumption of Diesel (kg) - Secondary Scenario],IF(Delay_emissions_table[Form of Maintenance - Secondary Scenario]="Life Extension",1,0))*INDEX(Indicators,MATCH('Additional Impact Indicators'!$A94,Materials!$D:$D,0),MATCH("diesel combustion",Materials!$1:$1,0))+SUMPRODUCT(Delay_emissions_table[Consumption of Petrol (kg) - Secondary Scenario],IF(Delay_emissions_table[Form of Maintenance - Secondary Scenario]="Life Extension",1,0))*INDEX(Indicators,MATCH('Additional Impact Indicators'!$A94,Materials!$D:$D,0),MATCH("petrol combustion",Materials!$1:$1,0))+IFERROR(SUMPRODUCT(TRANSPOSE(INDEX(elec_project_emissions,MATCH(Elec_scenario&amp;'Additional Impact Indicators'!$B94,INDEX(Electricity_projection,0,3),0)-1,0)),Delay_emissions_table[Consumption of electricity (MJ) - Secondary Scenario],IF(Delay_emissions_table[Form of Maintenance - Secondary Scenario]="Life Extension",1,0)),0))*Area_trans*time_adj_Sec</f>
        <v>0</v>
      </c>
      <c r="CJ94" s="247" cm="1">
        <f t="array" aca="1" ref="CJ94" ca="1">(SUMPRODUCT(Delay_emissions_table[Consumption of Diesel (kg) - Secondary Scenario],IF(Delay_emissions_table[Form of Maintenance - Secondary Scenario]="Replacement",1,0))*INDEX(Indicators,MATCH('Additional Impact Indicators'!$A94,Materials!$D:$D,0),MATCH("diesel combustion",Materials!$1:$1,0))+SUMPRODUCT(Delay_emissions_table[Consumption of Petrol (kg) - Secondary Scenario],IF(Delay_emissions_table[Form of Maintenance - Secondary Scenario]="Replacement",1,0))*INDEX(Indicators,MATCH('Additional Impact Indicators'!$A94,Materials!$D:$D,0),MATCH("petrol combustion",Materials!$1:$1,0))+IFERROR(SUMPRODUCT(TRANSPOSE(INDEX(elec_project_emissions,MATCH(Elec_scenario&amp;'Additional Impact Indicators'!$B94,INDEX(Electricity_projection,0,3),0)-1,0)),Delay_emissions_table[Consumption of electricity (MJ) - Secondary Scenario],IF(Delay_emissions_table[Form of Maintenance - Secondary Scenario]="Replacement",1,0)),0))*Area_trans*time_adj_Sec</f>
        <v>0</v>
      </c>
      <c r="CK94" s="248" t="e" cm="1">
        <f t="array" ref="CK9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4" s="248" t="e" cm="1">
        <f t="array" ref="CL9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4" s="249" t="e" cm="1">
        <f t="array" ref="CM9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4" s="387" t="e" cm="1">
        <f t="array" ref="CN9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4" s="51" t="e">
        <f ca="1">SUMIF(Table3[[#This Row],[Raw-Materials]:[Transport to recycling facility]],"&lt;&gt;#N/A")</f>
        <v>#DIV/0!</v>
      </c>
      <c r="CT94" t="s">
        <v>590</v>
      </c>
      <c r="CU94" t="s">
        <v>534</v>
      </c>
      <c r="CV94" t="str">
        <f t="shared" si="6"/>
        <v>A2</v>
      </c>
      <c r="CW94" t="s">
        <v>54</v>
      </c>
      <c r="CY94">
        <f>MATCH(Table611[[#This Row],[Indicator]],Material_Impacts[Look up],0)</f>
        <v>34</v>
      </c>
      <c r="CZ94" s="246" cm="1">
        <f t="array" aca="1" ref="CZ9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4" s="166" cm="1">
        <f t="array" ref="DA9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4" s="166" t="e">
        <f>Diesel_RawM_Tert*INDEX(Indicators,MATCH(Impacts_Additional[[#This Row],[Indicator]],Materials!$D:$D,0),MATCH("Diesel Combustion",Materials!$1:$1,0))*Diesel_density*Project_Area*Tert_Lays*Area_trans</f>
        <v>#DIV/0!</v>
      </c>
      <c r="DC94" s="35" t="e" cm="1">
        <f t="array" aca="1" ref="DC9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4" s="35" t="e" cm="1">
        <f t="array" aca="1" ref="DD9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4" t="e" cm="1">
        <f t="array" aca="1" ref="DE9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4" s="35" t="e" cm="1">
        <f t="array" aca="1" ref="DF9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4" s="35" t="e" cm="1">
        <f t="array" aca="1" ref="DG9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4" t="e" cm="1">
        <f t="array" aca="1" ref="DH9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4" s="35" t="e" cm="1">
        <f t="array" aca="1" ref="DI9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4" s="35" t="e" cm="1">
        <f t="array" aca="1" ref="DJ9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4" t="e" cm="1">
        <f t="array" aca="1" ref="DK9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4" s="35" t="e" cm="1">
        <f t="array" aca="1" ref="DL9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4" s="35" t="e" cm="1">
        <f t="array" aca="1" ref="DM9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4" t="e" cm="1">
        <f t="array" aca="1" ref="DN9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4" s="35" t="e" cm="1">
        <f t="array" aca="1" ref="DO9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4" s="35" t="e" cm="1">
        <f t="array" aca="1" ref="DP9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4" t="e" cm="1">
        <f t="array" aca="1" ref="DQ9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4" s="35" t="e" cm="1">
        <f t="array" aca="1" ref="DR9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4" s="35" t="e" cm="1">
        <f t="array" aca="1" ref="DS9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4" t="e" cm="1">
        <f t="array" aca="1" ref="DT9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4" s="35" t="e" cm="1">
        <f t="array" aca="1" ref="DU9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4" s="35" t="e" cm="1">
        <f t="array" aca="1" ref="DV9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4" t="e" cm="1">
        <f t="array" aca="1" ref="DW9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4" s="35" t="e" cm="1">
        <f t="array" aca="1" ref="DX9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4" s="35" t="e" cm="1">
        <f t="array" aca="1" ref="DY9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4" t="e" cm="1">
        <f t="array" aca="1" ref="DZ9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4" s="35" t="e" cm="1">
        <f t="array" aca="1" ref="EA9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4" s="35" t="e" cm="1">
        <f t="array" aca="1" ref="EB9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4" t="e" cm="1">
        <f t="array" aca="1" ref="EC9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4" s="166" cm="1">
        <f t="array" aca="1" ref="ED94"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4" s="375" cm="1">
        <f t="array" aca="1" ref="EE9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4" s="247" cm="1">
        <f t="array" aca="1" ref="EF94" ca="1">(SUMPRODUCT(Delay_emissions_table[Consumption of Diesel (kg) - Tertiary Scenario],IF(Delay_emissions_table[Form of Maintenance - Tertiary Scenario]="Life Extension",1,0))*INDEX(Indicators,MATCH('Additional Impact Indicators'!$A94,Materials!$D:$D,0),MATCH("diesel combustion",Materials!$1:$1,0))+SUMPRODUCT(Delay_emissions_table[Consumption of Petrol (kg) - Tertiary Scenario],IF(Delay_emissions_table[Form of Maintenance - Tertiary Scenario]="Life Extension",1,0))*INDEX(Indicators,MATCH('Additional Impact Indicators'!$A94,Materials!$D:$D,0),MATCH("petrol combustion",Materials!$1:$1,0))+IFERROR(SUMPRODUCT(TRANSPOSE(INDEX(elec_project_emissions,MATCH(Elec_scenario&amp;'Additional Impact Indicators'!$B94,INDEX(Electricity_projection,0,3),0)-1,0)),Delay_emissions_table[Consumption of electricity (MJ) - Tertiary Scenario],IF(Delay_emissions_table[Form of Maintenance - Tertiary Scenario]="Life Extension",1,0)),0))*Area_trans*Time_adj_Tert</f>
        <v>0</v>
      </c>
      <c r="EG94" s="247" cm="1">
        <f t="array" aca="1" ref="EG94" ca="1">(SUMPRODUCT(Delay_emissions_table[Consumption of Diesel (kg) - Tertiary Scenario],IF(Delay_emissions_table[Form of Maintenance - Tertiary Scenario]="Replacement",1,0))*INDEX(Indicators,MATCH('Additional Impact Indicators'!$A94,Materials!$D:$D,0),MATCH("diesel combustion",Materials!$1:$1,0))+SUMPRODUCT(Delay_emissions_table[Consumption of Petrol (kg) - Tertiary Scenario],IF(Delay_emissions_table[Form of Maintenance - Tertiary Scenario]="Replacement",1,0))*INDEX(Indicators,MATCH('Additional Impact Indicators'!$A94,Materials!$D:$D,0),MATCH("petrol combustion",Materials!$1:$1,0))+IFERROR(SUMPRODUCT(TRANSPOSE(INDEX(elec_project_emissions,MATCH(Elec_scenario&amp;'Additional Impact Indicators'!$B94,INDEX(Electricity_projection,0,3),0)-1,0)),Delay_emissions_table[Consumption of electricity (MJ) - Tertiary Scenario],IF(Delay_emissions_table[Form of Maintenance - Tertiary Scenario]="Replacement",1,0)),0))*Area_trans*Time_adj_Tert</f>
        <v>0</v>
      </c>
      <c r="EH94" s="248" t="e" cm="1">
        <f t="array" ref="EH9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4" s="248" t="e" cm="1">
        <f t="array" ref="EI9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4" s="249" t="e" cm="1">
        <f t="array" ref="EJ9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4" s="249" t="e" cm="1">
        <f t="array" ref="EK9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4" t="e">
        <f ca="1">SUMIF(Table611[[#This Row],[Raw-Materials]:[Transport to recycling facility]],"&lt;&gt;#N/A")</f>
        <v>#DIV/0!</v>
      </c>
    </row>
    <row r="95" spans="1:142" x14ac:dyDescent="0.35">
      <c r="A95" s="155" t="s">
        <v>591</v>
      </c>
      <c r="B95" s="155" t="s">
        <v>499</v>
      </c>
      <c r="C95" s="155" t="str">
        <f t="shared" si="5"/>
        <v>A2</v>
      </c>
      <c r="D95" s="155" t="s">
        <v>54</v>
      </c>
      <c r="E95" s="155"/>
      <c r="F95">
        <f>MATCH(Impacts_Additional[[#This Row],[Indicator]],Material_Impacts[Look up],0)</f>
        <v>35</v>
      </c>
      <c r="G95" s="246" cm="1">
        <f t="array" aca="1" ref="G9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5" s="165" cm="1">
        <f t="array" ref="H9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5" s="165" t="e">
        <f>Diesel_RawM_Prim*INDEX(Indicators,MATCH(Impacts_Additional[[#This Row],[Indicator]],Materials!$D:$D,0),MATCH("Diesel Combustion",Materials!$1:$1,0))*Diesel_density*Project_Area*Prim_Lays*Area_trans</f>
        <v>#DIV/0!</v>
      </c>
      <c r="J95" s="250" t="e" cm="1">
        <f t="array" aca="1" ref="J9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5" s="250" t="e" cm="1">
        <f t="array" aca="1" ref="K9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5" s="250" t="e" cm="1">
        <f t="array" aca="1" ref="L9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5" s="250" t="e" cm="1">
        <f t="array" aca="1" ref="M9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5" s="250" t="e" cm="1">
        <f t="array" aca="1" ref="N9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5" s="250" t="e" cm="1">
        <f t="array" aca="1" ref="O9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5" s="250" t="e" cm="1">
        <f t="array" aca="1" ref="P9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5" s="250" t="e" cm="1">
        <f t="array" aca="1" ref="Q9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5" s="250" t="e" cm="1">
        <f t="array" aca="1" ref="R9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5" s="250" t="e" cm="1">
        <f t="array" aca="1" ref="S9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5" s="250" t="e" cm="1">
        <f t="array" aca="1" ref="T9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5" s="250" t="e" cm="1">
        <f t="array" aca="1" ref="U9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5" s="250" t="e" cm="1">
        <f t="array" aca="1" ref="V9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5" s="250" t="e" cm="1">
        <f t="array" aca="1" ref="W9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5" s="250" t="e" cm="1">
        <f t="array" aca="1" ref="X9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5" s="250" t="e" cm="1">
        <f t="array" aca="1" ref="Y9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5" s="250" t="e" cm="1">
        <f t="array" aca="1" ref="Z9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5" s="250" t="e" cm="1">
        <f t="array" aca="1" ref="AA9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5" s="250" t="e" cm="1">
        <f t="array" aca="1" ref="AB9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5" s="250" t="e" cm="1">
        <f t="array" aca="1" ref="AC9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5" s="250" t="e" cm="1">
        <f t="array" aca="1" ref="AD9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5" s="250" t="e" cm="1">
        <f t="array" aca="1" ref="AE9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5" s="250" t="e" cm="1">
        <f t="array" aca="1" ref="AF9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5" s="250" t="e" cm="1">
        <f t="array" aca="1" ref="AG9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5" s="250" t="e" cm="1">
        <f t="array" aca="1" ref="AH9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5" s="250" t="e" cm="1">
        <f t="array" aca="1" ref="AI9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5" s="250" t="e" cm="1">
        <f t="array" aca="1" ref="AJ9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5" s="165" cm="1">
        <f t="array" aca="1" ref="AK95"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5" s="254" cm="1">
        <f t="array" aca="1" ref="AL9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5" s="251" cm="1">
        <f t="array" aca="1" ref="AM95" ca="1">(SUMPRODUCT(Delay_emissions_table[Consumption of Diesel (kg) - Primary Scenario],IF(Delay_emissions_table[Form of Maintenance - Primary Scenario]="Life Extension",1,0))*INDEX(Indicators,MATCH('Additional Impact Indicators'!$A95,Materials!$D:$D,0),MATCH("diesel combustion",Materials!$1:$1,0))+SUMPRODUCT(Delay_emissions_table[Consumption of Petrol (kg) - Primary Scenario],IF(Delay_emissions_table[Form of Maintenance - Primary Scenario]="Life Extension",1,0))*INDEX(Indicators,MATCH('Additional Impact Indicators'!$A95,Materials!$D:$D,0),MATCH("petrol combustion",Materials!$1:$1,0))+IFERROR(SUMPRODUCT(TRANSPOSE(INDEX(elec_project_emissions,MATCH(Elec_scenario&amp;'Additional Impact Indicators'!$B95,INDEX(Electricity_projection,0,3),0)-1,0)),Delay_emissions_table[Consumption of electricity (MJ) - Primary Scenario],IF(Delay_emissions_table[Form of Maintenance - Primary Scenario]="Life Extension",1,0)),0))*Area_trans*Time_adj_Prim</f>
        <v>0</v>
      </c>
      <c r="AN95" s="251" cm="1">
        <f t="array" aca="1" ref="AN95" ca="1">(SUMPRODUCT(Delay_emissions_table[Consumption of Diesel (kg) - Primary Scenario],IF(Delay_emissions_table[Form of Maintenance - Primary Scenario]="Replacement",1,0))*INDEX(Indicators,MATCH('Additional Impact Indicators'!$A95,Materials!$D:$D,0),MATCH("diesel combustion",Materials!$1:$1,0))+SUMPRODUCT(Delay_emissions_table[Consumption of Petrol (kg) - Primary Scenario],IF(Delay_emissions_table[Form of Maintenance - Primary Scenario]="Replacement",1,0))*INDEX(Indicators,MATCH('Additional Impact Indicators'!$A95,Materials!$D:$D,0),MATCH("petrol combustion",Materials!$1:$1,0))+IFERROR(SUMPRODUCT(TRANSPOSE(INDEX(elec_project_emissions,MATCH(Elec_scenario&amp;'Additional Impact Indicators'!$B95,INDEX(Electricity_projection,0,3),0)-1,0)),Delay_emissions_table[Consumption of electricity (MJ) - Primary Scenario],IF(Delay_emissions_table[Form of Maintenance - Primary Scenario]="Replacement",1,0)),0))*Area_trans*Time_adj_Prim</f>
        <v>0</v>
      </c>
      <c r="AO95" s="252" t="e" cm="1">
        <f t="array" ref="AO9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5" s="252" t="e" cm="1">
        <f t="array" ref="AP9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5" s="253" t="e" cm="1">
        <f t="array" ref="AQ9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5" s="385" t="e" cm="1">
        <f t="array" ref="AR9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5" t="e">
        <f ca="1">SUMIF('Additional Impact Indicators'!$G95:$AQ95,"&lt;&gt;#N/A")</f>
        <v>#DIV/0!</v>
      </c>
      <c r="AW95" s="155" t="s">
        <v>591</v>
      </c>
      <c r="AX95" s="155" t="s">
        <v>499</v>
      </c>
      <c r="AY95" t="str">
        <f t="shared" si="7"/>
        <v>A2</v>
      </c>
      <c r="AZ95" s="155" t="s">
        <v>54</v>
      </c>
      <c r="BB95">
        <f>MATCH(Table3[[#This Row],[Indicator]],Material_Impacts[Look up],0)</f>
        <v>35</v>
      </c>
      <c r="BC95" s="246" cm="1">
        <f t="array" aca="1" ref="BC9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5" s="165" cm="1">
        <f t="array" ref="BD9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5" s="165" t="e">
        <f>Diesel_RawM_Sec*INDEX(Indicators,MATCH(Impacts_Additional[[#This Row],[Indicator]],Materials!$D:$D,0),MATCH("Diesel Combustion",Materials!$1:$1,0))*Diesel_density*Project_Area*Sec_Lays*Area_trans</f>
        <v>#DIV/0!</v>
      </c>
      <c r="BF95" s="35" t="e" cm="1">
        <f t="array" aca="1" ref="BF9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5" s="35" t="e" cm="1">
        <f t="array" aca="1" ref="BG9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5" t="e" cm="1">
        <f t="array" aca="1" ref="BH9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5" s="35" t="e" cm="1">
        <f t="array" aca="1" ref="BI9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5" s="35" t="e" cm="1">
        <f t="array" aca="1" ref="BJ9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5" t="e" cm="1">
        <f t="array" aca="1" ref="BK9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5" s="35" t="e" cm="1">
        <f t="array" aca="1" ref="BL9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5" s="35" t="e" cm="1">
        <f t="array" aca="1" ref="BM9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5" t="e" cm="1">
        <f t="array" aca="1" ref="BN9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5" s="35" t="e" cm="1">
        <f t="array" aca="1" ref="BO9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5" s="35" t="e" cm="1">
        <f t="array" aca="1" ref="BP9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5" t="e" cm="1">
        <f t="array" aca="1" ref="BQ9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5" s="35" t="e" cm="1">
        <f t="array" aca="1" ref="BR9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5" s="35" t="e" cm="1">
        <f t="array" aca="1" ref="BS9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5" t="e" cm="1">
        <f t="array" aca="1" ref="BT9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5" s="35" t="e" cm="1">
        <f t="array" aca="1" ref="BU9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5" s="35" t="e" cm="1">
        <f t="array" aca="1" ref="BV9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5" t="e" cm="1">
        <f t="array" aca="1" ref="BW9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5" s="35" t="e" cm="1">
        <f t="array" aca="1" ref="BX9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5" s="35" t="e" cm="1">
        <f t="array" aca="1" ref="BY9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5" t="e" cm="1">
        <f t="array" aca="1" ref="BZ9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5" s="35" t="e" cm="1">
        <f t="array" aca="1" ref="CA9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5" s="35" t="e" cm="1">
        <f t="array" aca="1" ref="CB9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5" t="e" cm="1">
        <f t="array" aca="1" ref="CC9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5" s="35" t="e" cm="1">
        <f t="array" aca="1" ref="CD9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5" s="35" t="e" cm="1">
        <f t="array" aca="1" ref="CE9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5" t="e" cm="1">
        <f t="array" aca="1" ref="CF9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5" s="165" cm="1">
        <f t="array" aca="1" ref="CG95"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5" s="375" cm="1">
        <f t="array" aca="1" ref="CH9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5" s="251" cm="1">
        <f t="array" aca="1" ref="CI95" ca="1">(SUMPRODUCT(Delay_emissions_table[Consumption of Diesel (kg) - Secondary Scenario],IF(Delay_emissions_table[Form of Maintenance - Secondary Scenario]="Life Extension",1,0))*INDEX(Indicators,MATCH('Additional Impact Indicators'!$A95,Materials!$D:$D,0),MATCH("diesel combustion",Materials!$1:$1,0))+SUMPRODUCT(Delay_emissions_table[Consumption of Petrol (kg) - Secondary Scenario],IF(Delay_emissions_table[Form of Maintenance - Secondary Scenario]="Life Extension",1,0))*INDEX(Indicators,MATCH('Additional Impact Indicators'!$A95,Materials!$D:$D,0),MATCH("petrol combustion",Materials!$1:$1,0))+IFERROR(SUMPRODUCT(TRANSPOSE(INDEX(elec_project_emissions,MATCH(Elec_scenario&amp;'Additional Impact Indicators'!$B95,INDEX(Electricity_projection,0,3),0)-1,0)),Delay_emissions_table[Consumption of electricity (MJ) - Secondary Scenario],IF(Delay_emissions_table[Form of Maintenance - Secondary Scenario]="Life Extension",1,0)),0))*Area_trans*time_adj_Sec</f>
        <v>0</v>
      </c>
      <c r="CJ95" s="251" cm="1">
        <f t="array" aca="1" ref="CJ95" ca="1">(SUMPRODUCT(Delay_emissions_table[Consumption of Diesel (kg) - Secondary Scenario],IF(Delay_emissions_table[Form of Maintenance - Secondary Scenario]="Replacement",1,0))*INDEX(Indicators,MATCH('Additional Impact Indicators'!$A95,Materials!$D:$D,0),MATCH("diesel combustion",Materials!$1:$1,0))+SUMPRODUCT(Delay_emissions_table[Consumption of Petrol (kg) - Secondary Scenario],IF(Delay_emissions_table[Form of Maintenance - Secondary Scenario]="Replacement",1,0))*INDEX(Indicators,MATCH('Additional Impact Indicators'!$A95,Materials!$D:$D,0),MATCH("petrol combustion",Materials!$1:$1,0))+IFERROR(SUMPRODUCT(TRANSPOSE(INDEX(elec_project_emissions,MATCH(Elec_scenario&amp;'Additional Impact Indicators'!$B95,INDEX(Electricity_projection,0,3),0)-1,0)),Delay_emissions_table[Consumption of electricity (MJ) - Secondary Scenario],IF(Delay_emissions_table[Form of Maintenance - Secondary Scenario]="Replacement",1,0)),0))*Area_trans*time_adj_Sec</f>
        <v>0</v>
      </c>
      <c r="CK95" s="252" t="e" cm="1">
        <f t="array" ref="CK9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5" s="252" t="e" cm="1">
        <f t="array" ref="CL9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5" s="253" t="e" cm="1">
        <f t="array" ref="CM9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5" s="387" t="e" cm="1">
        <f t="array" ref="CN9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5" s="51" t="e">
        <f ca="1">SUMIF(Table3[[#This Row],[Raw-Materials]:[Transport to recycling facility]],"&lt;&gt;#N/A")</f>
        <v>#DIV/0!</v>
      </c>
      <c r="CT95" t="s">
        <v>591</v>
      </c>
      <c r="CU95" t="s">
        <v>499</v>
      </c>
      <c r="CV95" t="str">
        <f t="shared" si="6"/>
        <v>A2</v>
      </c>
      <c r="CW95" t="s">
        <v>54</v>
      </c>
      <c r="CY95">
        <f>MATCH(Table611[[#This Row],[Indicator]],Material_Impacts[Look up],0)</f>
        <v>35</v>
      </c>
      <c r="CZ95" s="246" cm="1">
        <f t="array" aca="1" ref="CZ9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5" s="165" cm="1">
        <f t="array" ref="DA9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5" s="165" t="e">
        <f>Diesel_RawM_Tert*INDEX(Indicators,MATCH(Impacts_Additional[[#This Row],[Indicator]],Materials!$D:$D,0),MATCH("Diesel Combustion",Materials!$1:$1,0))*Diesel_density*Project_Area*Tert_Lays*Area_trans</f>
        <v>#DIV/0!</v>
      </c>
      <c r="DC95" s="35" t="e" cm="1">
        <f t="array" aca="1" ref="DC9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5" s="35" t="e" cm="1">
        <f t="array" aca="1" ref="DD9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5" t="e" cm="1">
        <f t="array" aca="1" ref="DE9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5" s="35" t="e" cm="1">
        <f t="array" aca="1" ref="DF9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5" s="35" t="e" cm="1">
        <f t="array" aca="1" ref="DG9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5" t="e" cm="1">
        <f t="array" aca="1" ref="DH9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5" s="35" t="e" cm="1">
        <f t="array" aca="1" ref="DI9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5" s="35" t="e" cm="1">
        <f t="array" aca="1" ref="DJ9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5" t="e" cm="1">
        <f t="array" aca="1" ref="DK9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5" s="35" t="e" cm="1">
        <f t="array" aca="1" ref="DL9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5" s="35" t="e" cm="1">
        <f t="array" aca="1" ref="DM9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5" t="e" cm="1">
        <f t="array" aca="1" ref="DN9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5" s="35" t="e" cm="1">
        <f t="array" aca="1" ref="DO9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5" s="35" t="e" cm="1">
        <f t="array" aca="1" ref="DP9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5" t="e" cm="1">
        <f t="array" aca="1" ref="DQ9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5" s="35" t="e" cm="1">
        <f t="array" aca="1" ref="DR9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5" s="35" t="e" cm="1">
        <f t="array" aca="1" ref="DS9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5" t="e" cm="1">
        <f t="array" aca="1" ref="DT9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5" s="35" t="e" cm="1">
        <f t="array" aca="1" ref="DU9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5" s="35" t="e" cm="1">
        <f t="array" aca="1" ref="DV9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5" t="e" cm="1">
        <f t="array" aca="1" ref="DW9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5" s="35" t="e" cm="1">
        <f t="array" aca="1" ref="DX9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5" s="35" t="e" cm="1">
        <f t="array" aca="1" ref="DY9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5" t="e" cm="1">
        <f t="array" aca="1" ref="DZ9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5" s="35" t="e" cm="1">
        <f t="array" aca="1" ref="EA9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5" s="35" t="e" cm="1">
        <f t="array" aca="1" ref="EB9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5" t="e" cm="1">
        <f t="array" aca="1" ref="EC9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5" s="165" cm="1">
        <f t="array" aca="1" ref="ED95"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5" s="375" cm="1">
        <f t="array" aca="1" ref="EE9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5" s="251" cm="1">
        <f t="array" aca="1" ref="EF95" ca="1">(SUMPRODUCT(Delay_emissions_table[Consumption of Diesel (kg) - Tertiary Scenario],IF(Delay_emissions_table[Form of Maintenance - Tertiary Scenario]="Life Extension",1,0))*INDEX(Indicators,MATCH('Additional Impact Indicators'!$A95,Materials!$D:$D,0),MATCH("diesel combustion",Materials!$1:$1,0))+SUMPRODUCT(Delay_emissions_table[Consumption of Petrol (kg) - Tertiary Scenario],IF(Delay_emissions_table[Form of Maintenance - Tertiary Scenario]="Life Extension",1,0))*INDEX(Indicators,MATCH('Additional Impact Indicators'!$A95,Materials!$D:$D,0),MATCH("petrol combustion",Materials!$1:$1,0))+IFERROR(SUMPRODUCT(TRANSPOSE(INDEX(elec_project_emissions,MATCH(Elec_scenario&amp;'Additional Impact Indicators'!$B95,INDEX(Electricity_projection,0,3),0)-1,0)),Delay_emissions_table[Consumption of electricity (MJ) - Tertiary Scenario],IF(Delay_emissions_table[Form of Maintenance - Tertiary Scenario]="Life Extension",1,0)),0))*Area_trans*Time_adj_Tert</f>
        <v>0</v>
      </c>
      <c r="EG95" s="251" cm="1">
        <f t="array" aca="1" ref="EG95" ca="1">(SUMPRODUCT(Delay_emissions_table[Consumption of Diesel (kg) - Tertiary Scenario],IF(Delay_emissions_table[Form of Maintenance - Tertiary Scenario]="Replacement",1,0))*INDEX(Indicators,MATCH('Additional Impact Indicators'!$A95,Materials!$D:$D,0),MATCH("diesel combustion",Materials!$1:$1,0))+SUMPRODUCT(Delay_emissions_table[Consumption of Petrol (kg) - Tertiary Scenario],IF(Delay_emissions_table[Form of Maintenance - Tertiary Scenario]="Replacement",1,0))*INDEX(Indicators,MATCH('Additional Impact Indicators'!$A95,Materials!$D:$D,0),MATCH("petrol combustion",Materials!$1:$1,0))+IFERROR(SUMPRODUCT(TRANSPOSE(INDEX(elec_project_emissions,MATCH(Elec_scenario&amp;'Additional Impact Indicators'!$B95,INDEX(Electricity_projection,0,3),0)-1,0)),Delay_emissions_table[Consumption of electricity (MJ) - Tertiary Scenario],IF(Delay_emissions_table[Form of Maintenance - Tertiary Scenario]="Replacement",1,0)),0))*Area_trans*Time_adj_Tert</f>
        <v>0</v>
      </c>
      <c r="EH95" s="252" t="e" cm="1">
        <f t="array" ref="EH9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5" s="252" t="e" cm="1">
        <f t="array" ref="EI9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5" s="253" t="e" cm="1">
        <f t="array" ref="EJ9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5" s="253" t="e" cm="1">
        <f t="array" ref="EK9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5" t="e">
        <f ca="1">SUMIF(Table611[[#This Row],[Raw-Materials]:[Transport to recycling facility]],"&lt;&gt;#N/A")</f>
        <v>#DIV/0!</v>
      </c>
    </row>
    <row r="96" spans="1:142" x14ac:dyDescent="0.35">
      <c r="A96" t="s">
        <v>592</v>
      </c>
      <c r="B96" t="s">
        <v>501</v>
      </c>
      <c r="C96" t="str">
        <f t="shared" si="5"/>
        <v>A2</v>
      </c>
      <c r="D96" t="s">
        <v>54</v>
      </c>
      <c r="F96">
        <f>MATCH(Impacts_Additional[[#This Row],[Indicator]],Material_Impacts[Look up],0)</f>
        <v>36</v>
      </c>
      <c r="G96" s="246" cm="1">
        <f t="array" aca="1" ref="G9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6" s="166" cm="1">
        <f t="array" ref="H9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6" s="166" t="e">
        <f>Diesel_RawM_Prim*INDEX(Indicators,MATCH(Impacts_Additional[[#This Row],[Indicator]],Materials!$D:$D,0),MATCH("Diesel Combustion",Materials!$1:$1,0))*Diesel_density*Project_Area*Prim_Lays*Area_trans</f>
        <v>#DIV/0!</v>
      </c>
      <c r="J96" s="20" t="e" cm="1">
        <f t="array" aca="1" ref="J9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6" s="20" t="e" cm="1">
        <f t="array" aca="1" ref="K9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6" s="20" t="e" cm="1">
        <f t="array" aca="1" ref="L9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6" s="20" t="e" cm="1">
        <f t="array" aca="1" ref="M9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6" s="20" t="e" cm="1">
        <f t="array" aca="1" ref="N9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6" s="20" t="e" cm="1">
        <f t="array" aca="1" ref="O9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6" s="20" t="e" cm="1">
        <f t="array" aca="1" ref="P9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6" s="20" t="e" cm="1">
        <f t="array" aca="1" ref="Q9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6" s="20" t="e" cm="1">
        <f t="array" aca="1" ref="R9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6" s="20" t="e" cm="1">
        <f t="array" aca="1" ref="S9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6" s="20" t="e" cm="1">
        <f t="array" aca="1" ref="T9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6" s="20" t="e" cm="1">
        <f t="array" aca="1" ref="U9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6" s="20" t="e" cm="1">
        <f t="array" aca="1" ref="V9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6" s="20" t="e" cm="1">
        <f t="array" aca="1" ref="W9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6" s="20" t="e" cm="1">
        <f t="array" aca="1" ref="X9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6" s="20" t="e" cm="1">
        <f t="array" aca="1" ref="Y9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6" s="20" t="e" cm="1">
        <f t="array" aca="1" ref="Z9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6" s="20" t="e" cm="1">
        <f t="array" aca="1" ref="AA9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6" s="20" t="e" cm="1">
        <f t="array" aca="1" ref="AB9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6" s="20" t="e" cm="1">
        <f t="array" aca="1" ref="AC9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6" s="20" t="e" cm="1">
        <f t="array" aca="1" ref="AD9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6" s="20" t="e" cm="1">
        <f t="array" aca="1" ref="AE9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6" s="20" t="e" cm="1">
        <f t="array" aca="1" ref="AF9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6" s="20" t="e" cm="1">
        <f t="array" aca="1" ref="AG9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6" s="20" t="e" cm="1">
        <f t="array" aca="1" ref="AH9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6" s="20" t="e" cm="1">
        <f t="array" aca="1" ref="AI9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6" s="20" t="e" cm="1">
        <f t="array" aca="1" ref="AJ9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6" s="166" cm="1">
        <f t="array" aca="1" ref="AK96"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6" s="1" cm="1">
        <f t="array" aca="1" ref="AL9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6" s="247" cm="1">
        <f t="array" aca="1" ref="AM96" ca="1">(SUMPRODUCT(Delay_emissions_table[Consumption of Diesel (kg) - Primary Scenario],IF(Delay_emissions_table[Form of Maintenance - Primary Scenario]="Life Extension",1,0))*INDEX(Indicators,MATCH('Additional Impact Indicators'!$A96,Materials!$D:$D,0),MATCH("diesel combustion",Materials!$1:$1,0))+SUMPRODUCT(Delay_emissions_table[Consumption of Petrol (kg) - Primary Scenario],IF(Delay_emissions_table[Form of Maintenance - Primary Scenario]="Life Extension",1,0))*INDEX(Indicators,MATCH('Additional Impact Indicators'!$A96,Materials!$D:$D,0),MATCH("petrol combustion",Materials!$1:$1,0))+IFERROR(SUMPRODUCT(TRANSPOSE(INDEX(elec_project_emissions,MATCH(Elec_scenario&amp;'Additional Impact Indicators'!$B96,INDEX(Electricity_projection,0,3),0)-1,0)),Delay_emissions_table[Consumption of electricity (MJ) - Primary Scenario],IF(Delay_emissions_table[Form of Maintenance - Primary Scenario]="Life Extension",1,0)),0))*Area_trans*Time_adj_Prim</f>
        <v>0</v>
      </c>
      <c r="AN96" s="247" cm="1">
        <f t="array" aca="1" ref="AN96" ca="1">(SUMPRODUCT(Delay_emissions_table[Consumption of Diesel (kg) - Primary Scenario],IF(Delay_emissions_table[Form of Maintenance - Primary Scenario]="Replacement",1,0))*INDEX(Indicators,MATCH('Additional Impact Indicators'!$A96,Materials!$D:$D,0),MATCH("diesel combustion",Materials!$1:$1,0))+SUMPRODUCT(Delay_emissions_table[Consumption of Petrol (kg) - Primary Scenario],IF(Delay_emissions_table[Form of Maintenance - Primary Scenario]="Replacement",1,0))*INDEX(Indicators,MATCH('Additional Impact Indicators'!$A96,Materials!$D:$D,0),MATCH("petrol combustion",Materials!$1:$1,0))+IFERROR(SUMPRODUCT(TRANSPOSE(INDEX(elec_project_emissions,MATCH(Elec_scenario&amp;'Additional Impact Indicators'!$B96,INDEX(Electricity_projection,0,3),0)-1,0)),Delay_emissions_table[Consumption of electricity (MJ) - Primary Scenario],IF(Delay_emissions_table[Form of Maintenance - Primary Scenario]="Replacement",1,0)),0))*Area_trans*Time_adj_Prim</f>
        <v>0</v>
      </c>
      <c r="AO96" s="248" t="e" cm="1">
        <f t="array" ref="AO9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6" s="248" t="e" cm="1">
        <f t="array" ref="AP9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6" s="249" t="e" cm="1">
        <f t="array" ref="AQ9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6" s="386" t="e" cm="1">
        <f t="array" ref="AR9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6" t="e">
        <f ca="1">SUMIF('Additional Impact Indicators'!$G96:$AQ96,"&lt;&gt;#N/A")</f>
        <v>#DIV/0!</v>
      </c>
      <c r="AW96" t="s">
        <v>592</v>
      </c>
      <c r="AX96" t="s">
        <v>501</v>
      </c>
      <c r="AY96" t="str">
        <f t="shared" si="7"/>
        <v>A2</v>
      </c>
      <c r="AZ96" t="s">
        <v>54</v>
      </c>
      <c r="BB96">
        <f>MATCH(Table3[[#This Row],[Indicator]],Material_Impacts[Look up],0)</f>
        <v>36</v>
      </c>
      <c r="BC96" s="246" cm="1">
        <f t="array" aca="1" ref="BC9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6" s="166" cm="1">
        <f t="array" ref="BD9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6" s="166" t="e">
        <f>Diesel_RawM_Sec*INDEX(Indicators,MATCH(Impacts_Additional[[#This Row],[Indicator]],Materials!$D:$D,0),MATCH("Diesel Combustion",Materials!$1:$1,0))*Diesel_density*Project_Area*Sec_Lays*Area_trans</f>
        <v>#DIV/0!</v>
      </c>
      <c r="BF96" s="35" t="e" cm="1">
        <f t="array" aca="1" ref="BF9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6" s="35" t="e" cm="1">
        <f t="array" aca="1" ref="BG9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6" t="e" cm="1">
        <f t="array" aca="1" ref="BH9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6" s="35" t="e" cm="1">
        <f t="array" aca="1" ref="BI9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6" s="35" t="e" cm="1">
        <f t="array" aca="1" ref="BJ9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6" t="e" cm="1">
        <f t="array" aca="1" ref="BK9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6" s="35" t="e" cm="1">
        <f t="array" aca="1" ref="BL9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6" s="35" t="e" cm="1">
        <f t="array" aca="1" ref="BM9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6" t="e" cm="1">
        <f t="array" aca="1" ref="BN9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6" s="35" t="e" cm="1">
        <f t="array" aca="1" ref="BO9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6" s="35" t="e" cm="1">
        <f t="array" aca="1" ref="BP9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6" t="e" cm="1">
        <f t="array" aca="1" ref="BQ9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6" s="35" t="e" cm="1">
        <f t="array" aca="1" ref="BR9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6" s="35" t="e" cm="1">
        <f t="array" aca="1" ref="BS9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6" t="e" cm="1">
        <f t="array" aca="1" ref="BT9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6" s="35" t="e" cm="1">
        <f t="array" aca="1" ref="BU9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6" s="35" t="e" cm="1">
        <f t="array" aca="1" ref="BV9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6" t="e" cm="1">
        <f t="array" aca="1" ref="BW9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6" s="35" t="e" cm="1">
        <f t="array" aca="1" ref="BX9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6" s="35" t="e" cm="1">
        <f t="array" aca="1" ref="BY9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6" t="e" cm="1">
        <f t="array" aca="1" ref="BZ9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6" s="35" t="e" cm="1">
        <f t="array" aca="1" ref="CA9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6" s="35" t="e" cm="1">
        <f t="array" aca="1" ref="CB9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6" t="e" cm="1">
        <f t="array" aca="1" ref="CC9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6" s="35" t="e" cm="1">
        <f t="array" aca="1" ref="CD9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6" s="35" t="e" cm="1">
        <f t="array" aca="1" ref="CE9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6" t="e" cm="1">
        <f t="array" aca="1" ref="CF9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6" s="166" cm="1">
        <f t="array" aca="1" ref="CG96"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6" s="375" cm="1">
        <f t="array" aca="1" ref="CH9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6" s="247" cm="1">
        <f t="array" aca="1" ref="CI96" ca="1">(SUMPRODUCT(Delay_emissions_table[Consumption of Diesel (kg) - Secondary Scenario],IF(Delay_emissions_table[Form of Maintenance - Secondary Scenario]="Life Extension",1,0))*INDEX(Indicators,MATCH('Additional Impact Indicators'!$A96,Materials!$D:$D,0),MATCH("diesel combustion",Materials!$1:$1,0))+SUMPRODUCT(Delay_emissions_table[Consumption of Petrol (kg) - Secondary Scenario],IF(Delay_emissions_table[Form of Maintenance - Secondary Scenario]="Life Extension",1,0))*INDEX(Indicators,MATCH('Additional Impact Indicators'!$A96,Materials!$D:$D,0),MATCH("petrol combustion",Materials!$1:$1,0))+IFERROR(SUMPRODUCT(TRANSPOSE(INDEX(elec_project_emissions,MATCH(Elec_scenario&amp;'Additional Impact Indicators'!$B96,INDEX(Electricity_projection,0,3),0)-1,0)),Delay_emissions_table[Consumption of electricity (MJ) - Secondary Scenario],IF(Delay_emissions_table[Form of Maintenance - Secondary Scenario]="Life Extension",1,0)),0))*Area_trans*time_adj_Sec</f>
        <v>0</v>
      </c>
      <c r="CJ96" s="247" cm="1">
        <f t="array" aca="1" ref="CJ96" ca="1">(SUMPRODUCT(Delay_emissions_table[Consumption of Diesel (kg) - Secondary Scenario],IF(Delay_emissions_table[Form of Maintenance - Secondary Scenario]="Replacement",1,0))*INDEX(Indicators,MATCH('Additional Impact Indicators'!$A96,Materials!$D:$D,0),MATCH("diesel combustion",Materials!$1:$1,0))+SUMPRODUCT(Delay_emissions_table[Consumption of Petrol (kg) - Secondary Scenario],IF(Delay_emissions_table[Form of Maintenance - Secondary Scenario]="Replacement",1,0))*INDEX(Indicators,MATCH('Additional Impact Indicators'!$A96,Materials!$D:$D,0),MATCH("petrol combustion",Materials!$1:$1,0))+IFERROR(SUMPRODUCT(TRANSPOSE(INDEX(elec_project_emissions,MATCH(Elec_scenario&amp;'Additional Impact Indicators'!$B96,INDEX(Electricity_projection,0,3),0)-1,0)),Delay_emissions_table[Consumption of electricity (MJ) - Secondary Scenario],IF(Delay_emissions_table[Form of Maintenance - Secondary Scenario]="Replacement",1,0)),0))*Area_trans*time_adj_Sec</f>
        <v>0</v>
      </c>
      <c r="CK96" s="248" t="e" cm="1">
        <f t="array" ref="CK9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6" s="248" t="e" cm="1">
        <f t="array" ref="CL9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6" s="249" t="e" cm="1">
        <f t="array" ref="CM9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6" s="387" t="e" cm="1">
        <f t="array" ref="CN9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6" s="51" t="e">
        <f ca="1">SUMIF(Table3[[#This Row],[Raw-Materials]:[Transport to recycling facility]],"&lt;&gt;#N/A")</f>
        <v>#DIV/0!</v>
      </c>
      <c r="CT96" t="s">
        <v>592</v>
      </c>
      <c r="CU96" t="s">
        <v>501</v>
      </c>
      <c r="CV96" t="str">
        <f t="shared" si="6"/>
        <v>A2</v>
      </c>
      <c r="CW96" t="s">
        <v>54</v>
      </c>
      <c r="CY96">
        <f>MATCH(Table611[[#This Row],[Indicator]],Material_Impacts[Look up],0)</f>
        <v>36</v>
      </c>
      <c r="CZ96" s="246" cm="1">
        <f t="array" aca="1" ref="CZ9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6" s="166" cm="1">
        <f t="array" ref="DA9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6" s="166" t="e">
        <f>Diesel_RawM_Tert*INDEX(Indicators,MATCH(Impacts_Additional[[#This Row],[Indicator]],Materials!$D:$D,0),MATCH("Diesel Combustion",Materials!$1:$1,0))*Diesel_density*Project_Area*Tert_Lays*Area_trans</f>
        <v>#DIV/0!</v>
      </c>
      <c r="DC96" s="35" t="e" cm="1">
        <f t="array" aca="1" ref="DC9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6" s="35" t="e" cm="1">
        <f t="array" aca="1" ref="DD9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6" t="e" cm="1">
        <f t="array" aca="1" ref="DE9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6" s="35" t="e" cm="1">
        <f t="array" aca="1" ref="DF9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6" s="35" t="e" cm="1">
        <f t="array" aca="1" ref="DG9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6" t="e" cm="1">
        <f t="array" aca="1" ref="DH9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6" s="35" t="e" cm="1">
        <f t="array" aca="1" ref="DI9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6" s="35" t="e" cm="1">
        <f t="array" aca="1" ref="DJ9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6" t="e" cm="1">
        <f t="array" aca="1" ref="DK9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6" s="35" t="e" cm="1">
        <f t="array" aca="1" ref="DL9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6" s="35" t="e" cm="1">
        <f t="array" aca="1" ref="DM9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6" t="e" cm="1">
        <f t="array" aca="1" ref="DN9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6" s="35" t="e" cm="1">
        <f t="array" aca="1" ref="DO9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6" s="35" t="e" cm="1">
        <f t="array" aca="1" ref="DP9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6" t="e" cm="1">
        <f t="array" aca="1" ref="DQ9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6" s="35" t="e" cm="1">
        <f t="array" aca="1" ref="DR9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6" s="35" t="e" cm="1">
        <f t="array" aca="1" ref="DS9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6" t="e" cm="1">
        <f t="array" aca="1" ref="DT9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6" s="35" t="e" cm="1">
        <f t="array" aca="1" ref="DU9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6" s="35" t="e" cm="1">
        <f t="array" aca="1" ref="DV9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6" t="e" cm="1">
        <f t="array" aca="1" ref="DW9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6" s="35" t="e" cm="1">
        <f t="array" aca="1" ref="DX9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6" s="35" t="e" cm="1">
        <f t="array" aca="1" ref="DY9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6" t="e" cm="1">
        <f t="array" aca="1" ref="DZ9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6" s="35" t="e" cm="1">
        <f t="array" aca="1" ref="EA9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6" s="35" t="e" cm="1">
        <f t="array" aca="1" ref="EB9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6" t="e" cm="1">
        <f t="array" aca="1" ref="EC9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6" s="166" cm="1">
        <f t="array" aca="1" ref="ED96"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6" s="375" cm="1">
        <f t="array" aca="1" ref="EE9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6" s="247" cm="1">
        <f t="array" aca="1" ref="EF96" ca="1">(SUMPRODUCT(Delay_emissions_table[Consumption of Diesel (kg) - Tertiary Scenario],IF(Delay_emissions_table[Form of Maintenance - Tertiary Scenario]="Life Extension",1,0))*INDEX(Indicators,MATCH('Additional Impact Indicators'!$A96,Materials!$D:$D,0),MATCH("diesel combustion",Materials!$1:$1,0))+SUMPRODUCT(Delay_emissions_table[Consumption of Petrol (kg) - Tertiary Scenario],IF(Delay_emissions_table[Form of Maintenance - Tertiary Scenario]="Life Extension",1,0))*INDEX(Indicators,MATCH('Additional Impact Indicators'!$A96,Materials!$D:$D,0),MATCH("petrol combustion",Materials!$1:$1,0))+IFERROR(SUMPRODUCT(TRANSPOSE(INDEX(elec_project_emissions,MATCH(Elec_scenario&amp;'Additional Impact Indicators'!$B96,INDEX(Electricity_projection,0,3),0)-1,0)),Delay_emissions_table[Consumption of electricity (MJ) - Tertiary Scenario],IF(Delay_emissions_table[Form of Maintenance - Tertiary Scenario]="Life Extension",1,0)),0))*Area_trans*Time_adj_Tert</f>
        <v>0</v>
      </c>
      <c r="EG96" s="247" cm="1">
        <f t="array" aca="1" ref="EG96" ca="1">(SUMPRODUCT(Delay_emissions_table[Consumption of Diesel (kg) - Tertiary Scenario],IF(Delay_emissions_table[Form of Maintenance - Tertiary Scenario]="Replacement",1,0))*INDEX(Indicators,MATCH('Additional Impact Indicators'!$A96,Materials!$D:$D,0),MATCH("diesel combustion",Materials!$1:$1,0))+SUMPRODUCT(Delay_emissions_table[Consumption of Petrol (kg) - Tertiary Scenario],IF(Delay_emissions_table[Form of Maintenance - Tertiary Scenario]="Replacement",1,0))*INDEX(Indicators,MATCH('Additional Impact Indicators'!$A96,Materials!$D:$D,0),MATCH("petrol combustion",Materials!$1:$1,0))+IFERROR(SUMPRODUCT(TRANSPOSE(INDEX(elec_project_emissions,MATCH(Elec_scenario&amp;'Additional Impact Indicators'!$B96,INDEX(Electricity_projection,0,3),0)-1,0)),Delay_emissions_table[Consumption of electricity (MJ) - Tertiary Scenario],IF(Delay_emissions_table[Form of Maintenance - Tertiary Scenario]="Replacement",1,0)),0))*Area_trans*Time_adj_Tert</f>
        <v>0</v>
      </c>
      <c r="EH96" s="248" t="e" cm="1">
        <f t="array" ref="EH9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6" s="248" t="e" cm="1">
        <f t="array" ref="EI9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6" s="249" t="e" cm="1">
        <f t="array" ref="EJ9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6" s="249" t="e" cm="1">
        <f t="array" ref="EK9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6" t="e">
        <f ca="1">SUMIF(Table611[[#This Row],[Raw-Materials]:[Transport to recycling facility]],"&lt;&gt;#N/A")</f>
        <v>#DIV/0!</v>
      </c>
    </row>
    <row r="97" spans="1:142" x14ac:dyDescent="0.35">
      <c r="A97" s="155" t="s">
        <v>593</v>
      </c>
      <c r="B97" s="155" t="s">
        <v>503</v>
      </c>
      <c r="C97" s="155" t="str">
        <f t="shared" si="5"/>
        <v>A2</v>
      </c>
      <c r="D97" s="155" t="s">
        <v>54</v>
      </c>
      <c r="E97" s="155"/>
      <c r="F97">
        <f>MATCH(Impacts_Additional[[#This Row],[Indicator]],Material_Impacts[Look up],0)</f>
        <v>37</v>
      </c>
      <c r="G97" s="246" cm="1">
        <f t="array" aca="1" ref="G9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7" s="165" cm="1">
        <f t="array" ref="H9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7" s="165" t="e">
        <f>Diesel_RawM_Prim*INDEX(Indicators,MATCH(Impacts_Additional[[#This Row],[Indicator]],Materials!$D:$D,0),MATCH("Diesel Combustion",Materials!$1:$1,0))*Diesel_density*Project_Area*Prim_Lays*Area_trans</f>
        <v>#DIV/0!</v>
      </c>
      <c r="J97" s="250" t="e" cm="1">
        <f t="array" aca="1" ref="J9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7" s="250" t="e" cm="1">
        <f t="array" aca="1" ref="K9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7" s="250" t="e" cm="1">
        <f t="array" aca="1" ref="L9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7" s="250" t="e" cm="1">
        <f t="array" aca="1" ref="M9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7" s="250" t="e" cm="1">
        <f t="array" aca="1" ref="N9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7" s="250" t="e" cm="1">
        <f t="array" aca="1" ref="O9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7" s="250" t="e" cm="1">
        <f t="array" aca="1" ref="P9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7" s="250" t="e" cm="1">
        <f t="array" aca="1" ref="Q9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7" s="250" t="e" cm="1">
        <f t="array" aca="1" ref="R9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7" s="250" t="e" cm="1">
        <f t="array" aca="1" ref="S9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7" s="250" t="e" cm="1">
        <f t="array" aca="1" ref="T9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7" s="250" t="e" cm="1">
        <f t="array" aca="1" ref="U9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7" s="250" t="e" cm="1">
        <f t="array" aca="1" ref="V9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7" s="250" t="e" cm="1">
        <f t="array" aca="1" ref="W9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7" s="250" t="e" cm="1">
        <f t="array" aca="1" ref="X9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7" s="250" t="e" cm="1">
        <f t="array" aca="1" ref="Y9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7" s="250" t="e" cm="1">
        <f t="array" aca="1" ref="Z9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7" s="250" t="e" cm="1">
        <f t="array" aca="1" ref="AA9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7" s="250" t="e" cm="1">
        <f t="array" aca="1" ref="AB9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7" s="250" t="e" cm="1">
        <f t="array" aca="1" ref="AC9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7" s="250" t="e" cm="1">
        <f t="array" aca="1" ref="AD9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7" s="250" t="e" cm="1">
        <f t="array" aca="1" ref="AE9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7" s="250" t="e" cm="1">
        <f t="array" aca="1" ref="AF9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7" s="250" t="e" cm="1">
        <f t="array" aca="1" ref="AG9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7" s="250" t="e" cm="1">
        <f t="array" aca="1" ref="AH9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7" s="250" t="e" cm="1">
        <f t="array" aca="1" ref="AI9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7" s="250" t="e" cm="1">
        <f t="array" aca="1" ref="AJ9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7" s="165" cm="1">
        <f t="array" aca="1" ref="AK97"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7" s="254" cm="1">
        <f t="array" aca="1" ref="AL9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7" s="251" cm="1">
        <f t="array" aca="1" ref="AM97" ca="1">(SUMPRODUCT(Delay_emissions_table[Consumption of Diesel (kg) - Primary Scenario],IF(Delay_emissions_table[Form of Maintenance - Primary Scenario]="Life Extension",1,0))*INDEX(Indicators,MATCH('Additional Impact Indicators'!$A97,Materials!$D:$D,0),MATCH("diesel combustion",Materials!$1:$1,0))+SUMPRODUCT(Delay_emissions_table[Consumption of Petrol (kg) - Primary Scenario],IF(Delay_emissions_table[Form of Maintenance - Primary Scenario]="Life Extension",1,0))*INDEX(Indicators,MATCH('Additional Impact Indicators'!$A97,Materials!$D:$D,0),MATCH("petrol combustion",Materials!$1:$1,0))+IFERROR(SUMPRODUCT(TRANSPOSE(INDEX(elec_project_emissions,MATCH(Elec_scenario&amp;'Additional Impact Indicators'!$B97,INDEX(Electricity_projection,0,3),0)-1,0)),Delay_emissions_table[Consumption of electricity (MJ) - Primary Scenario],IF(Delay_emissions_table[Form of Maintenance - Primary Scenario]="Life Extension",1,0)),0))*Area_trans*Time_adj_Prim</f>
        <v>0</v>
      </c>
      <c r="AN97" s="251" cm="1">
        <f t="array" aca="1" ref="AN97" ca="1">(SUMPRODUCT(Delay_emissions_table[Consumption of Diesel (kg) - Primary Scenario],IF(Delay_emissions_table[Form of Maintenance - Primary Scenario]="Replacement",1,0))*INDEX(Indicators,MATCH('Additional Impact Indicators'!$A97,Materials!$D:$D,0),MATCH("diesel combustion",Materials!$1:$1,0))+SUMPRODUCT(Delay_emissions_table[Consumption of Petrol (kg) - Primary Scenario],IF(Delay_emissions_table[Form of Maintenance - Primary Scenario]="Replacement",1,0))*INDEX(Indicators,MATCH('Additional Impact Indicators'!$A97,Materials!$D:$D,0),MATCH("petrol combustion",Materials!$1:$1,0))+IFERROR(SUMPRODUCT(TRANSPOSE(INDEX(elec_project_emissions,MATCH(Elec_scenario&amp;'Additional Impact Indicators'!$B97,INDEX(Electricity_projection,0,3),0)-1,0)),Delay_emissions_table[Consumption of electricity (MJ) - Primary Scenario],IF(Delay_emissions_table[Form of Maintenance - Primary Scenario]="Replacement",1,0)),0))*Area_trans*Time_adj_Prim</f>
        <v>0</v>
      </c>
      <c r="AO97" s="252" t="e" cm="1">
        <f t="array" ref="AO9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7" s="252" t="e" cm="1">
        <f t="array" ref="AP9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7" s="253" t="e" cm="1">
        <f t="array" ref="AQ9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7" s="385" t="e" cm="1">
        <f t="array" ref="AR9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7" t="e">
        <f ca="1">SUMIF('Additional Impact Indicators'!$G97:$AQ97,"&lt;&gt;#N/A")</f>
        <v>#DIV/0!</v>
      </c>
      <c r="AW97" s="155" t="s">
        <v>593</v>
      </c>
      <c r="AX97" s="155" t="s">
        <v>503</v>
      </c>
      <c r="AY97" t="str">
        <f t="shared" si="7"/>
        <v>A2</v>
      </c>
      <c r="AZ97" s="155" t="s">
        <v>54</v>
      </c>
      <c r="BB97">
        <f>MATCH(Table3[[#This Row],[Indicator]],Material_Impacts[Look up],0)</f>
        <v>37</v>
      </c>
      <c r="BC97" s="246" cm="1">
        <f t="array" aca="1" ref="BC9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7" s="165" cm="1">
        <f t="array" ref="BD9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7" s="165" t="e">
        <f>Diesel_RawM_Sec*INDEX(Indicators,MATCH(Impacts_Additional[[#This Row],[Indicator]],Materials!$D:$D,0),MATCH("Diesel Combustion",Materials!$1:$1,0))*Diesel_density*Project_Area*Sec_Lays*Area_trans</f>
        <v>#DIV/0!</v>
      </c>
      <c r="BF97" s="35" t="e" cm="1">
        <f t="array" aca="1" ref="BF9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7" s="35" t="e" cm="1">
        <f t="array" aca="1" ref="BG9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7" t="e" cm="1">
        <f t="array" aca="1" ref="BH9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7" s="35" t="e" cm="1">
        <f t="array" aca="1" ref="BI9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7" s="35" t="e" cm="1">
        <f t="array" aca="1" ref="BJ9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7" t="e" cm="1">
        <f t="array" aca="1" ref="BK9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7" s="35" t="e" cm="1">
        <f t="array" aca="1" ref="BL9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7" s="35" t="e" cm="1">
        <f t="array" aca="1" ref="BM9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7" t="e" cm="1">
        <f t="array" aca="1" ref="BN9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7" s="35" t="e" cm="1">
        <f t="array" aca="1" ref="BO9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7" s="35" t="e" cm="1">
        <f t="array" aca="1" ref="BP9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7" t="e" cm="1">
        <f t="array" aca="1" ref="BQ9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7" s="35" t="e" cm="1">
        <f t="array" aca="1" ref="BR9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7" s="35" t="e" cm="1">
        <f t="array" aca="1" ref="BS9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7" t="e" cm="1">
        <f t="array" aca="1" ref="BT9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7" s="35" t="e" cm="1">
        <f t="array" aca="1" ref="BU9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7" s="35" t="e" cm="1">
        <f t="array" aca="1" ref="BV9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7" t="e" cm="1">
        <f t="array" aca="1" ref="BW9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7" s="35" t="e" cm="1">
        <f t="array" aca="1" ref="BX9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7" s="35" t="e" cm="1">
        <f t="array" aca="1" ref="BY9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7" t="e" cm="1">
        <f t="array" aca="1" ref="BZ9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7" s="35" t="e" cm="1">
        <f t="array" aca="1" ref="CA9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7" s="35" t="e" cm="1">
        <f t="array" aca="1" ref="CB9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7" t="e" cm="1">
        <f t="array" aca="1" ref="CC9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7" s="35" t="e" cm="1">
        <f t="array" aca="1" ref="CD9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7" s="35" t="e" cm="1">
        <f t="array" aca="1" ref="CE9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7" t="e" cm="1">
        <f t="array" aca="1" ref="CF9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7" s="165" cm="1">
        <f t="array" aca="1" ref="CG97"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7" s="375" cm="1">
        <f t="array" aca="1" ref="CH9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7" s="251" cm="1">
        <f t="array" aca="1" ref="CI97" ca="1">(SUMPRODUCT(Delay_emissions_table[Consumption of Diesel (kg) - Secondary Scenario],IF(Delay_emissions_table[Form of Maintenance - Secondary Scenario]="Life Extension",1,0))*INDEX(Indicators,MATCH('Additional Impact Indicators'!$A97,Materials!$D:$D,0),MATCH("diesel combustion",Materials!$1:$1,0))+SUMPRODUCT(Delay_emissions_table[Consumption of Petrol (kg) - Secondary Scenario],IF(Delay_emissions_table[Form of Maintenance - Secondary Scenario]="Life Extension",1,0))*INDEX(Indicators,MATCH('Additional Impact Indicators'!$A97,Materials!$D:$D,0),MATCH("petrol combustion",Materials!$1:$1,0))+IFERROR(SUMPRODUCT(TRANSPOSE(INDEX(elec_project_emissions,MATCH(Elec_scenario&amp;'Additional Impact Indicators'!$B97,INDEX(Electricity_projection,0,3),0)-1,0)),Delay_emissions_table[Consumption of electricity (MJ) - Secondary Scenario],IF(Delay_emissions_table[Form of Maintenance - Secondary Scenario]="Life Extension",1,0)),0))*Area_trans*time_adj_Sec</f>
        <v>0</v>
      </c>
      <c r="CJ97" s="251" cm="1">
        <f t="array" aca="1" ref="CJ97" ca="1">(SUMPRODUCT(Delay_emissions_table[Consumption of Diesel (kg) - Secondary Scenario],IF(Delay_emissions_table[Form of Maintenance - Secondary Scenario]="Replacement",1,0))*INDEX(Indicators,MATCH('Additional Impact Indicators'!$A97,Materials!$D:$D,0),MATCH("diesel combustion",Materials!$1:$1,0))+SUMPRODUCT(Delay_emissions_table[Consumption of Petrol (kg) - Secondary Scenario],IF(Delay_emissions_table[Form of Maintenance - Secondary Scenario]="Replacement",1,0))*INDEX(Indicators,MATCH('Additional Impact Indicators'!$A97,Materials!$D:$D,0),MATCH("petrol combustion",Materials!$1:$1,0))+IFERROR(SUMPRODUCT(TRANSPOSE(INDEX(elec_project_emissions,MATCH(Elec_scenario&amp;'Additional Impact Indicators'!$B97,INDEX(Electricity_projection,0,3),0)-1,0)),Delay_emissions_table[Consumption of electricity (MJ) - Secondary Scenario],IF(Delay_emissions_table[Form of Maintenance - Secondary Scenario]="Replacement",1,0)),0))*Area_trans*time_adj_Sec</f>
        <v>0</v>
      </c>
      <c r="CK97" s="252" t="e" cm="1">
        <f t="array" ref="CK9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7" s="252" t="e" cm="1">
        <f t="array" ref="CL9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7" s="253" t="e" cm="1">
        <f t="array" ref="CM9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7" s="387" t="e" cm="1">
        <f t="array" ref="CN9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7" s="51" t="e">
        <f ca="1">SUMIF(Table3[[#This Row],[Raw-Materials]:[Transport to recycling facility]],"&lt;&gt;#N/A")</f>
        <v>#DIV/0!</v>
      </c>
      <c r="CT97" t="s">
        <v>593</v>
      </c>
      <c r="CU97" t="s">
        <v>503</v>
      </c>
      <c r="CV97" t="str">
        <f t="shared" si="6"/>
        <v>A2</v>
      </c>
      <c r="CW97" t="s">
        <v>54</v>
      </c>
      <c r="CY97">
        <f>MATCH(Table611[[#This Row],[Indicator]],Material_Impacts[Look up],0)</f>
        <v>37</v>
      </c>
      <c r="CZ97" s="246" cm="1">
        <f t="array" aca="1" ref="CZ9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7" s="165" cm="1">
        <f t="array" ref="DA9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7" s="165" t="e">
        <f>Diesel_RawM_Tert*INDEX(Indicators,MATCH(Impacts_Additional[[#This Row],[Indicator]],Materials!$D:$D,0),MATCH("Diesel Combustion",Materials!$1:$1,0))*Diesel_density*Project_Area*Tert_Lays*Area_trans</f>
        <v>#DIV/0!</v>
      </c>
      <c r="DC97" s="35" t="e" cm="1">
        <f t="array" aca="1" ref="DC9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7" s="35" t="e" cm="1">
        <f t="array" aca="1" ref="DD9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7" t="e" cm="1">
        <f t="array" aca="1" ref="DE9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7" s="35" t="e" cm="1">
        <f t="array" aca="1" ref="DF9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7" s="35" t="e" cm="1">
        <f t="array" aca="1" ref="DG9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7" t="e" cm="1">
        <f t="array" aca="1" ref="DH9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7" s="35" t="e" cm="1">
        <f t="array" aca="1" ref="DI9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7" s="35" t="e" cm="1">
        <f t="array" aca="1" ref="DJ9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7" t="e" cm="1">
        <f t="array" aca="1" ref="DK9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7" s="35" t="e" cm="1">
        <f t="array" aca="1" ref="DL9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7" s="35" t="e" cm="1">
        <f t="array" aca="1" ref="DM9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7" t="e" cm="1">
        <f t="array" aca="1" ref="DN9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7" s="35" t="e" cm="1">
        <f t="array" aca="1" ref="DO9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7" s="35" t="e" cm="1">
        <f t="array" aca="1" ref="DP9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7" t="e" cm="1">
        <f t="array" aca="1" ref="DQ9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7" s="35" t="e" cm="1">
        <f t="array" aca="1" ref="DR9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7" s="35" t="e" cm="1">
        <f t="array" aca="1" ref="DS9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7" t="e" cm="1">
        <f t="array" aca="1" ref="DT9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7" s="35" t="e" cm="1">
        <f t="array" aca="1" ref="DU9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7" s="35" t="e" cm="1">
        <f t="array" aca="1" ref="DV9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7" t="e" cm="1">
        <f t="array" aca="1" ref="DW9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7" s="35" t="e" cm="1">
        <f t="array" aca="1" ref="DX9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7" s="35" t="e" cm="1">
        <f t="array" aca="1" ref="DY9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7" t="e" cm="1">
        <f t="array" aca="1" ref="DZ9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7" s="35" t="e" cm="1">
        <f t="array" aca="1" ref="EA9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7" s="35" t="e" cm="1">
        <f t="array" aca="1" ref="EB9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7" t="e" cm="1">
        <f t="array" aca="1" ref="EC9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7" s="165" cm="1">
        <f t="array" aca="1" ref="ED97"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7" s="375" cm="1">
        <f t="array" aca="1" ref="EE9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7" s="251" cm="1">
        <f t="array" aca="1" ref="EF97" ca="1">(SUMPRODUCT(Delay_emissions_table[Consumption of Diesel (kg) - Tertiary Scenario],IF(Delay_emissions_table[Form of Maintenance - Tertiary Scenario]="Life Extension",1,0))*INDEX(Indicators,MATCH('Additional Impact Indicators'!$A97,Materials!$D:$D,0),MATCH("diesel combustion",Materials!$1:$1,0))+SUMPRODUCT(Delay_emissions_table[Consumption of Petrol (kg) - Tertiary Scenario],IF(Delay_emissions_table[Form of Maintenance - Tertiary Scenario]="Life Extension",1,0))*INDEX(Indicators,MATCH('Additional Impact Indicators'!$A97,Materials!$D:$D,0),MATCH("petrol combustion",Materials!$1:$1,0))+IFERROR(SUMPRODUCT(TRANSPOSE(INDEX(elec_project_emissions,MATCH(Elec_scenario&amp;'Additional Impact Indicators'!$B97,INDEX(Electricity_projection,0,3),0)-1,0)),Delay_emissions_table[Consumption of electricity (MJ) - Tertiary Scenario],IF(Delay_emissions_table[Form of Maintenance - Tertiary Scenario]="Life Extension",1,0)),0))*Area_trans*Time_adj_Tert</f>
        <v>0</v>
      </c>
      <c r="EG97" s="251" cm="1">
        <f t="array" aca="1" ref="EG97" ca="1">(SUMPRODUCT(Delay_emissions_table[Consumption of Diesel (kg) - Tertiary Scenario],IF(Delay_emissions_table[Form of Maintenance - Tertiary Scenario]="Replacement",1,0))*INDEX(Indicators,MATCH('Additional Impact Indicators'!$A97,Materials!$D:$D,0),MATCH("diesel combustion",Materials!$1:$1,0))+SUMPRODUCT(Delay_emissions_table[Consumption of Petrol (kg) - Tertiary Scenario],IF(Delay_emissions_table[Form of Maintenance - Tertiary Scenario]="Replacement",1,0))*INDEX(Indicators,MATCH('Additional Impact Indicators'!$A97,Materials!$D:$D,0),MATCH("petrol combustion",Materials!$1:$1,0))+IFERROR(SUMPRODUCT(TRANSPOSE(INDEX(elec_project_emissions,MATCH(Elec_scenario&amp;'Additional Impact Indicators'!$B97,INDEX(Electricity_projection,0,3),0)-1,0)),Delay_emissions_table[Consumption of electricity (MJ) - Tertiary Scenario],IF(Delay_emissions_table[Form of Maintenance - Tertiary Scenario]="Replacement",1,0)),0))*Area_trans*Time_adj_Tert</f>
        <v>0</v>
      </c>
      <c r="EH97" s="252" t="e" cm="1">
        <f t="array" ref="EH9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7" s="252" t="e" cm="1">
        <f t="array" ref="EI9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7" s="253" t="e" cm="1">
        <f t="array" ref="EJ9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7" s="253" t="e" cm="1">
        <f t="array" ref="EK9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7" t="e">
        <f ca="1">SUMIF(Table611[[#This Row],[Raw-Materials]:[Transport to recycling facility]],"&lt;&gt;#N/A")</f>
        <v>#DIV/0!</v>
      </c>
    </row>
    <row r="98" spans="1:142" x14ac:dyDescent="0.35">
      <c r="A98" t="s">
        <v>594</v>
      </c>
      <c r="B98" t="s">
        <v>409</v>
      </c>
      <c r="C98" t="str">
        <f t="shared" si="5"/>
        <v>A2</v>
      </c>
      <c r="D98" t="s">
        <v>54</v>
      </c>
      <c r="F98">
        <f>MATCH(Impacts_Additional[[#This Row],[Indicator]],Material_Impacts[Look up],0)</f>
        <v>38</v>
      </c>
      <c r="G98" s="246" cm="1">
        <f t="array" aca="1" ref="G9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8" s="166" cm="1">
        <f t="array" ref="H9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8" s="166" t="e">
        <f>Diesel_RawM_Prim*INDEX(Indicators,MATCH(Impacts_Additional[[#This Row],[Indicator]],Materials!$D:$D,0),MATCH("Diesel Combustion",Materials!$1:$1,0))*Diesel_density*Project_Area*Prim_Lays*Area_trans</f>
        <v>#DIV/0!</v>
      </c>
      <c r="J98" s="20" t="e" cm="1">
        <f t="array" aca="1" ref="J9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8" s="20" t="e" cm="1">
        <f t="array" aca="1" ref="K9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8" s="20" t="e" cm="1">
        <f t="array" aca="1" ref="L9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8" s="20" t="e" cm="1">
        <f t="array" aca="1" ref="M9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8" s="20" t="e" cm="1">
        <f t="array" aca="1" ref="N9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8" s="20" t="e" cm="1">
        <f t="array" aca="1" ref="O9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8" s="20" t="e" cm="1">
        <f t="array" aca="1" ref="P9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8" s="20" t="e" cm="1">
        <f t="array" aca="1" ref="Q9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8" s="20" t="e" cm="1">
        <f t="array" aca="1" ref="R9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8" s="20" t="e" cm="1">
        <f t="array" aca="1" ref="S9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8" s="20" t="e" cm="1">
        <f t="array" aca="1" ref="T9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8" s="20" t="e" cm="1">
        <f t="array" aca="1" ref="U9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8" s="20" t="e" cm="1">
        <f t="array" aca="1" ref="V9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8" s="20" t="e" cm="1">
        <f t="array" aca="1" ref="W9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8" s="20" t="e" cm="1">
        <f t="array" aca="1" ref="X9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8" s="20" t="e" cm="1">
        <f t="array" aca="1" ref="Y9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8" s="20" t="e" cm="1">
        <f t="array" aca="1" ref="Z9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8" s="20" t="e" cm="1">
        <f t="array" aca="1" ref="AA9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8" s="20" t="e" cm="1">
        <f t="array" aca="1" ref="AB9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8" s="20" t="e" cm="1">
        <f t="array" aca="1" ref="AC9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8" s="20" t="e" cm="1">
        <f t="array" aca="1" ref="AD9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8" s="20" t="e" cm="1">
        <f t="array" aca="1" ref="AE9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8" s="20" t="e" cm="1">
        <f t="array" aca="1" ref="AF9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8" s="20" t="e" cm="1">
        <f t="array" aca="1" ref="AG9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8" s="20" t="e" cm="1">
        <f t="array" aca="1" ref="AH9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8" s="20" t="e" cm="1">
        <f t="array" aca="1" ref="AI9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8" s="20" t="e" cm="1">
        <f t="array" aca="1" ref="AJ9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8" s="166" cm="1">
        <f t="array" aca="1" ref="AK98"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8" s="1" cm="1">
        <f t="array" aca="1" ref="AL9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8" s="247" cm="1">
        <f t="array" aca="1" ref="AM98" ca="1">(SUMPRODUCT(Delay_emissions_table[Consumption of Diesel (kg) - Primary Scenario],IF(Delay_emissions_table[Form of Maintenance - Primary Scenario]="Life Extension",1,0))*INDEX(Indicators,MATCH('Additional Impact Indicators'!$A98,Materials!$D:$D,0),MATCH("diesel combustion",Materials!$1:$1,0))+SUMPRODUCT(Delay_emissions_table[Consumption of Petrol (kg) - Primary Scenario],IF(Delay_emissions_table[Form of Maintenance - Primary Scenario]="Life Extension",1,0))*INDEX(Indicators,MATCH('Additional Impact Indicators'!$A98,Materials!$D:$D,0),MATCH("petrol combustion",Materials!$1:$1,0))+IFERROR(SUMPRODUCT(TRANSPOSE(INDEX(elec_project_emissions,MATCH(Elec_scenario&amp;'Additional Impact Indicators'!$B98,INDEX(Electricity_projection,0,3),0)-1,0)),Delay_emissions_table[Consumption of electricity (MJ) - Primary Scenario],IF(Delay_emissions_table[Form of Maintenance - Primary Scenario]="Life Extension",1,0)),0))*Area_trans*Time_adj_Prim</f>
        <v>0</v>
      </c>
      <c r="AN98" s="247" cm="1">
        <f t="array" aca="1" ref="AN98" ca="1">(SUMPRODUCT(Delay_emissions_table[Consumption of Diesel (kg) - Primary Scenario],IF(Delay_emissions_table[Form of Maintenance - Primary Scenario]="Replacement",1,0))*INDEX(Indicators,MATCH('Additional Impact Indicators'!$A98,Materials!$D:$D,0),MATCH("diesel combustion",Materials!$1:$1,0))+SUMPRODUCT(Delay_emissions_table[Consumption of Petrol (kg) - Primary Scenario],IF(Delay_emissions_table[Form of Maintenance - Primary Scenario]="Replacement",1,0))*INDEX(Indicators,MATCH('Additional Impact Indicators'!$A98,Materials!$D:$D,0),MATCH("petrol combustion",Materials!$1:$1,0))+IFERROR(SUMPRODUCT(TRANSPOSE(INDEX(elec_project_emissions,MATCH(Elec_scenario&amp;'Additional Impact Indicators'!$B98,INDEX(Electricity_projection,0,3),0)-1,0)),Delay_emissions_table[Consumption of electricity (MJ) - Primary Scenario],IF(Delay_emissions_table[Form of Maintenance - Primary Scenario]="Replacement",1,0)),0))*Area_trans*Time_adj_Prim</f>
        <v>0</v>
      </c>
      <c r="AO98" s="248" t="e" cm="1">
        <f t="array" ref="AO9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8" s="248" t="e" cm="1">
        <f t="array" ref="AP9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8" s="249" t="e" cm="1">
        <f t="array" ref="AQ9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8" s="386" t="e" cm="1">
        <f t="array" ref="AR9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8" t="e">
        <f ca="1">SUMIF('Additional Impact Indicators'!$G98:$AQ98,"&lt;&gt;#N/A")</f>
        <v>#DIV/0!</v>
      </c>
      <c r="AW98" t="s">
        <v>594</v>
      </c>
      <c r="AX98" t="s">
        <v>409</v>
      </c>
      <c r="AY98" t="str">
        <f t="shared" si="7"/>
        <v>A2</v>
      </c>
      <c r="AZ98" t="s">
        <v>54</v>
      </c>
      <c r="BB98">
        <f>MATCH(Table3[[#This Row],[Indicator]],Material_Impacts[Look up],0)</f>
        <v>38</v>
      </c>
      <c r="BC98" s="246" cm="1">
        <f t="array" aca="1" ref="BC9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8" s="166" cm="1">
        <f t="array" ref="BD9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8" s="166" t="e">
        <f>Diesel_RawM_Sec*INDEX(Indicators,MATCH(Impacts_Additional[[#This Row],[Indicator]],Materials!$D:$D,0),MATCH("Diesel Combustion",Materials!$1:$1,0))*Diesel_density*Project_Area*Sec_Lays*Area_trans</f>
        <v>#DIV/0!</v>
      </c>
      <c r="BF98" s="35" t="e" cm="1">
        <f t="array" aca="1" ref="BF9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8" s="35" t="e" cm="1">
        <f t="array" aca="1" ref="BG9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8" t="e" cm="1">
        <f t="array" aca="1" ref="BH9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8" s="35" t="e" cm="1">
        <f t="array" aca="1" ref="BI9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8" s="35" t="e" cm="1">
        <f t="array" aca="1" ref="BJ9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8" t="e" cm="1">
        <f t="array" aca="1" ref="BK9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8" s="35" t="e" cm="1">
        <f t="array" aca="1" ref="BL9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8" s="35" t="e" cm="1">
        <f t="array" aca="1" ref="BM9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8" t="e" cm="1">
        <f t="array" aca="1" ref="BN9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8" s="35" t="e" cm="1">
        <f t="array" aca="1" ref="BO9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8" s="35" t="e" cm="1">
        <f t="array" aca="1" ref="BP9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8" t="e" cm="1">
        <f t="array" aca="1" ref="BQ9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8" s="35" t="e" cm="1">
        <f t="array" aca="1" ref="BR9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8" s="35" t="e" cm="1">
        <f t="array" aca="1" ref="BS9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8" t="e" cm="1">
        <f t="array" aca="1" ref="BT9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8" s="35" t="e" cm="1">
        <f t="array" aca="1" ref="BU9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8" s="35" t="e" cm="1">
        <f t="array" aca="1" ref="BV9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8" t="e" cm="1">
        <f t="array" aca="1" ref="BW9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8" s="35" t="e" cm="1">
        <f t="array" aca="1" ref="BX9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8" s="35" t="e" cm="1">
        <f t="array" aca="1" ref="BY9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8" t="e" cm="1">
        <f t="array" aca="1" ref="BZ9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8" s="35" t="e" cm="1">
        <f t="array" aca="1" ref="CA9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8" s="35" t="e" cm="1">
        <f t="array" aca="1" ref="CB9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8" t="e" cm="1">
        <f t="array" aca="1" ref="CC9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8" s="35" t="e" cm="1">
        <f t="array" aca="1" ref="CD9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8" s="35" t="e" cm="1">
        <f t="array" aca="1" ref="CE9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8" t="e" cm="1">
        <f t="array" aca="1" ref="CF9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8" s="166" cm="1">
        <f t="array" aca="1" ref="CG98"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8" s="375" cm="1">
        <f t="array" aca="1" ref="CH9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8" s="247" cm="1">
        <f t="array" aca="1" ref="CI98" ca="1">(SUMPRODUCT(Delay_emissions_table[Consumption of Diesel (kg) - Secondary Scenario],IF(Delay_emissions_table[Form of Maintenance - Secondary Scenario]="Life Extension",1,0))*INDEX(Indicators,MATCH('Additional Impact Indicators'!$A98,Materials!$D:$D,0),MATCH("diesel combustion",Materials!$1:$1,0))+SUMPRODUCT(Delay_emissions_table[Consumption of Petrol (kg) - Secondary Scenario],IF(Delay_emissions_table[Form of Maintenance - Secondary Scenario]="Life Extension",1,0))*INDEX(Indicators,MATCH('Additional Impact Indicators'!$A98,Materials!$D:$D,0),MATCH("petrol combustion",Materials!$1:$1,0))+IFERROR(SUMPRODUCT(TRANSPOSE(INDEX(elec_project_emissions,MATCH(Elec_scenario&amp;'Additional Impact Indicators'!$B98,INDEX(Electricity_projection,0,3),0)-1,0)),Delay_emissions_table[Consumption of electricity (MJ) - Secondary Scenario],IF(Delay_emissions_table[Form of Maintenance - Secondary Scenario]="Life Extension",1,0)),0))*Area_trans*time_adj_Sec</f>
        <v>0</v>
      </c>
      <c r="CJ98" s="247" cm="1">
        <f t="array" aca="1" ref="CJ98" ca="1">(SUMPRODUCT(Delay_emissions_table[Consumption of Diesel (kg) - Secondary Scenario],IF(Delay_emissions_table[Form of Maintenance - Secondary Scenario]="Replacement",1,0))*INDEX(Indicators,MATCH('Additional Impact Indicators'!$A98,Materials!$D:$D,0),MATCH("diesel combustion",Materials!$1:$1,0))+SUMPRODUCT(Delay_emissions_table[Consumption of Petrol (kg) - Secondary Scenario],IF(Delay_emissions_table[Form of Maintenance - Secondary Scenario]="Replacement",1,0))*INDEX(Indicators,MATCH('Additional Impact Indicators'!$A98,Materials!$D:$D,0),MATCH("petrol combustion",Materials!$1:$1,0))+IFERROR(SUMPRODUCT(TRANSPOSE(INDEX(elec_project_emissions,MATCH(Elec_scenario&amp;'Additional Impact Indicators'!$B98,INDEX(Electricity_projection,0,3),0)-1,0)),Delay_emissions_table[Consumption of electricity (MJ) - Secondary Scenario],IF(Delay_emissions_table[Form of Maintenance - Secondary Scenario]="Replacement",1,0)),0))*Area_trans*time_adj_Sec</f>
        <v>0</v>
      </c>
      <c r="CK98" s="248" t="e" cm="1">
        <f t="array" ref="CK9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8" s="248" t="e" cm="1">
        <f t="array" ref="CL9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8" s="249" t="e" cm="1">
        <f t="array" ref="CM9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8" s="387" t="e" cm="1">
        <f t="array" ref="CN9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8" s="51" t="e">
        <f ca="1">SUMIF(Table3[[#This Row],[Raw-Materials]:[Transport to recycling facility]],"&lt;&gt;#N/A")</f>
        <v>#DIV/0!</v>
      </c>
      <c r="CT98" t="s">
        <v>594</v>
      </c>
      <c r="CU98" t="s">
        <v>409</v>
      </c>
      <c r="CV98" t="str">
        <f t="shared" si="6"/>
        <v>A2</v>
      </c>
      <c r="CW98" t="s">
        <v>54</v>
      </c>
      <c r="CY98">
        <f>MATCH(Table611[[#This Row],[Indicator]],Material_Impacts[Look up],0)</f>
        <v>38</v>
      </c>
      <c r="CZ98" s="246" cm="1">
        <f t="array" aca="1" ref="CZ9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8" s="166" cm="1">
        <f t="array" ref="DA9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8" s="166" t="e">
        <f>Diesel_RawM_Tert*INDEX(Indicators,MATCH(Impacts_Additional[[#This Row],[Indicator]],Materials!$D:$D,0),MATCH("Diesel Combustion",Materials!$1:$1,0))*Diesel_density*Project_Area*Tert_Lays*Area_trans</f>
        <v>#DIV/0!</v>
      </c>
      <c r="DC98" s="35" t="e" cm="1">
        <f t="array" aca="1" ref="DC9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8" s="35" t="e" cm="1">
        <f t="array" aca="1" ref="DD9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8" t="e" cm="1">
        <f t="array" aca="1" ref="DE9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8" s="35" t="e" cm="1">
        <f t="array" aca="1" ref="DF9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8" s="35" t="e" cm="1">
        <f t="array" aca="1" ref="DG9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8" t="e" cm="1">
        <f t="array" aca="1" ref="DH9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8" s="35" t="e" cm="1">
        <f t="array" aca="1" ref="DI9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8" s="35" t="e" cm="1">
        <f t="array" aca="1" ref="DJ9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8" t="e" cm="1">
        <f t="array" aca="1" ref="DK9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8" s="35" t="e" cm="1">
        <f t="array" aca="1" ref="DL9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8" s="35" t="e" cm="1">
        <f t="array" aca="1" ref="DM9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8" t="e" cm="1">
        <f t="array" aca="1" ref="DN9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8" s="35" t="e" cm="1">
        <f t="array" aca="1" ref="DO9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8" s="35" t="e" cm="1">
        <f t="array" aca="1" ref="DP9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8" t="e" cm="1">
        <f t="array" aca="1" ref="DQ9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8" s="35" t="e" cm="1">
        <f t="array" aca="1" ref="DR9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8" s="35" t="e" cm="1">
        <f t="array" aca="1" ref="DS9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8" t="e" cm="1">
        <f t="array" aca="1" ref="DT9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8" s="35" t="e" cm="1">
        <f t="array" aca="1" ref="DU9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8" s="35" t="e" cm="1">
        <f t="array" aca="1" ref="DV9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8" t="e" cm="1">
        <f t="array" aca="1" ref="DW9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8" s="35" t="e" cm="1">
        <f t="array" aca="1" ref="DX9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8" s="35" t="e" cm="1">
        <f t="array" aca="1" ref="DY9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8" t="e" cm="1">
        <f t="array" aca="1" ref="DZ9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8" s="35" t="e" cm="1">
        <f t="array" aca="1" ref="EA9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8" s="35" t="e" cm="1">
        <f t="array" aca="1" ref="EB9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8" t="e" cm="1">
        <f t="array" aca="1" ref="EC9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8" s="166" cm="1">
        <f t="array" aca="1" ref="ED98"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8" s="375" cm="1">
        <f t="array" aca="1" ref="EE9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8" s="247" cm="1">
        <f t="array" aca="1" ref="EF98" ca="1">(SUMPRODUCT(Delay_emissions_table[Consumption of Diesel (kg) - Tertiary Scenario],IF(Delay_emissions_table[Form of Maintenance - Tertiary Scenario]="Life Extension",1,0))*INDEX(Indicators,MATCH('Additional Impact Indicators'!$A98,Materials!$D:$D,0),MATCH("diesel combustion",Materials!$1:$1,0))+SUMPRODUCT(Delay_emissions_table[Consumption of Petrol (kg) - Tertiary Scenario],IF(Delay_emissions_table[Form of Maintenance - Tertiary Scenario]="Life Extension",1,0))*INDEX(Indicators,MATCH('Additional Impact Indicators'!$A98,Materials!$D:$D,0),MATCH("petrol combustion",Materials!$1:$1,0))+IFERROR(SUMPRODUCT(TRANSPOSE(INDEX(elec_project_emissions,MATCH(Elec_scenario&amp;'Additional Impact Indicators'!$B98,INDEX(Electricity_projection,0,3),0)-1,0)),Delay_emissions_table[Consumption of electricity (MJ) - Tertiary Scenario],IF(Delay_emissions_table[Form of Maintenance - Tertiary Scenario]="Life Extension",1,0)),0))*Area_trans*Time_adj_Tert</f>
        <v>0</v>
      </c>
      <c r="EG98" s="247" cm="1">
        <f t="array" aca="1" ref="EG98" ca="1">(SUMPRODUCT(Delay_emissions_table[Consumption of Diesel (kg) - Tertiary Scenario],IF(Delay_emissions_table[Form of Maintenance - Tertiary Scenario]="Replacement",1,0))*INDEX(Indicators,MATCH('Additional Impact Indicators'!$A98,Materials!$D:$D,0),MATCH("diesel combustion",Materials!$1:$1,0))+SUMPRODUCT(Delay_emissions_table[Consumption of Petrol (kg) - Tertiary Scenario],IF(Delay_emissions_table[Form of Maintenance - Tertiary Scenario]="Replacement",1,0))*INDEX(Indicators,MATCH('Additional Impact Indicators'!$A98,Materials!$D:$D,0),MATCH("petrol combustion",Materials!$1:$1,0))+IFERROR(SUMPRODUCT(TRANSPOSE(INDEX(elec_project_emissions,MATCH(Elec_scenario&amp;'Additional Impact Indicators'!$B98,INDEX(Electricity_projection,0,3),0)-1,0)),Delay_emissions_table[Consumption of electricity (MJ) - Tertiary Scenario],IF(Delay_emissions_table[Form of Maintenance - Tertiary Scenario]="Replacement",1,0)),0))*Area_trans*Time_adj_Tert</f>
        <v>0</v>
      </c>
      <c r="EH98" s="248" t="e" cm="1">
        <f t="array" ref="EH9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8" s="248" t="e" cm="1">
        <f t="array" ref="EI9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8" s="249" t="e" cm="1">
        <f t="array" ref="EJ9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8" s="249" t="e" cm="1">
        <f t="array" ref="EK9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8" t="e">
        <f ca="1">SUMIF(Table611[[#This Row],[Raw-Materials]:[Transport to recycling facility]],"&lt;&gt;#N/A")</f>
        <v>#DIV/0!</v>
      </c>
    </row>
    <row r="99" spans="1:142" x14ac:dyDescent="0.35">
      <c r="A99" s="155" t="s">
        <v>595</v>
      </c>
      <c r="B99" s="155" t="s">
        <v>411</v>
      </c>
      <c r="C99" s="155" t="str">
        <f t="shared" si="5"/>
        <v>A2</v>
      </c>
      <c r="D99" s="155" t="s">
        <v>54</v>
      </c>
      <c r="E99" s="155"/>
      <c r="F99">
        <f>MATCH(Impacts_Additional[[#This Row],[Indicator]],Material_Impacts[Look up],0)</f>
        <v>39</v>
      </c>
      <c r="G99" s="246" cm="1">
        <f t="array" aca="1" ref="G9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99" s="165" cm="1">
        <f t="array" ref="H9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99" s="165" t="e">
        <f>Diesel_RawM_Prim*INDEX(Indicators,MATCH(Impacts_Additional[[#This Row],[Indicator]],Materials!$D:$D,0),MATCH("Diesel Combustion",Materials!$1:$1,0))*Diesel_density*Project_Area*Prim_Lays*Area_trans</f>
        <v>#DIV/0!</v>
      </c>
      <c r="J99" s="250" t="e" cm="1">
        <f t="array" aca="1" ref="J9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99" s="250" t="e" cm="1">
        <f t="array" aca="1" ref="K9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99" s="250" t="e" cm="1">
        <f t="array" aca="1" ref="L9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99" s="250" t="e" cm="1">
        <f t="array" aca="1" ref="M9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99" s="250" t="e" cm="1">
        <f t="array" aca="1" ref="N9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99" s="250" t="e" cm="1">
        <f t="array" aca="1" ref="O9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99" s="250" t="e" cm="1">
        <f t="array" aca="1" ref="P9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99" s="250" t="e" cm="1">
        <f t="array" aca="1" ref="Q9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99" s="250" t="e" cm="1">
        <f t="array" aca="1" ref="R9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99" s="250" t="e" cm="1">
        <f t="array" aca="1" ref="S9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99" s="250" t="e" cm="1">
        <f t="array" aca="1" ref="T9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99" s="250" t="e" cm="1">
        <f t="array" aca="1" ref="U9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99" s="250" t="e" cm="1">
        <f t="array" aca="1" ref="V9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99" s="250" t="e" cm="1">
        <f t="array" aca="1" ref="W9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99" s="250" t="e" cm="1">
        <f t="array" aca="1" ref="X9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99" s="250" t="e" cm="1">
        <f t="array" aca="1" ref="Y9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99" s="250" t="e" cm="1">
        <f t="array" aca="1" ref="Z9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99" s="250" t="e" cm="1">
        <f t="array" aca="1" ref="AA9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99" s="250" t="e" cm="1">
        <f t="array" aca="1" ref="AB9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99" s="250" t="e" cm="1">
        <f t="array" aca="1" ref="AC9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99" s="250" t="e" cm="1">
        <f t="array" aca="1" ref="AD9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99" s="250" t="e" cm="1">
        <f t="array" aca="1" ref="AE9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99" s="250" t="e" cm="1">
        <f t="array" aca="1" ref="AF9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99" s="250" t="e" cm="1">
        <f t="array" aca="1" ref="AG9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99" s="250" t="e" cm="1">
        <f t="array" aca="1" ref="AH9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99" s="250" t="e" cm="1">
        <f t="array" aca="1" ref="AI9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99" s="250" t="e" cm="1">
        <f t="array" aca="1" ref="AJ9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99" s="165" cm="1">
        <f t="array" aca="1" ref="AK99"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99" s="254" cm="1">
        <f t="array" aca="1" ref="AL9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99" s="251" cm="1">
        <f t="array" aca="1" ref="AM99" ca="1">(SUMPRODUCT(Delay_emissions_table[Consumption of Diesel (kg) - Primary Scenario],IF(Delay_emissions_table[Form of Maintenance - Primary Scenario]="Life Extension",1,0))*INDEX(Indicators,MATCH('Additional Impact Indicators'!$A99,Materials!$D:$D,0),MATCH("diesel combustion",Materials!$1:$1,0))+SUMPRODUCT(Delay_emissions_table[Consumption of Petrol (kg) - Primary Scenario],IF(Delay_emissions_table[Form of Maintenance - Primary Scenario]="Life Extension",1,0))*INDEX(Indicators,MATCH('Additional Impact Indicators'!$A99,Materials!$D:$D,0),MATCH("petrol combustion",Materials!$1:$1,0))+IFERROR(SUMPRODUCT(TRANSPOSE(INDEX(elec_project_emissions,MATCH(Elec_scenario&amp;'Additional Impact Indicators'!$B99,INDEX(Electricity_projection,0,3),0)-1,0)),Delay_emissions_table[Consumption of electricity (MJ) - Primary Scenario],IF(Delay_emissions_table[Form of Maintenance - Primary Scenario]="Life Extension",1,0)),0))*Area_trans*Time_adj_Prim</f>
        <v>0</v>
      </c>
      <c r="AN99" s="251" cm="1">
        <f t="array" aca="1" ref="AN99" ca="1">(SUMPRODUCT(Delay_emissions_table[Consumption of Diesel (kg) - Primary Scenario],IF(Delay_emissions_table[Form of Maintenance - Primary Scenario]="Replacement",1,0))*INDEX(Indicators,MATCH('Additional Impact Indicators'!$A99,Materials!$D:$D,0),MATCH("diesel combustion",Materials!$1:$1,0))+SUMPRODUCT(Delay_emissions_table[Consumption of Petrol (kg) - Primary Scenario],IF(Delay_emissions_table[Form of Maintenance - Primary Scenario]="Replacement",1,0))*INDEX(Indicators,MATCH('Additional Impact Indicators'!$A99,Materials!$D:$D,0),MATCH("petrol combustion",Materials!$1:$1,0))+IFERROR(SUMPRODUCT(TRANSPOSE(INDEX(elec_project_emissions,MATCH(Elec_scenario&amp;'Additional Impact Indicators'!$B99,INDEX(Electricity_projection,0,3),0)-1,0)),Delay_emissions_table[Consumption of electricity (MJ) - Primary Scenario],IF(Delay_emissions_table[Form of Maintenance - Primary Scenario]="Replacement",1,0)),0))*Area_trans*Time_adj_Prim</f>
        <v>0</v>
      </c>
      <c r="AO99" s="252" t="e" cm="1">
        <f t="array" ref="AO9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99" s="252" t="e" cm="1">
        <f t="array" ref="AP9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99" s="253" t="e" cm="1">
        <f t="array" ref="AQ9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99" s="385" t="e" cm="1">
        <f t="array" ref="AR9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99" t="e">
        <f ca="1">SUMIF('Additional Impact Indicators'!$G99:$AQ99,"&lt;&gt;#N/A")</f>
        <v>#DIV/0!</v>
      </c>
      <c r="AW99" s="155" t="s">
        <v>595</v>
      </c>
      <c r="AX99" s="155" t="s">
        <v>411</v>
      </c>
      <c r="AY99" t="str">
        <f t="shared" si="7"/>
        <v>A2</v>
      </c>
      <c r="AZ99" s="155" t="s">
        <v>54</v>
      </c>
      <c r="BB99">
        <f>MATCH(Table3[[#This Row],[Indicator]],Material_Impacts[Look up],0)</f>
        <v>39</v>
      </c>
      <c r="BC99" s="246" cm="1">
        <f t="array" aca="1" ref="BC9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99" s="165" cm="1">
        <f t="array" ref="BD9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99" s="165" t="e">
        <f>Diesel_RawM_Sec*INDEX(Indicators,MATCH(Impacts_Additional[[#This Row],[Indicator]],Materials!$D:$D,0),MATCH("Diesel Combustion",Materials!$1:$1,0))*Diesel_density*Project_Area*Sec_Lays*Area_trans</f>
        <v>#DIV/0!</v>
      </c>
      <c r="BF99" s="35" t="e" cm="1">
        <f t="array" aca="1" ref="BF9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99" s="35" t="e" cm="1">
        <f t="array" aca="1" ref="BG9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99" t="e" cm="1">
        <f t="array" aca="1" ref="BH9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99" s="35" t="e" cm="1">
        <f t="array" aca="1" ref="BI9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99" s="35" t="e" cm="1">
        <f t="array" aca="1" ref="BJ9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99" t="e" cm="1">
        <f t="array" aca="1" ref="BK9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99" s="35" t="e" cm="1">
        <f t="array" aca="1" ref="BL9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99" s="35" t="e" cm="1">
        <f t="array" aca="1" ref="BM9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99" t="e" cm="1">
        <f t="array" aca="1" ref="BN9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99" s="35" t="e" cm="1">
        <f t="array" aca="1" ref="BO9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99" s="35" t="e" cm="1">
        <f t="array" aca="1" ref="BP9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99" t="e" cm="1">
        <f t="array" aca="1" ref="BQ9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99" s="35" t="e" cm="1">
        <f t="array" aca="1" ref="BR9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99" s="35" t="e" cm="1">
        <f t="array" aca="1" ref="BS9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99" t="e" cm="1">
        <f t="array" aca="1" ref="BT9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99" s="35" t="e" cm="1">
        <f t="array" aca="1" ref="BU9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99" s="35" t="e" cm="1">
        <f t="array" aca="1" ref="BV9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99" t="e" cm="1">
        <f t="array" aca="1" ref="BW9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99" s="35" t="e" cm="1">
        <f t="array" aca="1" ref="BX9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99" s="35" t="e" cm="1">
        <f t="array" aca="1" ref="BY9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99" t="e" cm="1">
        <f t="array" aca="1" ref="BZ9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99" s="35" t="e" cm="1">
        <f t="array" aca="1" ref="CA9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99" s="35" t="e" cm="1">
        <f t="array" aca="1" ref="CB9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99" t="e" cm="1">
        <f t="array" aca="1" ref="CC9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99" s="35" t="e" cm="1">
        <f t="array" aca="1" ref="CD9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99" s="35" t="e" cm="1">
        <f t="array" aca="1" ref="CE9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99" t="e" cm="1">
        <f t="array" aca="1" ref="CF9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99" s="165" cm="1">
        <f t="array" aca="1" ref="CG99"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99" s="375" cm="1">
        <f t="array" aca="1" ref="CH9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99" s="251" cm="1">
        <f t="array" aca="1" ref="CI99" ca="1">(SUMPRODUCT(Delay_emissions_table[Consumption of Diesel (kg) - Secondary Scenario],IF(Delay_emissions_table[Form of Maintenance - Secondary Scenario]="Life Extension",1,0))*INDEX(Indicators,MATCH('Additional Impact Indicators'!$A99,Materials!$D:$D,0),MATCH("diesel combustion",Materials!$1:$1,0))+SUMPRODUCT(Delay_emissions_table[Consumption of Petrol (kg) - Secondary Scenario],IF(Delay_emissions_table[Form of Maintenance - Secondary Scenario]="Life Extension",1,0))*INDEX(Indicators,MATCH('Additional Impact Indicators'!$A99,Materials!$D:$D,0),MATCH("petrol combustion",Materials!$1:$1,0))+IFERROR(SUMPRODUCT(TRANSPOSE(INDEX(elec_project_emissions,MATCH(Elec_scenario&amp;'Additional Impact Indicators'!$B99,INDEX(Electricity_projection,0,3),0)-1,0)),Delay_emissions_table[Consumption of electricity (MJ) - Secondary Scenario],IF(Delay_emissions_table[Form of Maintenance - Secondary Scenario]="Life Extension",1,0)),0))*Area_trans*time_adj_Sec</f>
        <v>0</v>
      </c>
      <c r="CJ99" s="251" cm="1">
        <f t="array" aca="1" ref="CJ99" ca="1">(SUMPRODUCT(Delay_emissions_table[Consumption of Diesel (kg) - Secondary Scenario],IF(Delay_emissions_table[Form of Maintenance - Secondary Scenario]="Replacement",1,0))*INDEX(Indicators,MATCH('Additional Impact Indicators'!$A99,Materials!$D:$D,0),MATCH("diesel combustion",Materials!$1:$1,0))+SUMPRODUCT(Delay_emissions_table[Consumption of Petrol (kg) - Secondary Scenario],IF(Delay_emissions_table[Form of Maintenance - Secondary Scenario]="Replacement",1,0))*INDEX(Indicators,MATCH('Additional Impact Indicators'!$A99,Materials!$D:$D,0),MATCH("petrol combustion",Materials!$1:$1,0))+IFERROR(SUMPRODUCT(TRANSPOSE(INDEX(elec_project_emissions,MATCH(Elec_scenario&amp;'Additional Impact Indicators'!$B99,INDEX(Electricity_projection,0,3),0)-1,0)),Delay_emissions_table[Consumption of electricity (MJ) - Secondary Scenario],IF(Delay_emissions_table[Form of Maintenance - Secondary Scenario]="Replacement",1,0)),0))*Area_trans*time_adj_Sec</f>
        <v>0</v>
      </c>
      <c r="CK99" s="252" t="e" cm="1">
        <f t="array" ref="CK9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99" s="252" t="e" cm="1">
        <f t="array" ref="CL9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99" s="253" t="e" cm="1">
        <f t="array" ref="CM9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99" s="387" t="e" cm="1">
        <f t="array" ref="CN9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99" s="51" t="e">
        <f ca="1">SUMIF(Table3[[#This Row],[Raw-Materials]:[Transport to recycling facility]],"&lt;&gt;#N/A")</f>
        <v>#DIV/0!</v>
      </c>
      <c r="CT99" t="s">
        <v>595</v>
      </c>
      <c r="CU99" t="s">
        <v>411</v>
      </c>
      <c r="CV99" t="str">
        <f t="shared" si="6"/>
        <v>A2</v>
      </c>
      <c r="CW99" t="s">
        <v>54</v>
      </c>
      <c r="CY99">
        <f>MATCH(Table611[[#This Row],[Indicator]],Material_Impacts[Look up],0)</f>
        <v>39</v>
      </c>
      <c r="CZ99" s="246" cm="1">
        <f t="array" aca="1" ref="CZ9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99" s="165" cm="1">
        <f t="array" ref="DA9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99" s="165" t="e">
        <f>Diesel_RawM_Tert*INDEX(Indicators,MATCH(Impacts_Additional[[#This Row],[Indicator]],Materials!$D:$D,0),MATCH("Diesel Combustion",Materials!$1:$1,0))*Diesel_density*Project_Area*Tert_Lays*Area_trans</f>
        <v>#DIV/0!</v>
      </c>
      <c r="DC99" s="35" t="e" cm="1">
        <f t="array" aca="1" ref="DC9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99" s="35" t="e" cm="1">
        <f t="array" aca="1" ref="DD9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99" t="e" cm="1">
        <f t="array" aca="1" ref="DE9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99" s="35" t="e" cm="1">
        <f t="array" aca="1" ref="DF9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99" s="35" t="e" cm="1">
        <f t="array" aca="1" ref="DG9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99" t="e" cm="1">
        <f t="array" aca="1" ref="DH9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99" s="35" t="e" cm="1">
        <f t="array" aca="1" ref="DI9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99" s="35" t="e" cm="1">
        <f t="array" aca="1" ref="DJ9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99" t="e" cm="1">
        <f t="array" aca="1" ref="DK9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99" s="35" t="e" cm="1">
        <f t="array" aca="1" ref="DL9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99" s="35" t="e" cm="1">
        <f t="array" aca="1" ref="DM9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99" t="e" cm="1">
        <f t="array" aca="1" ref="DN9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99" s="35" t="e" cm="1">
        <f t="array" aca="1" ref="DO9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99" s="35" t="e" cm="1">
        <f t="array" aca="1" ref="DP9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99" t="e" cm="1">
        <f t="array" aca="1" ref="DQ9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99" s="35" t="e" cm="1">
        <f t="array" aca="1" ref="DR9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99" s="35" t="e" cm="1">
        <f t="array" aca="1" ref="DS9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99" t="e" cm="1">
        <f t="array" aca="1" ref="DT9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99" s="35" t="e" cm="1">
        <f t="array" aca="1" ref="DU9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99" s="35" t="e" cm="1">
        <f t="array" aca="1" ref="DV9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99" t="e" cm="1">
        <f t="array" aca="1" ref="DW9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99" s="35" t="e" cm="1">
        <f t="array" aca="1" ref="DX9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99" s="35" t="e" cm="1">
        <f t="array" aca="1" ref="DY9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99" t="e" cm="1">
        <f t="array" aca="1" ref="DZ9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99" s="35" t="e" cm="1">
        <f t="array" aca="1" ref="EA9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99" s="35" t="e" cm="1">
        <f t="array" aca="1" ref="EB9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99" t="e" cm="1">
        <f t="array" aca="1" ref="EC9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99" s="165" cm="1">
        <f t="array" aca="1" ref="ED99"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99" s="375" cm="1">
        <f t="array" aca="1" ref="EE9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99" s="251" cm="1">
        <f t="array" aca="1" ref="EF99" ca="1">(SUMPRODUCT(Delay_emissions_table[Consumption of Diesel (kg) - Tertiary Scenario],IF(Delay_emissions_table[Form of Maintenance - Tertiary Scenario]="Life Extension",1,0))*INDEX(Indicators,MATCH('Additional Impact Indicators'!$A99,Materials!$D:$D,0),MATCH("diesel combustion",Materials!$1:$1,0))+SUMPRODUCT(Delay_emissions_table[Consumption of Petrol (kg) - Tertiary Scenario],IF(Delay_emissions_table[Form of Maintenance - Tertiary Scenario]="Life Extension",1,0))*INDEX(Indicators,MATCH('Additional Impact Indicators'!$A99,Materials!$D:$D,0),MATCH("petrol combustion",Materials!$1:$1,0))+IFERROR(SUMPRODUCT(TRANSPOSE(INDEX(elec_project_emissions,MATCH(Elec_scenario&amp;'Additional Impact Indicators'!$B99,INDEX(Electricity_projection,0,3),0)-1,0)),Delay_emissions_table[Consumption of electricity (MJ) - Tertiary Scenario],IF(Delay_emissions_table[Form of Maintenance - Tertiary Scenario]="Life Extension",1,0)),0))*Area_trans*Time_adj_Tert</f>
        <v>0</v>
      </c>
      <c r="EG99" s="251" cm="1">
        <f t="array" aca="1" ref="EG99" ca="1">(SUMPRODUCT(Delay_emissions_table[Consumption of Diesel (kg) - Tertiary Scenario],IF(Delay_emissions_table[Form of Maintenance - Tertiary Scenario]="Replacement",1,0))*INDEX(Indicators,MATCH('Additional Impact Indicators'!$A99,Materials!$D:$D,0),MATCH("diesel combustion",Materials!$1:$1,0))+SUMPRODUCT(Delay_emissions_table[Consumption of Petrol (kg) - Tertiary Scenario],IF(Delay_emissions_table[Form of Maintenance - Tertiary Scenario]="Replacement",1,0))*INDEX(Indicators,MATCH('Additional Impact Indicators'!$A99,Materials!$D:$D,0),MATCH("petrol combustion",Materials!$1:$1,0))+IFERROR(SUMPRODUCT(TRANSPOSE(INDEX(elec_project_emissions,MATCH(Elec_scenario&amp;'Additional Impact Indicators'!$B99,INDEX(Electricity_projection,0,3),0)-1,0)),Delay_emissions_table[Consumption of electricity (MJ) - Tertiary Scenario],IF(Delay_emissions_table[Form of Maintenance - Tertiary Scenario]="Replacement",1,0)),0))*Area_trans*Time_adj_Tert</f>
        <v>0</v>
      </c>
      <c r="EH99" s="252" t="e" cm="1">
        <f t="array" ref="EH9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99" s="252" t="e" cm="1">
        <f t="array" ref="EI9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99" s="253" t="e" cm="1">
        <f t="array" ref="EJ9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99" s="253" t="e" cm="1">
        <f t="array" ref="EK9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99" t="e">
        <f ca="1">SUMIF(Table611[[#This Row],[Raw-Materials]:[Transport to recycling facility]],"&lt;&gt;#N/A")</f>
        <v>#DIV/0!</v>
      </c>
    </row>
    <row r="100" spans="1:142" x14ac:dyDescent="0.35">
      <c r="A100" t="s">
        <v>596</v>
      </c>
      <c r="B100" t="s">
        <v>413</v>
      </c>
      <c r="C100" t="str">
        <f t="shared" si="5"/>
        <v>A2</v>
      </c>
      <c r="D100" t="s">
        <v>54</v>
      </c>
      <c r="F100">
        <f>MATCH(Impacts_Additional[[#This Row],[Indicator]],Material_Impacts[Look up],0)</f>
        <v>40</v>
      </c>
      <c r="G100" s="246" cm="1">
        <f t="array" aca="1" ref="G10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0" s="166" cm="1">
        <f t="array" ref="H10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0" s="166" t="e">
        <f>Diesel_RawM_Prim*INDEX(Indicators,MATCH(Impacts_Additional[[#This Row],[Indicator]],Materials!$D:$D,0),MATCH("Diesel Combustion",Materials!$1:$1,0))*Diesel_density*Project_Area*Prim_Lays*Area_trans</f>
        <v>#DIV/0!</v>
      </c>
      <c r="J100" s="20" t="e" cm="1">
        <f t="array" aca="1" ref="J10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0" s="20" t="e" cm="1">
        <f t="array" aca="1" ref="K10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0" s="20" t="e" cm="1">
        <f t="array" aca="1" ref="L10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0" s="20" t="e" cm="1">
        <f t="array" aca="1" ref="M10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0" s="20" t="e" cm="1">
        <f t="array" aca="1" ref="N10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0" s="20" t="e" cm="1">
        <f t="array" aca="1" ref="O10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0" s="20" t="e" cm="1">
        <f t="array" aca="1" ref="P10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0" s="20" t="e" cm="1">
        <f t="array" aca="1" ref="Q10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0" s="20" t="e" cm="1">
        <f t="array" aca="1" ref="R10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0" s="20" t="e" cm="1">
        <f t="array" aca="1" ref="S10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0" s="20" t="e" cm="1">
        <f t="array" aca="1" ref="T10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0" s="20" t="e" cm="1">
        <f t="array" aca="1" ref="U10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0" s="20" t="e" cm="1">
        <f t="array" aca="1" ref="V10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0" s="20" t="e" cm="1">
        <f t="array" aca="1" ref="W10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0" s="20" t="e" cm="1">
        <f t="array" aca="1" ref="X10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0" s="20" t="e" cm="1">
        <f t="array" aca="1" ref="Y10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0" s="20" t="e" cm="1">
        <f t="array" aca="1" ref="Z10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0" s="20" t="e" cm="1">
        <f t="array" aca="1" ref="AA10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0" s="20" t="e" cm="1">
        <f t="array" aca="1" ref="AB10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0" s="20" t="e" cm="1">
        <f t="array" aca="1" ref="AC10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0" s="20" t="e" cm="1">
        <f t="array" aca="1" ref="AD10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0" s="20" t="e" cm="1">
        <f t="array" aca="1" ref="AE10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0" s="20" t="e" cm="1">
        <f t="array" aca="1" ref="AF10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0" s="20" t="e" cm="1">
        <f t="array" aca="1" ref="AG10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0" s="20" t="e" cm="1">
        <f t="array" aca="1" ref="AH10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0" s="20" t="e" cm="1">
        <f t="array" aca="1" ref="AI10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0" s="20" t="e" cm="1">
        <f t="array" aca="1" ref="AJ10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0" s="166" cm="1">
        <f t="array" aca="1" ref="AK100"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0" s="1" cm="1">
        <f t="array" aca="1" ref="AL10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0" s="247" cm="1">
        <f t="array" aca="1" ref="AM100" ca="1">(SUMPRODUCT(Delay_emissions_table[Consumption of Diesel (kg) - Primary Scenario],IF(Delay_emissions_table[Form of Maintenance - Primary Scenario]="Life Extension",1,0))*INDEX(Indicators,MATCH('Additional Impact Indicators'!$A100,Materials!$D:$D,0),MATCH("diesel combustion",Materials!$1:$1,0))+SUMPRODUCT(Delay_emissions_table[Consumption of Petrol (kg) - Primary Scenario],IF(Delay_emissions_table[Form of Maintenance - Primary Scenario]="Life Extension",1,0))*INDEX(Indicators,MATCH('Additional Impact Indicators'!$A100,Materials!$D:$D,0),MATCH("petrol combustion",Materials!$1:$1,0))+IFERROR(SUMPRODUCT(TRANSPOSE(INDEX(elec_project_emissions,MATCH(Elec_scenario&amp;'Additional Impact Indicators'!$B100,INDEX(Electricity_projection,0,3),0)-1,0)),Delay_emissions_table[Consumption of electricity (MJ) - Primary Scenario],IF(Delay_emissions_table[Form of Maintenance - Primary Scenario]="Life Extension",1,0)),0))*Area_trans*Time_adj_Prim</f>
        <v>0</v>
      </c>
      <c r="AN100" s="247" cm="1">
        <f t="array" aca="1" ref="AN100" ca="1">(SUMPRODUCT(Delay_emissions_table[Consumption of Diesel (kg) - Primary Scenario],IF(Delay_emissions_table[Form of Maintenance - Primary Scenario]="Replacement",1,0))*INDEX(Indicators,MATCH('Additional Impact Indicators'!$A100,Materials!$D:$D,0),MATCH("diesel combustion",Materials!$1:$1,0))+SUMPRODUCT(Delay_emissions_table[Consumption of Petrol (kg) - Primary Scenario],IF(Delay_emissions_table[Form of Maintenance - Primary Scenario]="Replacement",1,0))*INDEX(Indicators,MATCH('Additional Impact Indicators'!$A100,Materials!$D:$D,0),MATCH("petrol combustion",Materials!$1:$1,0))+IFERROR(SUMPRODUCT(TRANSPOSE(INDEX(elec_project_emissions,MATCH(Elec_scenario&amp;'Additional Impact Indicators'!$B100,INDEX(Electricity_projection,0,3),0)-1,0)),Delay_emissions_table[Consumption of electricity (MJ) - Primary Scenario],IF(Delay_emissions_table[Form of Maintenance - Primary Scenario]="Replacement",1,0)),0))*Area_trans*Time_adj_Prim</f>
        <v>0</v>
      </c>
      <c r="AO100" s="248" t="e" cm="1">
        <f t="array" ref="AO10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0" s="248" t="e" cm="1">
        <f t="array" ref="AP10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0" s="249" t="e" cm="1">
        <f t="array" ref="AQ10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0" s="386" t="e" cm="1">
        <f t="array" ref="AR10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0" t="e">
        <f ca="1">SUMIF('Additional Impact Indicators'!$G100:$AQ100,"&lt;&gt;#N/A")</f>
        <v>#DIV/0!</v>
      </c>
      <c r="AW100" t="s">
        <v>596</v>
      </c>
      <c r="AX100" t="s">
        <v>413</v>
      </c>
      <c r="AY100" t="str">
        <f t="shared" si="7"/>
        <v>A2</v>
      </c>
      <c r="AZ100" t="s">
        <v>54</v>
      </c>
      <c r="BB100">
        <f>MATCH(Table3[[#This Row],[Indicator]],Material_Impacts[Look up],0)</f>
        <v>40</v>
      </c>
      <c r="BC100" s="246" cm="1">
        <f t="array" aca="1" ref="BC10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0" s="166" cm="1">
        <f t="array" ref="BD10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0" s="166" t="e">
        <f>Diesel_RawM_Sec*INDEX(Indicators,MATCH(Impacts_Additional[[#This Row],[Indicator]],Materials!$D:$D,0),MATCH("Diesel Combustion",Materials!$1:$1,0))*Diesel_density*Project_Area*Sec_Lays*Area_trans</f>
        <v>#DIV/0!</v>
      </c>
      <c r="BF100" s="35" t="e" cm="1">
        <f t="array" aca="1" ref="BF10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0" s="35" t="e" cm="1">
        <f t="array" aca="1" ref="BG10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0" t="e" cm="1">
        <f t="array" aca="1" ref="BH10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0" s="35" t="e" cm="1">
        <f t="array" aca="1" ref="BI10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0" s="35" t="e" cm="1">
        <f t="array" aca="1" ref="BJ10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0" t="e" cm="1">
        <f t="array" aca="1" ref="BK10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0" s="35" t="e" cm="1">
        <f t="array" aca="1" ref="BL10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0" s="35" t="e" cm="1">
        <f t="array" aca="1" ref="BM10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0" t="e" cm="1">
        <f t="array" aca="1" ref="BN10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0" s="35" t="e" cm="1">
        <f t="array" aca="1" ref="BO10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0" s="35" t="e" cm="1">
        <f t="array" aca="1" ref="BP10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0" t="e" cm="1">
        <f t="array" aca="1" ref="BQ10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0" s="35" t="e" cm="1">
        <f t="array" aca="1" ref="BR10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0" s="35" t="e" cm="1">
        <f t="array" aca="1" ref="BS10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0" t="e" cm="1">
        <f t="array" aca="1" ref="BT10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0" s="35" t="e" cm="1">
        <f t="array" aca="1" ref="BU10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0" s="35" t="e" cm="1">
        <f t="array" aca="1" ref="BV10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0" t="e" cm="1">
        <f t="array" aca="1" ref="BW10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0" s="35" t="e" cm="1">
        <f t="array" aca="1" ref="BX10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0" s="35" t="e" cm="1">
        <f t="array" aca="1" ref="BY10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0" t="e" cm="1">
        <f t="array" aca="1" ref="BZ10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0" s="35" t="e" cm="1">
        <f t="array" aca="1" ref="CA10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0" s="35" t="e" cm="1">
        <f t="array" aca="1" ref="CB10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0" t="e" cm="1">
        <f t="array" aca="1" ref="CC10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0" s="35" t="e" cm="1">
        <f t="array" aca="1" ref="CD10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0" s="35" t="e" cm="1">
        <f t="array" aca="1" ref="CE10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0" t="e" cm="1">
        <f t="array" aca="1" ref="CF10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0" s="166" cm="1">
        <f t="array" aca="1" ref="CG100"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0" s="375" cm="1">
        <f t="array" aca="1" ref="CH10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0" s="247" cm="1">
        <f t="array" aca="1" ref="CI100" ca="1">(SUMPRODUCT(Delay_emissions_table[Consumption of Diesel (kg) - Secondary Scenario],IF(Delay_emissions_table[Form of Maintenance - Secondary Scenario]="Life Extension",1,0))*INDEX(Indicators,MATCH('Additional Impact Indicators'!$A100,Materials!$D:$D,0),MATCH("diesel combustion",Materials!$1:$1,0))+SUMPRODUCT(Delay_emissions_table[Consumption of Petrol (kg) - Secondary Scenario],IF(Delay_emissions_table[Form of Maintenance - Secondary Scenario]="Life Extension",1,0))*INDEX(Indicators,MATCH('Additional Impact Indicators'!$A100,Materials!$D:$D,0),MATCH("petrol combustion",Materials!$1:$1,0))+IFERROR(SUMPRODUCT(TRANSPOSE(INDEX(elec_project_emissions,MATCH(Elec_scenario&amp;'Additional Impact Indicators'!$B100,INDEX(Electricity_projection,0,3),0)-1,0)),Delay_emissions_table[Consumption of electricity (MJ) - Secondary Scenario],IF(Delay_emissions_table[Form of Maintenance - Secondary Scenario]="Life Extension",1,0)),0))*Area_trans*time_adj_Sec</f>
        <v>0</v>
      </c>
      <c r="CJ100" s="247" cm="1">
        <f t="array" aca="1" ref="CJ100" ca="1">(SUMPRODUCT(Delay_emissions_table[Consumption of Diesel (kg) - Secondary Scenario],IF(Delay_emissions_table[Form of Maintenance - Secondary Scenario]="Replacement",1,0))*INDEX(Indicators,MATCH('Additional Impact Indicators'!$A100,Materials!$D:$D,0),MATCH("diesel combustion",Materials!$1:$1,0))+SUMPRODUCT(Delay_emissions_table[Consumption of Petrol (kg) - Secondary Scenario],IF(Delay_emissions_table[Form of Maintenance - Secondary Scenario]="Replacement",1,0))*INDEX(Indicators,MATCH('Additional Impact Indicators'!$A100,Materials!$D:$D,0),MATCH("petrol combustion",Materials!$1:$1,0))+IFERROR(SUMPRODUCT(TRANSPOSE(INDEX(elec_project_emissions,MATCH(Elec_scenario&amp;'Additional Impact Indicators'!$B100,INDEX(Electricity_projection,0,3),0)-1,0)),Delay_emissions_table[Consumption of electricity (MJ) - Secondary Scenario],IF(Delay_emissions_table[Form of Maintenance - Secondary Scenario]="Replacement",1,0)),0))*Area_trans*time_adj_Sec</f>
        <v>0</v>
      </c>
      <c r="CK100" s="248" t="e" cm="1">
        <f t="array" ref="CK10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0" s="248" t="e" cm="1">
        <f t="array" ref="CL10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0" s="249" t="e" cm="1">
        <f t="array" ref="CM10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0" s="387" t="e" cm="1">
        <f t="array" ref="CN10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0" s="51" t="e">
        <f ca="1">SUMIF(Table3[[#This Row],[Raw-Materials]:[Transport to recycling facility]],"&lt;&gt;#N/A")</f>
        <v>#DIV/0!</v>
      </c>
      <c r="CT100" t="s">
        <v>596</v>
      </c>
      <c r="CU100" t="s">
        <v>413</v>
      </c>
      <c r="CV100" t="str">
        <f t="shared" si="6"/>
        <v>A2</v>
      </c>
      <c r="CW100" t="s">
        <v>54</v>
      </c>
      <c r="CY100">
        <f>MATCH(Table611[[#This Row],[Indicator]],Material_Impacts[Look up],0)</f>
        <v>40</v>
      </c>
      <c r="CZ100" s="246" cm="1">
        <f t="array" aca="1" ref="CZ10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0" s="166" cm="1">
        <f t="array" ref="DA10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0" s="166" t="e">
        <f>Diesel_RawM_Tert*INDEX(Indicators,MATCH(Impacts_Additional[[#This Row],[Indicator]],Materials!$D:$D,0),MATCH("Diesel Combustion",Materials!$1:$1,0))*Diesel_density*Project_Area*Tert_Lays*Area_trans</f>
        <v>#DIV/0!</v>
      </c>
      <c r="DC100" s="35" t="e" cm="1">
        <f t="array" aca="1" ref="DC10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0" s="35" t="e" cm="1">
        <f t="array" aca="1" ref="DD10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0" t="e" cm="1">
        <f t="array" aca="1" ref="DE10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0" s="35" t="e" cm="1">
        <f t="array" aca="1" ref="DF10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0" s="35" t="e" cm="1">
        <f t="array" aca="1" ref="DG10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0" t="e" cm="1">
        <f t="array" aca="1" ref="DH10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0" s="35" t="e" cm="1">
        <f t="array" aca="1" ref="DI10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0" s="35" t="e" cm="1">
        <f t="array" aca="1" ref="DJ10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0" t="e" cm="1">
        <f t="array" aca="1" ref="DK10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0" s="35" t="e" cm="1">
        <f t="array" aca="1" ref="DL10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0" s="35" t="e" cm="1">
        <f t="array" aca="1" ref="DM10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0" t="e" cm="1">
        <f t="array" aca="1" ref="DN10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0" s="35" t="e" cm="1">
        <f t="array" aca="1" ref="DO10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0" s="35" t="e" cm="1">
        <f t="array" aca="1" ref="DP10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0" t="e" cm="1">
        <f t="array" aca="1" ref="DQ10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0" s="35" t="e" cm="1">
        <f t="array" aca="1" ref="DR10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0" s="35" t="e" cm="1">
        <f t="array" aca="1" ref="DS10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0" t="e" cm="1">
        <f t="array" aca="1" ref="DT10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0" s="35" t="e" cm="1">
        <f t="array" aca="1" ref="DU10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0" s="35" t="e" cm="1">
        <f t="array" aca="1" ref="DV10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0" t="e" cm="1">
        <f t="array" aca="1" ref="DW10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0" s="35" t="e" cm="1">
        <f t="array" aca="1" ref="DX10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0" s="35" t="e" cm="1">
        <f t="array" aca="1" ref="DY10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0" t="e" cm="1">
        <f t="array" aca="1" ref="DZ10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0" s="35" t="e" cm="1">
        <f t="array" aca="1" ref="EA10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0" s="35" t="e" cm="1">
        <f t="array" aca="1" ref="EB10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0" t="e" cm="1">
        <f t="array" aca="1" ref="EC10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0" s="166" cm="1">
        <f t="array" aca="1" ref="ED100"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0" s="375" cm="1">
        <f t="array" aca="1" ref="EE10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0" s="247" cm="1">
        <f t="array" aca="1" ref="EF100" ca="1">(SUMPRODUCT(Delay_emissions_table[Consumption of Diesel (kg) - Tertiary Scenario],IF(Delay_emissions_table[Form of Maintenance - Tertiary Scenario]="Life Extension",1,0))*INDEX(Indicators,MATCH('Additional Impact Indicators'!$A100,Materials!$D:$D,0),MATCH("diesel combustion",Materials!$1:$1,0))+SUMPRODUCT(Delay_emissions_table[Consumption of Petrol (kg) - Tertiary Scenario],IF(Delay_emissions_table[Form of Maintenance - Tertiary Scenario]="Life Extension",1,0))*INDEX(Indicators,MATCH('Additional Impact Indicators'!$A100,Materials!$D:$D,0),MATCH("petrol combustion",Materials!$1:$1,0))+IFERROR(SUMPRODUCT(TRANSPOSE(INDEX(elec_project_emissions,MATCH(Elec_scenario&amp;'Additional Impact Indicators'!$B100,INDEX(Electricity_projection,0,3),0)-1,0)),Delay_emissions_table[Consumption of electricity (MJ) - Tertiary Scenario],IF(Delay_emissions_table[Form of Maintenance - Tertiary Scenario]="Life Extension",1,0)),0))*Area_trans*Time_adj_Tert</f>
        <v>0</v>
      </c>
      <c r="EG100" s="247" cm="1">
        <f t="array" aca="1" ref="EG100" ca="1">(SUMPRODUCT(Delay_emissions_table[Consumption of Diesel (kg) - Tertiary Scenario],IF(Delay_emissions_table[Form of Maintenance - Tertiary Scenario]="Replacement",1,0))*INDEX(Indicators,MATCH('Additional Impact Indicators'!$A100,Materials!$D:$D,0),MATCH("diesel combustion",Materials!$1:$1,0))+SUMPRODUCT(Delay_emissions_table[Consumption of Petrol (kg) - Tertiary Scenario],IF(Delay_emissions_table[Form of Maintenance - Tertiary Scenario]="Replacement",1,0))*INDEX(Indicators,MATCH('Additional Impact Indicators'!$A100,Materials!$D:$D,0),MATCH("petrol combustion",Materials!$1:$1,0))+IFERROR(SUMPRODUCT(TRANSPOSE(INDEX(elec_project_emissions,MATCH(Elec_scenario&amp;'Additional Impact Indicators'!$B100,INDEX(Electricity_projection,0,3),0)-1,0)),Delay_emissions_table[Consumption of electricity (MJ) - Tertiary Scenario],IF(Delay_emissions_table[Form of Maintenance - Tertiary Scenario]="Replacement",1,0)),0))*Area_trans*Time_adj_Tert</f>
        <v>0</v>
      </c>
      <c r="EH100" s="248" t="e" cm="1">
        <f t="array" ref="EH10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0" s="248" t="e" cm="1">
        <f t="array" ref="EI10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0" s="249" t="e" cm="1">
        <f t="array" ref="EJ10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0" s="249" t="e" cm="1">
        <f t="array" ref="EK10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0" t="e">
        <f ca="1">SUMIF(Table611[[#This Row],[Raw-Materials]:[Transport to recycling facility]],"&lt;&gt;#N/A")</f>
        <v>#DIV/0!</v>
      </c>
    </row>
    <row r="101" spans="1:142" x14ac:dyDescent="0.35">
      <c r="A101" s="155" t="s">
        <v>597</v>
      </c>
      <c r="B101" s="155" t="s">
        <v>508</v>
      </c>
      <c r="C101" s="155" t="str">
        <f t="shared" si="5"/>
        <v>A2</v>
      </c>
      <c r="D101" s="155" t="s">
        <v>54</v>
      </c>
      <c r="E101" s="155"/>
      <c r="F101">
        <f>MATCH(Impacts_Additional[[#This Row],[Indicator]],Material_Impacts[Look up],0)</f>
        <v>41</v>
      </c>
      <c r="G101" s="246" cm="1">
        <f t="array" aca="1" ref="G10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1" s="165" cm="1">
        <f t="array" ref="H10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1" s="165" t="e">
        <f>Diesel_RawM_Prim*INDEX(Indicators,MATCH(Impacts_Additional[[#This Row],[Indicator]],Materials!$D:$D,0),MATCH("Diesel Combustion",Materials!$1:$1,0))*Diesel_density*Project_Area*Prim_Lays*Area_trans</f>
        <v>#DIV/0!</v>
      </c>
      <c r="J101" s="250" t="e" cm="1">
        <f t="array" aca="1" ref="J10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1" s="250" t="e" cm="1">
        <f t="array" aca="1" ref="K10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1" s="250" t="e" cm="1">
        <f t="array" aca="1" ref="L10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1" s="250" t="e" cm="1">
        <f t="array" aca="1" ref="M10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1" s="250" t="e" cm="1">
        <f t="array" aca="1" ref="N10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1" s="250" t="e" cm="1">
        <f t="array" aca="1" ref="O10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1" s="250" t="e" cm="1">
        <f t="array" aca="1" ref="P10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1" s="250" t="e" cm="1">
        <f t="array" aca="1" ref="Q10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1" s="250" t="e" cm="1">
        <f t="array" aca="1" ref="R10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1" s="250" t="e" cm="1">
        <f t="array" aca="1" ref="S10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1" s="250" t="e" cm="1">
        <f t="array" aca="1" ref="T10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1" s="250" t="e" cm="1">
        <f t="array" aca="1" ref="U10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1" s="250" t="e" cm="1">
        <f t="array" aca="1" ref="V10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1" s="250" t="e" cm="1">
        <f t="array" aca="1" ref="W10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1" s="250" t="e" cm="1">
        <f t="array" aca="1" ref="X10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1" s="250" t="e" cm="1">
        <f t="array" aca="1" ref="Y10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1" s="250" t="e" cm="1">
        <f t="array" aca="1" ref="Z10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1" s="250" t="e" cm="1">
        <f t="array" aca="1" ref="AA10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1" s="250" t="e" cm="1">
        <f t="array" aca="1" ref="AB10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1" s="250" t="e" cm="1">
        <f t="array" aca="1" ref="AC10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1" s="250" t="e" cm="1">
        <f t="array" aca="1" ref="AD10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1" s="250" t="e" cm="1">
        <f t="array" aca="1" ref="AE10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1" s="250" t="e" cm="1">
        <f t="array" aca="1" ref="AF10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1" s="250" t="e" cm="1">
        <f t="array" aca="1" ref="AG10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1" s="250" t="e" cm="1">
        <f t="array" aca="1" ref="AH10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1" s="250" t="e" cm="1">
        <f t="array" aca="1" ref="AI10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1" s="250" t="e" cm="1">
        <f t="array" aca="1" ref="AJ10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1" s="165" cm="1">
        <f t="array" aca="1" ref="AK101"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1" s="254" cm="1">
        <f t="array" aca="1" ref="AL10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1" s="251" cm="1">
        <f t="array" aca="1" ref="AM101" ca="1">(SUMPRODUCT(Delay_emissions_table[Consumption of Diesel (kg) - Primary Scenario],IF(Delay_emissions_table[Form of Maintenance - Primary Scenario]="Life Extension",1,0))*INDEX(Indicators,MATCH('Additional Impact Indicators'!$A101,Materials!$D:$D,0),MATCH("diesel combustion",Materials!$1:$1,0))+SUMPRODUCT(Delay_emissions_table[Consumption of Petrol (kg) - Primary Scenario],IF(Delay_emissions_table[Form of Maintenance - Primary Scenario]="Life Extension",1,0))*INDEX(Indicators,MATCH('Additional Impact Indicators'!$A101,Materials!$D:$D,0),MATCH("petrol combustion",Materials!$1:$1,0))+IFERROR(SUMPRODUCT(TRANSPOSE(INDEX(elec_project_emissions,MATCH(Elec_scenario&amp;'Additional Impact Indicators'!$B101,INDEX(Electricity_projection,0,3),0)-1,0)),Delay_emissions_table[Consumption of electricity (MJ) - Primary Scenario],IF(Delay_emissions_table[Form of Maintenance - Primary Scenario]="Life Extension",1,0)),0))*Area_trans*Time_adj_Prim</f>
        <v>0</v>
      </c>
      <c r="AN101" s="251" cm="1">
        <f t="array" aca="1" ref="AN101" ca="1">(SUMPRODUCT(Delay_emissions_table[Consumption of Diesel (kg) - Primary Scenario],IF(Delay_emissions_table[Form of Maintenance - Primary Scenario]="Replacement",1,0))*INDEX(Indicators,MATCH('Additional Impact Indicators'!$A101,Materials!$D:$D,0),MATCH("diesel combustion",Materials!$1:$1,0))+SUMPRODUCT(Delay_emissions_table[Consumption of Petrol (kg) - Primary Scenario],IF(Delay_emissions_table[Form of Maintenance - Primary Scenario]="Replacement",1,0))*INDEX(Indicators,MATCH('Additional Impact Indicators'!$A101,Materials!$D:$D,0),MATCH("petrol combustion",Materials!$1:$1,0))+IFERROR(SUMPRODUCT(TRANSPOSE(INDEX(elec_project_emissions,MATCH(Elec_scenario&amp;'Additional Impact Indicators'!$B101,INDEX(Electricity_projection,0,3),0)-1,0)),Delay_emissions_table[Consumption of electricity (MJ) - Primary Scenario],IF(Delay_emissions_table[Form of Maintenance - Primary Scenario]="Replacement",1,0)),0))*Area_trans*Time_adj_Prim</f>
        <v>0</v>
      </c>
      <c r="AO101" s="252" t="e" cm="1">
        <f t="array" ref="AO10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1" s="252" t="e" cm="1">
        <f t="array" ref="AP10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1" s="253" t="e" cm="1">
        <f t="array" ref="AQ10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1" s="385" t="e" cm="1">
        <f t="array" ref="AR10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1" t="e">
        <f ca="1">SUMIF('Additional Impact Indicators'!$G101:$AQ101,"&lt;&gt;#N/A")</f>
        <v>#DIV/0!</v>
      </c>
      <c r="AW101" s="155" t="s">
        <v>597</v>
      </c>
      <c r="AX101" s="155" t="s">
        <v>508</v>
      </c>
      <c r="AY101" t="str">
        <f t="shared" si="7"/>
        <v>A2</v>
      </c>
      <c r="AZ101" s="155" t="s">
        <v>54</v>
      </c>
      <c r="BB101">
        <f>MATCH(Table3[[#This Row],[Indicator]],Material_Impacts[Look up],0)</f>
        <v>41</v>
      </c>
      <c r="BC101" s="246" cm="1">
        <f t="array" aca="1" ref="BC10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1" s="165" cm="1">
        <f t="array" ref="BD10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1" s="165" t="e">
        <f>Diesel_RawM_Sec*INDEX(Indicators,MATCH(Impacts_Additional[[#This Row],[Indicator]],Materials!$D:$D,0),MATCH("Diesel Combustion",Materials!$1:$1,0))*Diesel_density*Project_Area*Sec_Lays*Area_trans</f>
        <v>#DIV/0!</v>
      </c>
      <c r="BF101" s="35" t="e" cm="1">
        <f t="array" aca="1" ref="BF10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1" s="35" t="e" cm="1">
        <f t="array" aca="1" ref="BG10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1" t="e" cm="1">
        <f t="array" aca="1" ref="BH10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1" s="35" t="e" cm="1">
        <f t="array" aca="1" ref="BI10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1" s="35" t="e" cm="1">
        <f t="array" aca="1" ref="BJ10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1" t="e" cm="1">
        <f t="array" aca="1" ref="BK10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1" s="35" t="e" cm="1">
        <f t="array" aca="1" ref="BL10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1" s="35" t="e" cm="1">
        <f t="array" aca="1" ref="BM10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1" t="e" cm="1">
        <f t="array" aca="1" ref="BN10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1" s="35" t="e" cm="1">
        <f t="array" aca="1" ref="BO10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1" s="35" t="e" cm="1">
        <f t="array" aca="1" ref="BP10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1" t="e" cm="1">
        <f t="array" aca="1" ref="BQ10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1" s="35" t="e" cm="1">
        <f t="array" aca="1" ref="BR10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1" s="35" t="e" cm="1">
        <f t="array" aca="1" ref="BS10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1" t="e" cm="1">
        <f t="array" aca="1" ref="BT10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1" s="35" t="e" cm="1">
        <f t="array" aca="1" ref="BU10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1" s="35" t="e" cm="1">
        <f t="array" aca="1" ref="BV10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1" t="e" cm="1">
        <f t="array" aca="1" ref="BW10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1" s="35" t="e" cm="1">
        <f t="array" aca="1" ref="BX10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1" s="35" t="e" cm="1">
        <f t="array" aca="1" ref="BY10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1" t="e" cm="1">
        <f t="array" aca="1" ref="BZ10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1" s="35" t="e" cm="1">
        <f t="array" aca="1" ref="CA10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1" s="35" t="e" cm="1">
        <f t="array" aca="1" ref="CB10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1" t="e" cm="1">
        <f t="array" aca="1" ref="CC10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1" s="35" t="e" cm="1">
        <f t="array" aca="1" ref="CD10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1" s="35" t="e" cm="1">
        <f t="array" aca="1" ref="CE10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1" t="e" cm="1">
        <f t="array" aca="1" ref="CF10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1" s="165" cm="1">
        <f t="array" aca="1" ref="CG101"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1" s="375" cm="1">
        <f t="array" aca="1" ref="CH10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1" s="251" cm="1">
        <f t="array" aca="1" ref="CI101" ca="1">(SUMPRODUCT(Delay_emissions_table[Consumption of Diesel (kg) - Secondary Scenario],IF(Delay_emissions_table[Form of Maintenance - Secondary Scenario]="Life Extension",1,0))*INDEX(Indicators,MATCH('Additional Impact Indicators'!$A101,Materials!$D:$D,0),MATCH("diesel combustion",Materials!$1:$1,0))+SUMPRODUCT(Delay_emissions_table[Consumption of Petrol (kg) - Secondary Scenario],IF(Delay_emissions_table[Form of Maintenance - Secondary Scenario]="Life Extension",1,0))*INDEX(Indicators,MATCH('Additional Impact Indicators'!$A101,Materials!$D:$D,0),MATCH("petrol combustion",Materials!$1:$1,0))+IFERROR(SUMPRODUCT(TRANSPOSE(INDEX(elec_project_emissions,MATCH(Elec_scenario&amp;'Additional Impact Indicators'!$B101,INDEX(Electricity_projection,0,3),0)-1,0)),Delay_emissions_table[Consumption of electricity (MJ) - Secondary Scenario],IF(Delay_emissions_table[Form of Maintenance - Secondary Scenario]="Life Extension",1,0)),0))*Area_trans*time_adj_Sec</f>
        <v>0</v>
      </c>
      <c r="CJ101" s="251" cm="1">
        <f t="array" aca="1" ref="CJ101" ca="1">(SUMPRODUCT(Delay_emissions_table[Consumption of Diesel (kg) - Secondary Scenario],IF(Delay_emissions_table[Form of Maintenance - Secondary Scenario]="Replacement",1,0))*INDEX(Indicators,MATCH('Additional Impact Indicators'!$A101,Materials!$D:$D,0),MATCH("diesel combustion",Materials!$1:$1,0))+SUMPRODUCT(Delay_emissions_table[Consumption of Petrol (kg) - Secondary Scenario],IF(Delay_emissions_table[Form of Maintenance - Secondary Scenario]="Replacement",1,0))*INDEX(Indicators,MATCH('Additional Impact Indicators'!$A101,Materials!$D:$D,0),MATCH("petrol combustion",Materials!$1:$1,0))+IFERROR(SUMPRODUCT(TRANSPOSE(INDEX(elec_project_emissions,MATCH(Elec_scenario&amp;'Additional Impact Indicators'!$B101,INDEX(Electricity_projection,0,3),0)-1,0)),Delay_emissions_table[Consumption of electricity (MJ) - Secondary Scenario],IF(Delay_emissions_table[Form of Maintenance - Secondary Scenario]="Replacement",1,0)),0))*Area_trans*time_adj_Sec</f>
        <v>0</v>
      </c>
      <c r="CK101" s="252" t="e" cm="1">
        <f t="array" ref="CK10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1" s="252" t="e" cm="1">
        <f t="array" ref="CL10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1" s="253" t="e" cm="1">
        <f t="array" ref="CM10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1" s="387" t="e" cm="1">
        <f t="array" ref="CN10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1" s="51" t="e">
        <f ca="1">SUMIF(Table3[[#This Row],[Raw-Materials]:[Transport to recycling facility]],"&lt;&gt;#N/A")</f>
        <v>#DIV/0!</v>
      </c>
      <c r="CT101" t="s">
        <v>597</v>
      </c>
      <c r="CU101" t="s">
        <v>508</v>
      </c>
      <c r="CV101" t="str">
        <f t="shared" si="6"/>
        <v>A2</v>
      </c>
      <c r="CW101" t="s">
        <v>54</v>
      </c>
      <c r="CY101">
        <f>MATCH(Table611[[#This Row],[Indicator]],Material_Impacts[Look up],0)</f>
        <v>41</v>
      </c>
      <c r="CZ101" s="246" cm="1">
        <f t="array" aca="1" ref="CZ10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1" s="165" cm="1">
        <f t="array" ref="DA10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1" s="165" t="e">
        <f>Diesel_RawM_Tert*INDEX(Indicators,MATCH(Impacts_Additional[[#This Row],[Indicator]],Materials!$D:$D,0),MATCH("Diesel Combustion",Materials!$1:$1,0))*Diesel_density*Project_Area*Tert_Lays*Area_trans</f>
        <v>#DIV/0!</v>
      </c>
      <c r="DC101" s="35" t="e" cm="1">
        <f t="array" aca="1" ref="DC10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1" s="35" t="e" cm="1">
        <f t="array" aca="1" ref="DD10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1" t="e" cm="1">
        <f t="array" aca="1" ref="DE10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1" s="35" t="e" cm="1">
        <f t="array" aca="1" ref="DF10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1" s="35" t="e" cm="1">
        <f t="array" aca="1" ref="DG10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1" t="e" cm="1">
        <f t="array" aca="1" ref="DH10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1" s="35" t="e" cm="1">
        <f t="array" aca="1" ref="DI10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1" s="35" t="e" cm="1">
        <f t="array" aca="1" ref="DJ10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1" t="e" cm="1">
        <f t="array" aca="1" ref="DK10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1" s="35" t="e" cm="1">
        <f t="array" aca="1" ref="DL10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1" s="35" t="e" cm="1">
        <f t="array" aca="1" ref="DM10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1" t="e" cm="1">
        <f t="array" aca="1" ref="DN10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1" s="35" t="e" cm="1">
        <f t="array" aca="1" ref="DO10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1" s="35" t="e" cm="1">
        <f t="array" aca="1" ref="DP10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1" t="e" cm="1">
        <f t="array" aca="1" ref="DQ10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1" s="35" t="e" cm="1">
        <f t="array" aca="1" ref="DR10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1" s="35" t="e" cm="1">
        <f t="array" aca="1" ref="DS10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1" t="e" cm="1">
        <f t="array" aca="1" ref="DT10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1" s="35" t="e" cm="1">
        <f t="array" aca="1" ref="DU10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1" s="35" t="e" cm="1">
        <f t="array" aca="1" ref="DV10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1" t="e" cm="1">
        <f t="array" aca="1" ref="DW10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1" s="35" t="e" cm="1">
        <f t="array" aca="1" ref="DX10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1" s="35" t="e" cm="1">
        <f t="array" aca="1" ref="DY10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1" t="e" cm="1">
        <f t="array" aca="1" ref="DZ10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1" s="35" t="e" cm="1">
        <f t="array" aca="1" ref="EA10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1" s="35" t="e" cm="1">
        <f t="array" aca="1" ref="EB10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1" t="e" cm="1">
        <f t="array" aca="1" ref="EC10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1" s="165" cm="1">
        <f t="array" aca="1" ref="ED101"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1" s="375" cm="1">
        <f t="array" aca="1" ref="EE10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1" s="251" cm="1">
        <f t="array" aca="1" ref="EF101" ca="1">(SUMPRODUCT(Delay_emissions_table[Consumption of Diesel (kg) - Tertiary Scenario],IF(Delay_emissions_table[Form of Maintenance - Tertiary Scenario]="Life Extension",1,0))*INDEX(Indicators,MATCH('Additional Impact Indicators'!$A101,Materials!$D:$D,0),MATCH("diesel combustion",Materials!$1:$1,0))+SUMPRODUCT(Delay_emissions_table[Consumption of Petrol (kg) - Tertiary Scenario],IF(Delay_emissions_table[Form of Maintenance - Tertiary Scenario]="Life Extension",1,0))*INDEX(Indicators,MATCH('Additional Impact Indicators'!$A101,Materials!$D:$D,0),MATCH("petrol combustion",Materials!$1:$1,0))+IFERROR(SUMPRODUCT(TRANSPOSE(INDEX(elec_project_emissions,MATCH(Elec_scenario&amp;'Additional Impact Indicators'!$B101,INDEX(Electricity_projection,0,3),0)-1,0)),Delay_emissions_table[Consumption of electricity (MJ) - Tertiary Scenario],IF(Delay_emissions_table[Form of Maintenance - Tertiary Scenario]="Life Extension",1,0)),0))*Area_trans*Time_adj_Tert</f>
        <v>0</v>
      </c>
      <c r="EG101" s="251" cm="1">
        <f t="array" aca="1" ref="EG101" ca="1">(SUMPRODUCT(Delay_emissions_table[Consumption of Diesel (kg) - Tertiary Scenario],IF(Delay_emissions_table[Form of Maintenance - Tertiary Scenario]="Replacement",1,0))*INDEX(Indicators,MATCH('Additional Impact Indicators'!$A101,Materials!$D:$D,0),MATCH("diesel combustion",Materials!$1:$1,0))+SUMPRODUCT(Delay_emissions_table[Consumption of Petrol (kg) - Tertiary Scenario],IF(Delay_emissions_table[Form of Maintenance - Tertiary Scenario]="Replacement",1,0))*INDEX(Indicators,MATCH('Additional Impact Indicators'!$A101,Materials!$D:$D,0),MATCH("petrol combustion",Materials!$1:$1,0))+IFERROR(SUMPRODUCT(TRANSPOSE(INDEX(elec_project_emissions,MATCH(Elec_scenario&amp;'Additional Impact Indicators'!$B101,INDEX(Electricity_projection,0,3),0)-1,0)),Delay_emissions_table[Consumption of electricity (MJ) - Tertiary Scenario],IF(Delay_emissions_table[Form of Maintenance - Tertiary Scenario]="Replacement",1,0)),0))*Area_trans*Time_adj_Tert</f>
        <v>0</v>
      </c>
      <c r="EH101" s="252" t="e" cm="1">
        <f t="array" ref="EH10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1" s="252" t="e" cm="1">
        <f t="array" ref="EI10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1" s="253" t="e" cm="1">
        <f t="array" ref="EJ10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1" s="253" t="e" cm="1">
        <f t="array" ref="EK10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1" t="e">
        <f ca="1">SUMIF(Table611[[#This Row],[Raw-Materials]:[Transport to recycling facility]],"&lt;&gt;#N/A")</f>
        <v>#DIV/0!</v>
      </c>
    </row>
    <row r="102" spans="1:142" x14ac:dyDescent="0.35">
      <c r="A102" t="s">
        <v>598</v>
      </c>
      <c r="B102" t="s">
        <v>510</v>
      </c>
      <c r="C102" t="str">
        <f t="shared" si="5"/>
        <v>A2</v>
      </c>
      <c r="D102" t="s">
        <v>54</v>
      </c>
      <c r="F102">
        <f>MATCH(Impacts_Additional[[#This Row],[Indicator]],Material_Impacts[Look up],0)</f>
        <v>42</v>
      </c>
      <c r="G102" s="246" cm="1">
        <f t="array" aca="1" ref="G10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2" s="166" cm="1">
        <f t="array" ref="H10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2" s="166" t="e">
        <f>Diesel_RawM_Prim*INDEX(Indicators,MATCH(Impacts_Additional[[#This Row],[Indicator]],Materials!$D:$D,0),MATCH("Diesel Combustion",Materials!$1:$1,0))*Diesel_density*Project_Area*Prim_Lays*Area_trans</f>
        <v>#DIV/0!</v>
      </c>
      <c r="J102" s="20" t="e" cm="1">
        <f t="array" aca="1" ref="J10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2" s="20" t="e" cm="1">
        <f t="array" aca="1" ref="K10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2" s="20" t="e" cm="1">
        <f t="array" aca="1" ref="L10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2" s="20" t="e" cm="1">
        <f t="array" aca="1" ref="M10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2" s="20" t="e" cm="1">
        <f t="array" aca="1" ref="N10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2" s="20" t="e" cm="1">
        <f t="array" aca="1" ref="O10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2" s="20" t="e" cm="1">
        <f t="array" aca="1" ref="P10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2" s="20" t="e" cm="1">
        <f t="array" aca="1" ref="Q10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2" s="20" t="e" cm="1">
        <f t="array" aca="1" ref="R10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2" s="20" t="e" cm="1">
        <f t="array" aca="1" ref="S10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2" s="20" t="e" cm="1">
        <f t="array" aca="1" ref="T10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2" s="20" t="e" cm="1">
        <f t="array" aca="1" ref="U10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2" s="20" t="e" cm="1">
        <f t="array" aca="1" ref="V10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2" s="20" t="e" cm="1">
        <f t="array" aca="1" ref="W10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2" s="20" t="e" cm="1">
        <f t="array" aca="1" ref="X10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2" s="20" t="e" cm="1">
        <f t="array" aca="1" ref="Y10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2" s="20" t="e" cm="1">
        <f t="array" aca="1" ref="Z10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2" s="20" t="e" cm="1">
        <f t="array" aca="1" ref="AA10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2" s="20" t="e" cm="1">
        <f t="array" aca="1" ref="AB10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2" s="20" t="e" cm="1">
        <f t="array" aca="1" ref="AC10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2" s="20" t="e" cm="1">
        <f t="array" aca="1" ref="AD10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2" s="20" t="e" cm="1">
        <f t="array" aca="1" ref="AE10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2" s="20" t="e" cm="1">
        <f t="array" aca="1" ref="AF10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2" s="20" t="e" cm="1">
        <f t="array" aca="1" ref="AG10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2" s="20" t="e" cm="1">
        <f t="array" aca="1" ref="AH10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2" s="20" t="e" cm="1">
        <f t="array" aca="1" ref="AI10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2" s="20" t="e" cm="1">
        <f t="array" aca="1" ref="AJ10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2" s="166" cm="1">
        <f t="array" aca="1" ref="AK102"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2" s="1" cm="1">
        <f t="array" aca="1" ref="AL10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2" s="247" cm="1">
        <f t="array" aca="1" ref="AM102" ca="1">(SUMPRODUCT(Delay_emissions_table[Consumption of Diesel (kg) - Primary Scenario],IF(Delay_emissions_table[Form of Maintenance - Primary Scenario]="Life Extension",1,0))*INDEX(Indicators,MATCH('Additional Impact Indicators'!$A102,Materials!$D:$D,0),MATCH("diesel combustion",Materials!$1:$1,0))+SUMPRODUCT(Delay_emissions_table[Consumption of Petrol (kg) - Primary Scenario],IF(Delay_emissions_table[Form of Maintenance - Primary Scenario]="Life Extension",1,0))*INDEX(Indicators,MATCH('Additional Impact Indicators'!$A102,Materials!$D:$D,0),MATCH("petrol combustion",Materials!$1:$1,0))+IFERROR(SUMPRODUCT(TRANSPOSE(INDEX(elec_project_emissions,MATCH(Elec_scenario&amp;'Additional Impact Indicators'!$B102,INDEX(Electricity_projection,0,3),0)-1,0)),Delay_emissions_table[Consumption of electricity (MJ) - Primary Scenario],IF(Delay_emissions_table[Form of Maintenance - Primary Scenario]="Life Extension",1,0)),0))*Area_trans*Time_adj_Prim</f>
        <v>0</v>
      </c>
      <c r="AN102" s="247" cm="1">
        <f t="array" aca="1" ref="AN102" ca="1">(SUMPRODUCT(Delay_emissions_table[Consumption of Diesel (kg) - Primary Scenario],IF(Delay_emissions_table[Form of Maintenance - Primary Scenario]="Replacement",1,0))*INDEX(Indicators,MATCH('Additional Impact Indicators'!$A102,Materials!$D:$D,0),MATCH("diesel combustion",Materials!$1:$1,0))+SUMPRODUCT(Delay_emissions_table[Consumption of Petrol (kg) - Primary Scenario],IF(Delay_emissions_table[Form of Maintenance - Primary Scenario]="Replacement",1,0))*INDEX(Indicators,MATCH('Additional Impact Indicators'!$A102,Materials!$D:$D,0),MATCH("petrol combustion",Materials!$1:$1,0))+IFERROR(SUMPRODUCT(TRANSPOSE(INDEX(elec_project_emissions,MATCH(Elec_scenario&amp;'Additional Impact Indicators'!$B102,INDEX(Electricity_projection,0,3),0)-1,0)),Delay_emissions_table[Consumption of electricity (MJ) - Primary Scenario],IF(Delay_emissions_table[Form of Maintenance - Primary Scenario]="Replacement",1,0)),0))*Area_trans*Time_adj_Prim</f>
        <v>0</v>
      </c>
      <c r="AO102" s="248" t="e" cm="1">
        <f t="array" ref="AO10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2" s="248" t="e" cm="1">
        <f t="array" ref="AP10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2" s="249" t="e" cm="1">
        <f t="array" ref="AQ10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2" s="386" t="e" cm="1">
        <f t="array" ref="AR10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2" t="e">
        <f ca="1">SUMIF('Additional Impact Indicators'!$G102:$AQ102,"&lt;&gt;#N/A")</f>
        <v>#DIV/0!</v>
      </c>
      <c r="AW102" t="s">
        <v>598</v>
      </c>
      <c r="AX102" t="s">
        <v>510</v>
      </c>
      <c r="AY102" t="str">
        <f t="shared" si="7"/>
        <v>A2</v>
      </c>
      <c r="AZ102" t="s">
        <v>54</v>
      </c>
      <c r="BB102">
        <f>MATCH(Table3[[#This Row],[Indicator]],Material_Impacts[Look up],0)</f>
        <v>42</v>
      </c>
      <c r="BC102" s="246" cm="1">
        <f t="array" aca="1" ref="BC10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2" s="166" cm="1">
        <f t="array" ref="BD10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2" s="166" t="e">
        <f>Diesel_RawM_Sec*INDEX(Indicators,MATCH(Impacts_Additional[[#This Row],[Indicator]],Materials!$D:$D,0),MATCH("Diesel Combustion",Materials!$1:$1,0))*Diesel_density*Project_Area*Sec_Lays*Area_trans</f>
        <v>#DIV/0!</v>
      </c>
      <c r="BF102" s="35" t="e" cm="1">
        <f t="array" aca="1" ref="BF10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2" s="35" t="e" cm="1">
        <f t="array" aca="1" ref="BG10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2" t="e" cm="1">
        <f t="array" aca="1" ref="BH10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2" s="35" t="e" cm="1">
        <f t="array" aca="1" ref="BI10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2" s="35" t="e" cm="1">
        <f t="array" aca="1" ref="BJ10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2" t="e" cm="1">
        <f t="array" aca="1" ref="BK10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2" s="35" t="e" cm="1">
        <f t="array" aca="1" ref="BL10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2" s="35" t="e" cm="1">
        <f t="array" aca="1" ref="BM10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2" t="e" cm="1">
        <f t="array" aca="1" ref="BN10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2" s="35" t="e" cm="1">
        <f t="array" aca="1" ref="BO10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2" s="35" t="e" cm="1">
        <f t="array" aca="1" ref="BP10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2" t="e" cm="1">
        <f t="array" aca="1" ref="BQ10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2" s="35" t="e" cm="1">
        <f t="array" aca="1" ref="BR10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2" s="35" t="e" cm="1">
        <f t="array" aca="1" ref="BS10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2" t="e" cm="1">
        <f t="array" aca="1" ref="BT10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2" s="35" t="e" cm="1">
        <f t="array" aca="1" ref="BU10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2" s="35" t="e" cm="1">
        <f t="array" aca="1" ref="BV10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2" t="e" cm="1">
        <f t="array" aca="1" ref="BW10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2" s="35" t="e" cm="1">
        <f t="array" aca="1" ref="BX10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2" s="35" t="e" cm="1">
        <f t="array" aca="1" ref="BY10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2" t="e" cm="1">
        <f t="array" aca="1" ref="BZ10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2" s="35" t="e" cm="1">
        <f t="array" aca="1" ref="CA10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2" s="35" t="e" cm="1">
        <f t="array" aca="1" ref="CB10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2" t="e" cm="1">
        <f t="array" aca="1" ref="CC10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2" s="35" t="e" cm="1">
        <f t="array" aca="1" ref="CD10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2" s="35" t="e" cm="1">
        <f t="array" aca="1" ref="CE10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2" t="e" cm="1">
        <f t="array" aca="1" ref="CF10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2" s="166" cm="1">
        <f t="array" aca="1" ref="CG102"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2" s="375" cm="1">
        <f t="array" aca="1" ref="CH10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2" s="247" cm="1">
        <f t="array" aca="1" ref="CI102" ca="1">(SUMPRODUCT(Delay_emissions_table[Consumption of Diesel (kg) - Secondary Scenario],IF(Delay_emissions_table[Form of Maintenance - Secondary Scenario]="Life Extension",1,0))*INDEX(Indicators,MATCH('Additional Impact Indicators'!$A102,Materials!$D:$D,0),MATCH("diesel combustion",Materials!$1:$1,0))+SUMPRODUCT(Delay_emissions_table[Consumption of Petrol (kg) - Secondary Scenario],IF(Delay_emissions_table[Form of Maintenance - Secondary Scenario]="Life Extension",1,0))*INDEX(Indicators,MATCH('Additional Impact Indicators'!$A102,Materials!$D:$D,0),MATCH("petrol combustion",Materials!$1:$1,0))+IFERROR(SUMPRODUCT(TRANSPOSE(INDEX(elec_project_emissions,MATCH(Elec_scenario&amp;'Additional Impact Indicators'!$B102,INDEX(Electricity_projection,0,3),0)-1,0)),Delay_emissions_table[Consumption of electricity (MJ) - Secondary Scenario],IF(Delay_emissions_table[Form of Maintenance - Secondary Scenario]="Life Extension",1,0)),0))*Area_trans*time_adj_Sec</f>
        <v>0</v>
      </c>
      <c r="CJ102" s="247" cm="1">
        <f t="array" aca="1" ref="CJ102" ca="1">(SUMPRODUCT(Delay_emissions_table[Consumption of Diesel (kg) - Secondary Scenario],IF(Delay_emissions_table[Form of Maintenance - Secondary Scenario]="Replacement",1,0))*INDEX(Indicators,MATCH('Additional Impact Indicators'!$A102,Materials!$D:$D,0),MATCH("diesel combustion",Materials!$1:$1,0))+SUMPRODUCT(Delay_emissions_table[Consumption of Petrol (kg) - Secondary Scenario],IF(Delay_emissions_table[Form of Maintenance - Secondary Scenario]="Replacement",1,0))*INDEX(Indicators,MATCH('Additional Impact Indicators'!$A102,Materials!$D:$D,0),MATCH("petrol combustion",Materials!$1:$1,0))+IFERROR(SUMPRODUCT(TRANSPOSE(INDEX(elec_project_emissions,MATCH(Elec_scenario&amp;'Additional Impact Indicators'!$B102,INDEX(Electricity_projection,0,3),0)-1,0)),Delay_emissions_table[Consumption of electricity (MJ) - Secondary Scenario],IF(Delay_emissions_table[Form of Maintenance - Secondary Scenario]="Replacement",1,0)),0))*Area_trans*time_adj_Sec</f>
        <v>0</v>
      </c>
      <c r="CK102" s="248" t="e" cm="1">
        <f t="array" ref="CK10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2" s="248" t="e" cm="1">
        <f t="array" ref="CL10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2" s="249" t="e" cm="1">
        <f t="array" ref="CM10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2" s="387" t="e" cm="1">
        <f t="array" ref="CN10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2" s="51" t="e">
        <f ca="1">SUMIF(Table3[[#This Row],[Raw-Materials]:[Transport to recycling facility]],"&lt;&gt;#N/A")</f>
        <v>#DIV/0!</v>
      </c>
      <c r="CT102" t="s">
        <v>598</v>
      </c>
      <c r="CU102" t="s">
        <v>510</v>
      </c>
      <c r="CV102" t="str">
        <f t="shared" si="6"/>
        <v>A2</v>
      </c>
      <c r="CW102" t="s">
        <v>54</v>
      </c>
      <c r="CY102">
        <f>MATCH(Table611[[#This Row],[Indicator]],Material_Impacts[Look up],0)</f>
        <v>42</v>
      </c>
      <c r="CZ102" s="246" cm="1">
        <f t="array" aca="1" ref="CZ10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2" s="166" cm="1">
        <f t="array" ref="DA10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2" s="166" t="e">
        <f>Diesel_RawM_Tert*INDEX(Indicators,MATCH(Impacts_Additional[[#This Row],[Indicator]],Materials!$D:$D,0),MATCH("Diesel Combustion",Materials!$1:$1,0))*Diesel_density*Project_Area*Tert_Lays*Area_trans</f>
        <v>#DIV/0!</v>
      </c>
      <c r="DC102" s="35" t="e" cm="1">
        <f t="array" aca="1" ref="DC10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2" s="35" t="e" cm="1">
        <f t="array" aca="1" ref="DD10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2" t="e" cm="1">
        <f t="array" aca="1" ref="DE10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2" s="35" t="e" cm="1">
        <f t="array" aca="1" ref="DF10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2" s="35" t="e" cm="1">
        <f t="array" aca="1" ref="DG10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2" t="e" cm="1">
        <f t="array" aca="1" ref="DH10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2" s="35" t="e" cm="1">
        <f t="array" aca="1" ref="DI10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2" s="35" t="e" cm="1">
        <f t="array" aca="1" ref="DJ10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2" t="e" cm="1">
        <f t="array" aca="1" ref="DK10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2" s="35" t="e" cm="1">
        <f t="array" aca="1" ref="DL10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2" s="35" t="e" cm="1">
        <f t="array" aca="1" ref="DM10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2" t="e" cm="1">
        <f t="array" aca="1" ref="DN10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2" s="35" t="e" cm="1">
        <f t="array" aca="1" ref="DO10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2" s="35" t="e" cm="1">
        <f t="array" aca="1" ref="DP10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2" t="e" cm="1">
        <f t="array" aca="1" ref="DQ10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2" s="35" t="e" cm="1">
        <f t="array" aca="1" ref="DR10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2" s="35" t="e" cm="1">
        <f t="array" aca="1" ref="DS10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2" t="e" cm="1">
        <f t="array" aca="1" ref="DT10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2" s="35" t="e" cm="1">
        <f t="array" aca="1" ref="DU10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2" s="35" t="e" cm="1">
        <f t="array" aca="1" ref="DV10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2" t="e" cm="1">
        <f t="array" aca="1" ref="DW10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2" s="35" t="e" cm="1">
        <f t="array" aca="1" ref="DX10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2" s="35" t="e" cm="1">
        <f t="array" aca="1" ref="DY10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2" t="e" cm="1">
        <f t="array" aca="1" ref="DZ10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2" s="35" t="e" cm="1">
        <f t="array" aca="1" ref="EA10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2" s="35" t="e" cm="1">
        <f t="array" aca="1" ref="EB10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2" t="e" cm="1">
        <f t="array" aca="1" ref="EC10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2" s="166" cm="1">
        <f t="array" aca="1" ref="ED102"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2" s="375" cm="1">
        <f t="array" aca="1" ref="EE10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2" s="247" cm="1">
        <f t="array" aca="1" ref="EF102" ca="1">(SUMPRODUCT(Delay_emissions_table[Consumption of Diesel (kg) - Tertiary Scenario],IF(Delay_emissions_table[Form of Maintenance - Tertiary Scenario]="Life Extension",1,0))*INDEX(Indicators,MATCH('Additional Impact Indicators'!$A102,Materials!$D:$D,0),MATCH("diesel combustion",Materials!$1:$1,0))+SUMPRODUCT(Delay_emissions_table[Consumption of Petrol (kg) - Tertiary Scenario],IF(Delay_emissions_table[Form of Maintenance - Tertiary Scenario]="Life Extension",1,0))*INDEX(Indicators,MATCH('Additional Impact Indicators'!$A102,Materials!$D:$D,0),MATCH("petrol combustion",Materials!$1:$1,0))+IFERROR(SUMPRODUCT(TRANSPOSE(INDEX(elec_project_emissions,MATCH(Elec_scenario&amp;'Additional Impact Indicators'!$B102,INDEX(Electricity_projection,0,3),0)-1,0)),Delay_emissions_table[Consumption of electricity (MJ) - Tertiary Scenario],IF(Delay_emissions_table[Form of Maintenance - Tertiary Scenario]="Life Extension",1,0)),0))*Area_trans*Time_adj_Tert</f>
        <v>0</v>
      </c>
      <c r="EG102" s="247" cm="1">
        <f t="array" aca="1" ref="EG102" ca="1">(SUMPRODUCT(Delay_emissions_table[Consumption of Diesel (kg) - Tertiary Scenario],IF(Delay_emissions_table[Form of Maintenance - Tertiary Scenario]="Replacement",1,0))*INDEX(Indicators,MATCH('Additional Impact Indicators'!$A102,Materials!$D:$D,0),MATCH("diesel combustion",Materials!$1:$1,0))+SUMPRODUCT(Delay_emissions_table[Consumption of Petrol (kg) - Tertiary Scenario],IF(Delay_emissions_table[Form of Maintenance - Tertiary Scenario]="Replacement",1,0))*INDEX(Indicators,MATCH('Additional Impact Indicators'!$A102,Materials!$D:$D,0),MATCH("petrol combustion",Materials!$1:$1,0))+IFERROR(SUMPRODUCT(TRANSPOSE(INDEX(elec_project_emissions,MATCH(Elec_scenario&amp;'Additional Impact Indicators'!$B102,INDEX(Electricity_projection,0,3),0)-1,0)),Delay_emissions_table[Consumption of electricity (MJ) - Tertiary Scenario],IF(Delay_emissions_table[Form of Maintenance - Tertiary Scenario]="Replacement",1,0)),0))*Area_trans*Time_adj_Tert</f>
        <v>0</v>
      </c>
      <c r="EH102" s="248" t="e" cm="1">
        <f t="array" ref="EH10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2" s="248" t="e" cm="1">
        <f t="array" ref="EI10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2" s="249" t="e" cm="1">
        <f t="array" ref="EJ10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2" s="249" t="e" cm="1">
        <f t="array" ref="EK10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2" t="e">
        <f ca="1">SUMIF(Table611[[#This Row],[Raw-Materials]:[Transport to recycling facility]],"&lt;&gt;#N/A")</f>
        <v>#DIV/0!</v>
      </c>
    </row>
    <row r="103" spans="1:142" x14ac:dyDescent="0.35">
      <c r="A103" s="155" t="s">
        <v>599</v>
      </c>
      <c r="B103" s="155" t="s">
        <v>512</v>
      </c>
      <c r="C103" s="155" t="str">
        <f t="shared" si="5"/>
        <v>A2</v>
      </c>
      <c r="D103" s="155" t="s">
        <v>54</v>
      </c>
      <c r="E103" s="155"/>
      <c r="F103">
        <f>MATCH(Impacts_Additional[[#This Row],[Indicator]],Material_Impacts[Look up],0)</f>
        <v>43</v>
      </c>
      <c r="G103" s="246" cm="1">
        <f t="array" aca="1" ref="G10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3" s="165" cm="1">
        <f t="array" ref="H10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3" s="165" t="e">
        <f>Diesel_RawM_Prim*INDEX(Indicators,MATCH(Impacts_Additional[[#This Row],[Indicator]],Materials!$D:$D,0),MATCH("Diesel Combustion",Materials!$1:$1,0))*Diesel_density*Project_Area*Prim_Lays*Area_trans</f>
        <v>#DIV/0!</v>
      </c>
      <c r="J103" s="250" t="e" cm="1">
        <f t="array" aca="1" ref="J10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3" s="250" t="e" cm="1">
        <f t="array" aca="1" ref="K10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3" s="250" t="e" cm="1">
        <f t="array" aca="1" ref="L10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3" s="250" t="e" cm="1">
        <f t="array" aca="1" ref="M10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3" s="250" t="e" cm="1">
        <f t="array" aca="1" ref="N10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3" s="250" t="e" cm="1">
        <f t="array" aca="1" ref="O10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3" s="250" t="e" cm="1">
        <f t="array" aca="1" ref="P10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3" s="250" t="e" cm="1">
        <f t="array" aca="1" ref="Q10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3" s="250" t="e" cm="1">
        <f t="array" aca="1" ref="R10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3" s="250" t="e" cm="1">
        <f t="array" aca="1" ref="S10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3" s="250" t="e" cm="1">
        <f t="array" aca="1" ref="T10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3" s="250" t="e" cm="1">
        <f t="array" aca="1" ref="U10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3" s="250" t="e" cm="1">
        <f t="array" aca="1" ref="V10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3" s="250" t="e" cm="1">
        <f t="array" aca="1" ref="W10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3" s="250" t="e" cm="1">
        <f t="array" aca="1" ref="X10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3" s="250" t="e" cm="1">
        <f t="array" aca="1" ref="Y10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3" s="250" t="e" cm="1">
        <f t="array" aca="1" ref="Z10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3" s="250" t="e" cm="1">
        <f t="array" aca="1" ref="AA10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3" s="250" t="e" cm="1">
        <f t="array" aca="1" ref="AB10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3" s="250" t="e" cm="1">
        <f t="array" aca="1" ref="AC10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3" s="250" t="e" cm="1">
        <f t="array" aca="1" ref="AD10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3" s="250" t="e" cm="1">
        <f t="array" aca="1" ref="AE10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3" s="250" t="e" cm="1">
        <f t="array" aca="1" ref="AF10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3" s="250" t="e" cm="1">
        <f t="array" aca="1" ref="AG10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3" s="250" t="e" cm="1">
        <f t="array" aca="1" ref="AH10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3" s="250" t="e" cm="1">
        <f t="array" aca="1" ref="AI10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3" s="250" t="e" cm="1">
        <f t="array" aca="1" ref="AJ10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3" s="165" cm="1">
        <f t="array" aca="1" ref="AK103"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3" s="254" cm="1">
        <f t="array" aca="1" ref="AL103"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3" s="251" cm="1">
        <f t="array" aca="1" ref="AM103" ca="1">(SUMPRODUCT(Delay_emissions_table[Consumption of Diesel (kg) - Primary Scenario],IF(Delay_emissions_table[Form of Maintenance - Primary Scenario]="Life Extension",1,0))*INDEX(Indicators,MATCH('Additional Impact Indicators'!$A103,Materials!$D:$D,0),MATCH("diesel combustion",Materials!$1:$1,0))+SUMPRODUCT(Delay_emissions_table[Consumption of Petrol (kg) - Primary Scenario],IF(Delay_emissions_table[Form of Maintenance - Primary Scenario]="Life Extension",1,0))*INDEX(Indicators,MATCH('Additional Impact Indicators'!$A103,Materials!$D:$D,0),MATCH("petrol combustion",Materials!$1:$1,0))+IFERROR(SUMPRODUCT(TRANSPOSE(INDEX(elec_project_emissions,MATCH(Elec_scenario&amp;'Additional Impact Indicators'!$B103,INDEX(Electricity_projection,0,3),0)-1,0)),Delay_emissions_table[Consumption of electricity (MJ) - Primary Scenario],IF(Delay_emissions_table[Form of Maintenance - Primary Scenario]="Life Extension",1,0)),0))*Area_trans*Time_adj_Prim</f>
        <v>0</v>
      </c>
      <c r="AN103" s="251" cm="1">
        <f t="array" aca="1" ref="AN103" ca="1">(SUMPRODUCT(Delay_emissions_table[Consumption of Diesel (kg) - Primary Scenario],IF(Delay_emissions_table[Form of Maintenance - Primary Scenario]="Replacement",1,0))*INDEX(Indicators,MATCH('Additional Impact Indicators'!$A103,Materials!$D:$D,0),MATCH("diesel combustion",Materials!$1:$1,0))+SUMPRODUCT(Delay_emissions_table[Consumption of Petrol (kg) - Primary Scenario],IF(Delay_emissions_table[Form of Maintenance - Primary Scenario]="Replacement",1,0))*INDEX(Indicators,MATCH('Additional Impact Indicators'!$A103,Materials!$D:$D,0),MATCH("petrol combustion",Materials!$1:$1,0))+IFERROR(SUMPRODUCT(TRANSPOSE(INDEX(elec_project_emissions,MATCH(Elec_scenario&amp;'Additional Impact Indicators'!$B103,INDEX(Electricity_projection,0,3),0)-1,0)),Delay_emissions_table[Consumption of electricity (MJ) - Primary Scenario],IF(Delay_emissions_table[Form of Maintenance - Primary Scenario]="Replacement",1,0)),0))*Area_trans*Time_adj_Prim</f>
        <v>0</v>
      </c>
      <c r="AO103" s="252" t="e" cm="1">
        <f t="array" ref="AO10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3" s="252" t="e" cm="1">
        <f t="array" ref="AP10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3" s="253" t="e" cm="1">
        <f t="array" ref="AQ10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3" s="385" t="e" cm="1">
        <f t="array" ref="AR10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3" t="e">
        <f ca="1">SUMIF('Additional Impact Indicators'!$G103:$AQ103,"&lt;&gt;#N/A")</f>
        <v>#DIV/0!</v>
      </c>
      <c r="AW103" s="155" t="s">
        <v>599</v>
      </c>
      <c r="AX103" s="155" t="s">
        <v>512</v>
      </c>
      <c r="AY103" t="str">
        <f t="shared" si="7"/>
        <v>A2</v>
      </c>
      <c r="AZ103" s="155" t="s">
        <v>54</v>
      </c>
      <c r="BB103">
        <f>MATCH(Table3[[#This Row],[Indicator]],Material_Impacts[Look up],0)</f>
        <v>43</v>
      </c>
      <c r="BC103" s="246" cm="1">
        <f t="array" aca="1" ref="BC103"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3" s="165" cm="1">
        <f t="array" ref="BD103">(IFERROR(INDEX(Sec_Materials[],1,5)*INDEX(Sec_Materials[],1,6)*INDEX(Material_Impacts[],MATCH(Impacts_Additional[[#This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3" s="165" t="e">
        <f>Diesel_RawM_Sec*INDEX(Indicators,MATCH(Impacts_Additional[[#This Row],[Indicator]],Materials!$D:$D,0),MATCH("Diesel Combustion",Materials!$1:$1,0))*Diesel_density*Project_Area*Sec_Lays*Area_trans</f>
        <v>#DIV/0!</v>
      </c>
      <c r="BF103" s="35" t="e" cm="1">
        <f t="array" aca="1" ref="BF10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3" s="35" t="e" cm="1">
        <f t="array" aca="1" ref="BG10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3" t="e" cm="1">
        <f t="array" aca="1" ref="BH10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3" s="35" t="e" cm="1">
        <f t="array" aca="1" ref="BI10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3" s="35" t="e" cm="1">
        <f t="array" aca="1" ref="BJ10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3" t="e" cm="1">
        <f t="array" aca="1" ref="BK10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3" s="35" t="e" cm="1">
        <f t="array" aca="1" ref="BL10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3" s="35" t="e" cm="1">
        <f t="array" aca="1" ref="BM10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3" t="e" cm="1">
        <f t="array" aca="1" ref="BN10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3" s="35" t="e" cm="1">
        <f t="array" aca="1" ref="BO10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3" s="35" t="e" cm="1">
        <f t="array" aca="1" ref="BP10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3" t="e" cm="1">
        <f t="array" aca="1" ref="BQ10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3" s="35" t="e" cm="1">
        <f t="array" aca="1" ref="BR10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3" s="35" t="e" cm="1">
        <f t="array" aca="1" ref="BS10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3" t="e" cm="1">
        <f t="array" aca="1" ref="BT10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3" s="35" t="e" cm="1">
        <f t="array" aca="1" ref="BU10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3" s="35" t="e" cm="1">
        <f t="array" aca="1" ref="BV10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3" t="e" cm="1">
        <f t="array" aca="1" ref="BW10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3" s="35" t="e" cm="1">
        <f t="array" aca="1" ref="BX10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3" s="35" t="e" cm="1">
        <f t="array" aca="1" ref="BY10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3" t="e" cm="1">
        <f t="array" aca="1" ref="BZ10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3" s="35" t="e" cm="1">
        <f t="array" aca="1" ref="CA10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3" s="35" t="e" cm="1">
        <f t="array" aca="1" ref="CB10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3" t="e" cm="1">
        <f t="array" aca="1" ref="CC10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3" s="35" t="e" cm="1">
        <f t="array" aca="1" ref="CD10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3" s="35" t="e" cm="1">
        <f t="array" aca="1" ref="CE10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3" t="e" cm="1">
        <f t="array" aca="1" ref="CF10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3" s="165" cm="1">
        <f t="array" aca="1" ref="CG103"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3" s="375" cm="1">
        <f t="array" aca="1" ref="CH103"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3" s="251" cm="1">
        <f t="array" aca="1" ref="CI103" ca="1">(SUMPRODUCT(Delay_emissions_table[Consumption of Diesel (kg) - Secondary Scenario],IF(Delay_emissions_table[Form of Maintenance - Secondary Scenario]="Life Extension",1,0))*INDEX(Indicators,MATCH('Additional Impact Indicators'!$A103,Materials!$D:$D,0),MATCH("diesel combustion",Materials!$1:$1,0))+SUMPRODUCT(Delay_emissions_table[Consumption of Petrol (kg) - Secondary Scenario],IF(Delay_emissions_table[Form of Maintenance - Secondary Scenario]="Life Extension",1,0))*INDEX(Indicators,MATCH('Additional Impact Indicators'!$A103,Materials!$D:$D,0),MATCH("petrol combustion",Materials!$1:$1,0))+IFERROR(SUMPRODUCT(TRANSPOSE(INDEX(elec_project_emissions,MATCH(Elec_scenario&amp;'Additional Impact Indicators'!$B103,INDEX(Electricity_projection,0,3),0)-1,0)),Delay_emissions_table[Consumption of electricity (MJ) - Secondary Scenario],IF(Delay_emissions_table[Form of Maintenance - Secondary Scenario]="Life Extension",1,0)),0))*Area_trans*time_adj_Sec</f>
        <v>0</v>
      </c>
      <c r="CJ103" s="251" cm="1">
        <f t="array" aca="1" ref="CJ103" ca="1">(SUMPRODUCT(Delay_emissions_table[Consumption of Diesel (kg) - Secondary Scenario],IF(Delay_emissions_table[Form of Maintenance - Secondary Scenario]="Replacement",1,0))*INDEX(Indicators,MATCH('Additional Impact Indicators'!$A103,Materials!$D:$D,0),MATCH("diesel combustion",Materials!$1:$1,0))+SUMPRODUCT(Delay_emissions_table[Consumption of Petrol (kg) - Secondary Scenario],IF(Delay_emissions_table[Form of Maintenance - Secondary Scenario]="Replacement",1,0))*INDEX(Indicators,MATCH('Additional Impact Indicators'!$A103,Materials!$D:$D,0),MATCH("petrol combustion",Materials!$1:$1,0))+IFERROR(SUMPRODUCT(TRANSPOSE(INDEX(elec_project_emissions,MATCH(Elec_scenario&amp;'Additional Impact Indicators'!$B103,INDEX(Electricity_projection,0,3),0)-1,0)),Delay_emissions_table[Consumption of electricity (MJ) - Secondary Scenario],IF(Delay_emissions_table[Form of Maintenance - Secondary Scenario]="Replacement",1,0)),0))*Area_trans*time_adj_Sec</f>
        <v>0</v>
      </c>
      <c r="CK103" s="252" t="e" cm="1">
        <f t="array" ref="CK103">(SUM(Sec_Materials[Thickness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3" s="252" t="e" cm="1">
        <f t="array" ref="CL103">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3" s="253" t="e" cm="1">
        <f t="array" ref="CM103">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3" s="387" t="e" cm="1">
        <f t="array" ref="CN10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3" s="51" t="e">
        <f ca="1">SUMIF(Table3[[#This Row],[Raw-Materials]:[Transport to recycling facility]],"&lt;&gt;#N/A")</f>
        <v>#DIV/0!</v>
      </c>
      <c r="CT103" t="s">
        <v>599</v>
      </c>
      <c r="CU103" t="s">
        <v>512</v>
      </c>
      <c r="CV103" t="str">
        <f t="shared" si="6"/>
        <v>A2</v>
      </c>
      <c r="CW103" t="s">
        <v>54</v>
      </c>
      <c r="CY103">
        <f>MATCH(Table611[[#This Row],[Indicator]],Material_Impacts[Look up],0)</f>
        <v>43</v>
      </c>
      <c r="CZ103" s="246" cm="1">
        <f t="array" aca="1" ref="CZ103"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3" s="165" cm="1">
        <f t="array" ref="DA103">(IFERROR(INDEX(Tert_Materials[],1,5)*INDEX(Tert_Materials[],1,6)*INDEX(Material_Impacts[],MATCH(Impacts_Additional[[#This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3" s="165" t="e">
        <f>Diesel_RawM_Tert*INDEX(Indicators,MATCH(Impacts_Additional[[#This Row],[Indicator]],Materials!$D:$D,0),MATCH("Diesel Combustion",Materials!$1:$1,0))*Diesel_density*Project_Area*Tert_Lays*Area_trans</f>
        <v>#DIV/0!</v>
      </c>
      <c r="DC103" s="35" t="e" cm="1">
        <f t="array" aca="1" ref="DC103"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3" s="35" t="e" cm="1">
        <f t="array" aca="1" ref="DD103"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3" t="e" cm="1">
        <f t="array" aca="1" ref="DE103"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3" s="35" t="e" cm="1">
        <f t="array" aca="1" ref="DF103"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3" s="35" t="e" cm="1">
        <f t="array" aca="1" ref="DG103"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3" t="e" cm="1">
        <f t="array" aca="1" ref="DH103"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3" s="35" t="e" cm="1">
        <f t="array" aca="1" ref="DI103"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3" s="35" t="e" cm="1">
        <f t="array" aca="1" ref="DJ103"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3" t="e" cm="1">
        <f t="array" aca="1" ref="DK103"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3" s="35" t="e" cm="1">
        <f t="array" aca="1" ref="DL103"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3" s="35" t="e" cm="1">
        <f t="array" aca="1" ref="DM103"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3" t="e" cm="1">
        <f t="array" aca="1" ref="DN103"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3" s="35" t="e" cm="1">
        <f t="array" aca="1" ref="DO103"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3" s="35" t="e" cm="1">
        <f t="array" aca="1" ref="DP103"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3" t="e" cm="1">
        <f t="array" aca="1" ref="DQ103"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3" s="35" t="e" cm="1">
        <f t="array" aca="1" ref="DR103"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3" s="35" t="e" cm="1">
        <f t="array" aca="1" ref="DS103"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3" t="e" cm="1">
        <f t="array" aca="1" ref="DT103"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3" s="35" t="e" cm="1">
        <f t="array" aca="1" ref="DU103"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3" s="35" t="e" cm="1">
        <f t="array" aca="1" ref="DV103"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3" t="e" cm="1">
        <f t="array" aca="1" ref="DW103"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3" s="35" t="e" cm="1">
        <f t="array" aca="1" ref="DX103"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3" s="35" t="e" cm="1">
        <f t="array" aca="1" ref="DY103"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3" t="e" cm="1">
        <f t="array" aca="1" ref="DZ103"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3" s="35" t="e" cm="1">
        <f t="array" aca="1" ref="EA103"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3" s="35" t="e" cm="1">
        <f t="array" aca="1" ref="EB103"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3" t="e" cm="1">
        <f t="array" aca="1" ref="EC103"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3" s="165" cm="1">
        <f t="array" aca="1" ref="ED103"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3" s="375" cm="1">
        <f t="array" aca="1" ref="EE103"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3" s="251" cm="1">
        <f t="array" aca="1" ref="EF103" ca="1">(SUMPRODUCT(Delay_emissions_table[Consumption of Diesel (kg) - Tertiary Scenario],IF(Delay_emissions_table[Form of Maintenance - Tertiary Scenario]="Life Extension",1,0))*INDEX(Indicators,MATCH('Additional Impact Indicators'!$A103,Materials!$D:$D,0),MATCH("diesel combustion",Materials!$1:$1,0))+SUMPRODUCT(Delay_emissions_table[Consumption of Petrol (kg) - Tertiary Scenario],IF(Delay_emissions_table[Form of Maintenance - Tertiary Scenario]="Life Extension",1,0))*INDEX(Indicators,MATCH('Additional Impact Indicators'!$A103,Materials!$D:$D,0),MATCH("petrol combustion",Materials!$1:$1,0))+IFERROR(SUMPRODUCT(TRANSPOSE(INDEX(elec_project_emissions,MATCH(Elec_scenario&amp;'Additional Impact Indicators'!$B103,INDEX(Electricity_projection,0,3),0)-1,0)),Delay_emissions_table[Consumption of electricity (MJ) - Tertiary Scenario],IF(Delay_emissions_table[Form of Maintenance - Tertiary Scenario]="Life Extension",1,0)),0))*Area_trans*Time_adj_Tert</f>
        <v>0</v>
      </c>
      <c r="EG103" s="251" cm="1">
        <f t="array" aca="1" ref="EG103" ca="1">(SUMPRODUCT(Delay_emissions_table[Consumption of Diesel (kg) - Tertiary Scenario],IF(Delay_emissions_table[Form of Maintenance - Tertiary Scenario]="Replacement",1,0))*INDEX(Indicators,MATCH('Additional Impact Indicators'!$A103,Materials!$D:$D,0),MATCH("diesel combustion",Materials!$1:$1,0))+SUMPRODUCT(Delay_emissions_table[Consumption of Petrol (kg) - Tertiary Scenario],IF(Delay_emissions_table[Form of Maintenance - Tertiary Scenario]="Replacement",1,0))*INDEX(Indicators,MATCH('Additional Impact Indicators'!$A103,Materials!$D:$D,0),MATCH("petrol combustion",Materials!$1:$1,0))+IFERROR(SUMPRODUCT(TRANSPOSE(INDEX(elec_project_emissions,MATCH(Elec_scenario&amp;'Additional Impact Indicators'!$B103,INDEX(Electricity_projection,0,3),0)-1,0)),Delay_emissions_table[Consumption of electricity (MJ) - Tertiary Scenario],IF(Delay_emissions_table[Form of Maintenance - Tertiary Scenario]="Replacement",1,0)),0))*Area_trans*Time_adj_Tert</f>
        <v>0</v>
      </c>
      <c r="EH103" s="252" t="e" cm="1">
        <f t="array" ref="EH103">(SUM(Tert_Materials[Thickness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3" s="252" t="e" cm="1">
        <f t="array" ref="EI103">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3" s="253" t="e" cm="1">
        <f t="array" ref="EJ103">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3" s="253" t="e" cm="1">
        <f t="array" ref="EK10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3" t="e">
        <f ca="1">SUMIF(Table611[[#This Row],[Raw-Materials]:[Transport to recycling facility]],"&lt;&gt;#N/A")</f>
        <v>#DIV/0!</v>
      </c>
    </row>
    <row r="104" spans="1:142" x14ac:dyDescent="0.35">
      <c r="A104" t="s">
        <v>600</v>
      </c>
      <c r="B104" t="s">
        <v>514</v>
      </c>
      <c r="C104" t="str">
        <f t="shared" si="5"/>
        <v>A2</v>
      </c>
      <c r="D104" t="s">
        <v>54</v>
      </c>
      <c r="F104">
        <f>MATCH(Impacts_Additional[[#This Row],[Indicator]],Material_Impacts[Look up],0)</f>
        <v>44</v>
      </c>
      <c r="G104" s="246" cm="1">
        <f t="array" aca="1" ref="G10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4" s="166" cm="1">
        <f t="array" ref="H10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4" s="166" t="e">
        <f>Diesel_RawM_Prim*INDEX(Indicators,MATCH(Impacts_Additional[[#This Row],[Indicator]],Materials!$D:$D,0),MATCH("Diesel Combustion",Materials!$1:$1,0))*Diesel_density*Project_Area*Prim_Lays*Area_trans</f>
        <v>#DIV/0!</v>
      </c>
      <c r="J104" s="20" t="e" cm="1">
        <f t="array" aca="1" ref="J10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4" s="20" t="e" cm="1">
        <f t="array" aca="1" ref="K10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4" s="20" t="e" cm="1">
        <f t="array" aca="1" ref="L10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4" s="20" t="e" cm="1">
        <f t="array" aca="1" ref="M10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4" s="20" t="e" cm="1">
        <f t="array" aca="1" ref="N10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4" s="20" t="e" cm="1">
        <f t="array" aca="1" ref="O10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4" s="20" t="e" cm="1">
        <f t="array" aca="1" ref="P10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4" s="20" t="e" cm="1">
        <f t="array" aca="1" ref="Q10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4" s="20" t="e" cm="1">
        <f t="array" aca="1" ref="R10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4" s="20" t="e" cm="1">
        <f t="array" aca="1" ref="S10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4" s="20" t="e" cm="1">
        <f t="array" aca="1" ref="T10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4" s="20" t="e" cm="1">
        <f t="array" aca="1" ref="U10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4" s="20" t="e" cm="1">
        <f t="array" aca="1" ref="V10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4" s="20" t="e" cm="1">
        <f t="array" aca="1" ref="W10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4" s="20" t="e" cm="1">
        <f t="array" aca="1" ref="X10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4" s="20" t="e" cm="1">
        <f t="array" aca="1" ref="Y10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4" s="20" t="e" cm="1">
        <f t="array" aca="1" ref="Z10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4" s="20" t="e" cm="1">
        <f t="array" aca="1" ref="AA10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4" s="20" t="e" cm="1">
        <f t="array" aca="1" ref="AB10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4" s="20" t="e" cm="1">
        <f t="array" aca="1" ref="AC10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4" s="20" t="e" cm="1">
        <f t="array" aca="1" ref="AD10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4" s="20" t="e" cm="1">
        <f t="array" aca="1" ref="AE10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4" s="20" t="e" cm="1">
        <f t="array" aca="1" ref="AF10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4" s="20" t="e" cm="1">
        <f t="array" aca="1" ref="AG10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4" s="20" t="e" cm="1">
        <f t="array" aca="1" ref="AH10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4" s="20" t="e" cm="1">
        <f t="array" aca="1" ref="AI10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4" s="20" t="e" cm="1">
        <f t="array" aca="1" ref="AJ10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4" s="166" cm="1">
        <f t="array" aca="1" ref="AK104"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4" s="1" cm="1">
        <f t="array" aca="1" ref="AL104"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4" s="247" cm="1">
        <f t="array" aca="1" ref="AM104" ca="1">(SUMPRODUCT(Delay_emissions_table[Consumption of Diesel (kg) - Primary Scenario],IF(Delay_emissions_table[Form of Maintenance - Primary Scenario]="Life Extension",1,0))*INDEX(Indicators,MATCH('Additional Impact Indicators'!$A104,Materials!$D:$D,0),MATCH("diesel combustion",Materials!$1:$1,0))+SUMPRODUCT(Delay_emissions_table[Consumption of Petrol (kg) - Primary Scenario],IF(Delay_emissions_table[Form of Maintenance - Primary Scenario]="Life Extension",1,0))*INDEX(Indicators,MATCH('Additional Impact Indicators'!$A104,Materials!$D:$D,0),MATCH("petrol combustion",Materials!$1:$1,0))+IFERROR(SUMPRODUCT(TRANSPOSE(INDEX(elec_project_emissions,MATCH(Elec_scenario&amp;'Additional Impact Indicators'!$B104,INDEX(Electricity_projection,0,3),0)-1,0)),Delay_emissions_table[Consumption of electricity (MJ) - Primary Scenario],IF(Delay_emissions_table[Form of Maintenance - Primary Scenario]="Life Extension",1,0)),0))*Area_trans*Time_adj_Prim</f>
        <v>0</v>
      </c>
      <c r="AN104" s="247" cm="1">
        <f t="array" aca="1" ref="AN104" ca="1">(SUMPRODUCT(Delay_emissions_table[Consumption of Diesel (kg) - Primary Scenario],IF(Delay_emissions_table[Form of Maintenance - Primary Scenario]="Replacement",1,0))*INDEX(Indicators,MATCH('Additional Impact Indicators'!$A104,Materials!$D:$D,0),MATCH("diesel combustion",Materials!$1:$1,0))+SUMPRODUCT(Delay_emissions_table[Consumption of Petrol (kg) - Primary Scenario],IF(Delay_emissions_table[Form of Maintenance - Primary Scenario]="Replacement",1,0))*INDEX(Indicators,MATCH('Additional Impact Indicators'!$A104,Materials!$D:$D,0),MATCH("petrol combustion",Materials!$1:$1,0))+IFERROR(SUMPRODUCT(TRANSPOSE(INDEX(elec_project_emissions,MATCH(Elec_scenario&amp;'Additional Impact Indicators'!$B104,INDEX(Electricity_projection,0,3),0)-1,0)),Delay_emissions_table[Consumption of electricity (MJ) - Primary Scenario],IF(Delay_emissions_table[Form of Maintenance - Primary Scenario]="Replacement",1,0)),0))*Area_trans*Time_adj_Prim</f>
        <v>0</v>
      </c>
      <c r="AO104" s="248" t="e" cm="1">
        <f t="array" ref="AO10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4" s="248" t="e" cm="1">
        <f t="array" ref="AP10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4" s="249" t="e" cm="1">
        <f t="array" ref="AQ10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4" s="386" t="e" cm="1">
        <f t="array" ref="AR10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4" t="e">
        <f ca="1">SUMIF('Additional Impact Indicators'!$G104:$AQ104,"&lt;&gt;#N/A")</f>
        <v>#DIV/0!</v>
      </c>
      <c r="AW104" t="s">
        <v>600</v>
      </c>
      <c r="AX104" t="s">
        <v>514</v>
      </c>
      <c r="AY104" t="str">
        <f t="shared" si="7"/>
        <v>A2</v>
      </c>
      <c r="AZ104" t="s">
        <v>54</v>
      </c>
      <c r="BB104">
        <f>MATCH(Table3[[#This Row],[Indicator]],Material_Impacts[Look up],0)</f>
        <v>44</v>
      </c>
      <c r="BC104" s="246" cm="1">
        <f t="array" aca="1" ref="BC104"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4" s="166" cm="1">
        <f t="array" ref="BD104">(IFERROR(INDEX(Sec_Materials[],1,5)*INDEX(Sec_Materials[],1,6)*INDEX(Material_Impacts[],MATCH(Impacts_Additional[[#This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4" s="166" t="e">
        <f>Diesel_RawM_Sec*INDEX(Indicators,MATCH(Impacts_Additional[[#This Row],[Indicator]],Materials!$D:$D,0),MATCH("Diesel Combustion",Materials!$1:$1,0))*Diesel_density*Project_Area*Sec_Lays*Area_trans</f>
        <v>#DIV/0!</v>
      </c>
      <c r="BF104" s="35" t="e" cm="1">
        <f t="array" aca="1" ref="BF10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4" s="35" t="e" cm="1">
        <f t="array" aca="1" ref="BG10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4" t="e" cm="1">
        <f t="array" aca="1" ref="BH10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4" s="35" t="e" cm="1">
        <f t="array" aca="1" ref="BI10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4" s="35" t="e" cm="1">
        <f t="array" aca="1" ref="BJ10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4" t="e" cm="1">
        <f t="array" aca="1" ref="BK10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4" s="35" t="e" cm="1">
        <f t="array" aca="1" ref="BL10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4" s="35" t="e" cm="1">
        <f t="array" aca="1" ref="BM10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4" t="e" cm="1">
        <f t="array" aca="1" ref="BN10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4" s="35" t="e" cm="1">
        <f t="array" aca="1" ref="BO10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4" s="35" t="e" cm="1">
        <f t="array" aca="1" ref="BP10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4" t="e" cm="1">
        <f t="array" aca="1" ref="BQ10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4" s="35" t="e" cm="1">
        <f t="array" aca="1" ref="BR10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4" s="35" t="e" cm="1">
        <f t="array" aca="1" ref="BS10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4" t="e" cm="1">
        <f t="array" aca="1" ref="BT10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4" s="35" t="e" cm="1">
        <f t="array" aca="1" ref="BU10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4" s="35" t="e" cm="1">
        <f t="array" aca="1" ref="BV10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4" t="e" cm="1">
        <f t="array" aca="1" ref="BW10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4" s="35" t="e" cm="1">
        <f t="array" aca="1" ref="BX10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4" s="35" t="e" cm="1">
        <f t="array" aca="1" ref="BY10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4" t="e" cm="1">
        <f t="array" aca="1" ref="BZ10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4" s="35" t="e" cm="1">
        <f t="array" aca="1" ref="CA10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4" s="35" t="e" cm="1">
        <f t="array" aca="1" ref="CB10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4" t="e" cm="1">
        <f t="array" aca="1" ref="CC10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4" s="35" t="e" cm="1">
        <f t="array" aca="1" ref="CD10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4" s="35" t="e" cm="1">
        <f t="array" aca="1" ref="CE10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4" t="e" cm="1">
        <f t="array" aca="1" ref="CF10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4" s="166" cm="1">
        <f t="array" aca="1" ref="CG104"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4" s="375" cm="1">
        <f t="array" aca="1" ref="CH104"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4" s="247" cm="1">
        <f t="array" aca="1" ref="CI104" ca="1">(SUMPRODUCT(Delay_emissions_table[Consumption of Diesel (kg) - Secondary Scenario],IF(Delay_emissions_table[Form of Maintenance - Secondary Scenario]="Life Extension",1,0))*INDEX(Indicators,MATCH('Additional Impact Indicators'!$A104,Materials!$D:$D,0),MATCH("diesel combustion",Materials!$1:$1,0))+SUMPRODUCT(Delay_emissions_table[Consumption of Petrol (kg) - Secondary Scenario],IF(Delay_emissions_table[Form of Maintenance - Secondary Scenario]="Life Extension",1,0))*INDEX(Indicators,MATCH('Additional Impact Indicators'!$A104,Materials!$D:$D,0),MATCH("petrol combustion",Materials!$1:$1,0))+IFERROR(SUMPRODUCT(TRANSPOSE(INDEX(elec_project_emissions,MATCH(Elec_scenario&amp;'Additional Impact Indicators'!$B104,INDEX(Electricity_projection,0,3),0)-1,0)),Delay_emissions_table[Consumption of electricity (MJ) - Secondary Scenario],IF(Delay_emissions_table[Form of Maintenance - Secondary Scenario]="Life Extension",1,0)),0))*Area_trans*time_adj_Sec</f>
        <v>0</v>
      </c>
      <c r="CJ104" s="247" cm="1">
        <f t="array" aca="1" ref="CJ104" ca="1">(SUMPRODUCT(Delay_emissions_table[Consumption of Diesel (kg) - Secondary Scenario],IF(Delay_emissions_table[Form of Maintenance - Secondary Scenario]="Replacement",1,0))*INDEX(Indicators,MATCH('Additional Impact Indicators'!$A104,Materials!$D:$D,0),MATCH("diesel combustion",Materials!$1:$1,0))+SUMPRODUCT(Delay_emissions_table[Consumption of Petrol (kg) - Secondary Scenario],IF(Delay_emissions_table[Form of Maintenance - Secondary Scenario]="Replacement",1,0))*INDEX(Indicators,MATCH('Additional Impact Indicators'!$A104,Materials!$D:$D,0),MATCH("petrol combustion",Materials!$1:$1,0))+IFERROR(SUMPRODUCT(TRANSPOSE(INDEX(elec_project_emissions,MATCH(Elec_scenario&amp;'Additional Impact Indicators'!$B104,INDEX(Electricity_projection,0,3),0)-1,0)),Delay_emissions_table[Consumption of electricity (MJ) - Secondary Scenario],IF(Delay_emissions_table[Form of Maintenance - Secondary Scenario]="Replacement",1,0)),0))*Area_trans*time_adj_Sec</f>
        <v>0</v>
      </c>
      <c r="CK104" s="248" t="e" cm="1">
        <f t="array" ref="CK104">(SUM(Sec_Materials[Thickness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4" s="248" t="e" cm="1">
        <f t="array" ref="CL104">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4" s="249" t="e" cm="1">
        <f t="array" ref="CM104">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4" s="387" t="e" cm="1">
        <f t="array" ref="CN10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4" s="51" t="e">
        <f ca="1">SUMIF(Table3[[#This Row],[Raw-Materials]:[Transport to recycling facility]],"&lt;&gt;#N/A")</f>
        <v>#DIV/0!</v>
      </c>
      <c r="CT104" t="s">
        <v>600</v>
      </c>
      <c r="CU104" t="s">
        <v>514</v>
      </c>
      <c r="CV104" t="str">
        <f t="shared" si="6"/>
        <v>A2</v>
      </c>
      <c r="CW104" t="s">
        <v>54</v>
      </c>
      <c r="CY104">
        <f>MATCH(Table611[[#This Row],[Indicator]],Material_Impacts[Look up],0)</f>
        <v>44</v>
      </c>
      <c r="CZ104" s="246" cm="1">
        <f t="array" aca="1" ref="CZ104"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4" s="166" cm="1">
        <f t="array" ref="DA104">(IFERROR(INDEX(Tert_Materials[],1,5)*INDEX(Tert_Materials[],1,6)*INDEX(Material_Impacts[],MATCH(Impacts_Additional[[#This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4" s="166" t="e">
        <f>Diesel_RawM_Tert*INDEX(Indicators,MATCH(Impacts_Additional[[#This Row],[Indicator]],Materials!$D:$D,0),MATCH("Diesel Combustion",Materials!$1:$1,0))*Diesel_density*Project_Area*Tert_Lays*Area_trans</f>
        <v>#DIV/0!</v>
      </c>
      <c r="DC104" s="35" t="e" cm="1">
        <f t="array" aca="1" ref="DC104"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4" s="35" t="e" cm="1">
        <f t="array" aca="1" ref="DD104"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4" t="e" cm="1">
        <f t="array" aca="1" ref="DE104"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4" s="35" t="e" cm="1">
        <f t="array" aca="1" ref="DF104"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4" s="35" t="e" cm="1">
        <f t="array" aca="1" ref="DG104"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4" t="e" cm="1">
        <f t="array" aca="1" ref="DH104"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4" s="35" t="e" cm="1">
        <f t="array" aca="1" ref="DI104"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4" s="35" t="e" cm="1">
        <f t="array" aca="1" ref="DJ104"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4" t="e" cm="1">
        <f t="array" aca="1" ref="DK104"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4" s="35" t="e" cm="1">
        <f t="array" aca="1" ref="DL104"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4" s="35" t="e" cm="1">
        <f t="array" aca="1" ref="DM104"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4" t="e" cm="1">
        <f t="array" aca="1" ref="DN104"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4" s="35" t="e" cm="1">
        <f t="array" aca="1" ref="DO104"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4" s="35" t="e" cm="1">
        <f t="array" aca="1" ref="DP104"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4" t="e" cm="1">
        <f t="array" aca="1" ref="DQ104"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4" s="35" t="e" cm="1">
        <f t="array" aca="1" ref="DR104"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4" s="35" t="e" cm="1">
        <f t="array" aca="1" ref="DS104"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4" t="e" cm="1">
        <f t="array" aca="1" ref="DT104"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4" s="35" t="e" cm="1">
        <f t="array" aca="1" ref="DU104"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4" s="35" t="e" cm="1">
        <f t="array" aca="1" ref="DV104"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4" t="e" cm="1">
        <f t="array" aca="1" ref="DW104"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4" s="35" t="e" cm="1">
        <f t="array" aca="1" ref="DX104"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4" s="35" t="e" cm="1">
        <f t="array" aca="1" ref="DY104"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4" t="e" cm="1">
        <f t="array" aca="1" ref="DZ104"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4" s="35" t="e" cm="1">
        <f t="array" aca="1" ref="EA104"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4" s="35" t="e" cm="1">
        <f t="array" aca="1" ref="EB104"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4" t="e" cm="1">
        <f t="array" aca="1" ref="EC104"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4" s="166" cm="1">
        <f t="array" aca="1" ref="ED104"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4" s="375" cm="1">
        <f t="array" aca="1" ref="EE104"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4" s="247" cm="1">
        <f t="array" aca="1" ref="EF104" ca="1">(SUMPRODUCT(Delay_emissions_table[Consumption of Diesel (kg) - Tertiary Scenario],IF(Delay_emissions_table[Form of Maintenance - Tertiary Scenario]="Life Extension",1,0))*INDEX(Indicators,MATCH('Additional Impact Indicators'!$A104,Materials!$D:$D,0),MATCH("diesel combustion",Materials!$1:$1,0))+SUMPRODUCT(Delay_emissions_table[Consumption of Petrol (kg) - Tertiary Scenario],IF(Delay_emissions_table[Form of Maintenance - Tertiary Scenario]="Life Extension",1,0))*INDEX(Indicators,MATCH('Additional Impact Indicators'!$A104,Materials!$D:$D,0),MATCH("petrol combustion",Materials!$1:$1,0))+IFERROR(SUMPRODUCT(TRANSPOSE(INDEX(elec_project_emissions,MATCH(Elec_scenario&amp;'Additional Impact Indicators'!$B104,INDEX(Electricity_projection,0,3),0)-1,0)),Delay_emissions_table[Consumption of electricity (MJ) - Tertiary Scenario],IF(Delay_emissions_table[Form of Maintenance - Tertiary Scenario]="Life Extension",1,0)),0))*Area_trans*Time_adj_Tert</f>
        <v>0</v>
      </c>
      <c r="EG104" s="247" cm="1">
        <f t="array" aca="1" ref="EG104" ca="1">(SUMPRODUCT(Delay_emissions_table[Consumption of Diesel (kg) - Tertiary Scenario],IF(Delay_emissions_table[Form of Maintenance - Tertiary Scenario]="Replacement",1,0))*INDEX(Indicators,MATCH('Additional Impact Indicators'!$A104,Materials!$D:$D,0),MATCH("diesel combustion",Materials!$1:$1,0))+SUMPRODUCT(Delay_emissions_table[Consumption of Petrol (kg) - Tertiary Scenario],IF(Delay_emissions_table[Form of Maintenance - Tertiary Scenario]="Replacement",1,0))*INDEX(Indicators,MATCH('Additional Impact Indicators'!$A104,Materials!$D:$D,0),MATCH("petrol combustion",Materials!$1:$1,0))+IFERROR(SUMPRODUCT(TRANSPOSE(INDEX(elec_project_emissions,MATCH(Elec_scenario&amp;'Additional Impact Indicators'!$B104,INDEX(Electricity_projection,0,3),0)-1,0)),Delay_emissions_table[Consumption of electricity (MJ) - Tertiary Scenario],IF(Delay_emissions_table[Form of Maintenance - Tertiary Scenario]="Replacement",1,0)),0))*Area_trans*Time_adj_Tert</f>
        <v>0</v>
      </c>
      <c r="EH104" s="248" t="e" cm="1">
        <f t="array" ref="EH104">(SUM(Tert_Materials[Thickness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4" s="248" t="e" cm="1">
        <f t="array" ref="EI104">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4" s="249" t="e" cm="1">
        <f t="array" ref="EJ104">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4" s="249" t="e" cm="1">
        <f t="array" ref="EK10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4" t="e">
        <f ca="1">SUMIF(Table611[[#This Row],[Raw-Materials]:[Transport to recycling facility]],"&lt;&gt;#N/A")</f>
        <v>#DIV/0!</v>
      </c>
    </row>
    <row r="105" spans="1:142" x14ac:dyDescent="0.35">
      <c r="A105" s="155" t="s">
        <v>601</v>
      </c>
      <c r="B105" s="155" t="s">
        <v>516</v>
      </c>
      <c r="C105" s="155" t="str">
        <f t="shared" si="5"/>
        <v>A2</v>
      </c>
      <c r="D105" s="155" t="s">
        <v>54</v>
      </c>
      <c r="E105" s="155"/>
      <c r="F105">
        <f>MATCH(Impacts_Additional[[#This Row],[Indicator]],Material_Impacts[Look up],0)</f>
        <v>45</v>
      </c>
      <c r="G105" s="246" cm="1">
        <f t="array" aca="1" ref="G105"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5" s="165" cm="1">
        <f t="array" ref="H105">(IFERROR(INDEX(Prim_Materials[],1,5)*INDEX(Prim_Materials[],1,6)*INDEX(Material_Impacts[],MATCH(Impacts_Additional[[#This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5" s="165" t="e">
        <f>Diesel_RawM_Prim*INDEX(Indicators,MATCH(Impacts_Additional[[#This Row],[Indicator]],Materials!$D:$D,0),MATCH("Diesel Combustion",Materials!$1:$1,0))*Diesel_density*Project_Area*Prim_Lays*Area_trans</f>
        <v>#DIV/0!</v>
      </c>
      <c r="J105" s="250" t="e" cm="1">
        <f t="array" aca="1" ref="J105"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5" s="250" t="e" cm="1">
        <f t="array" aca="1" ref="K105"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5" s="250" t="e" cm="1">
        <f t="array" aca="1" ref="L105"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5" s="250" t="e" cm="1">
        <f t="array" aca="1" ref="M105"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5" s="250" t="e" cm="1">
        <f t="array" aca="1" ref="N105"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5" s="250" t="e" cm="1">
        <f t="array" aca="1" ref="O105"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5" s="250" t="e" cm="1">
        <f t="array" aca="1" ref="P105"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5" s="250" t="e" cm="1">
        <f t="array" aca="1" ref="Q105"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5" s="250" t="e" cm="1">
        <f t="array" aca="1" ref="R105"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5" s="250" t="e" cm="1">
        <f t="array" aca="1" ref="S105"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5" s="250" t="e" cm="1">
        <f t="array" aca="1" ref="T105"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5" s="250" t="e" cm="1">
        <f t="array" aca="1" ref="U105"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5" s="250" t="e" cm="1">
        <f t="array" aca="1" ref="V105"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5" s="250" t="e" cm="1">
        <f t="array" aca="1" ref="W105"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5" s="250" t="e" cm="1">
        <f t="array" aca="1" ref="X105"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5" s="250" t="e" cm="1">
        <f t="array" aca="1" ref="Y105"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5" s="250" t="e" cm="1">
        <f t="array" aca="1" ref="Z105"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5" s="250" t="e" cm="1">
        <f t="array" aca="1" ref="AA105"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5" s="250" t="e" cm="1">
        <f t="array" aca="1" ref="AB105"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5" s="250" t="e" cm="1">
        <f t="array" aca="1" ref="AC105"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5" s="250" t="e" cm="1">
        <f t="array" aca="1" ref="AD105"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5" s="250" t="e" cm="1">
        <f t="array" aca="1" ref="AE105"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5" s="250" t="e" cm="1">
        <f t="array" aca="1" ref="AF105"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5" s="250" t="e" cm="1">
        <f t="array" aca="1" ref="AG105"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5" s="250" t="e" cm="1">
        <f t="array" aca="1" ref="AH105"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5" s="250" t="e" cm="1">
        <f t="array" aca="1" ref="AI105"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5" s="250" t="e" cm="1">
        <f t="array" aca="1" ref="AJ105"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5" s="165" cm="1">
        <f t="array" aca="1" ref="AK105"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5" s="254" cm="1">
        <f t="array" aca="1" ref="AL105"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5" s="251" cm="1">
        <f t="array" aca="1" ref="AM105" ca="1">(SUMPRODUCT(Delay_emissions_table[Consumption of Diesel (kg) - Primary Scenario],IF(Delay_emissions_table[Form of Maintenance - Primary Scenario]="Life Extension",1,0))*INDEX(Indicators,MATCH('Additional Impact Indicators'!$A105,Materials!$D:$D,0),MATCH("diesel combustion",Materials!$1:$1,0))+SUMPRODUCT(Delay_emissions_table[Consumption of Petrol (kg) - Primary Scenario],IF(Delay_emissions_table[Form of Maintenance - Primary Scenario]="Life Extension",1,0))*INDEX(Indicators,MATCH('Additional Impact Indicators'!$A105,Materials!$D:$D,0),MATCH("petrol combustion",Materials!$1:$1,0))+IFERROR(SUMPRODUCT(TRANSPOSE(INDEX(elec_project_emissions,MATCH(Elec_scenario&amp;'Additional Impact Indicators'!$B105,INDEX(Electricity_projection,0,3),0)-1,0)),Delay_emissions_table[Consumption of electricity (MJ) - Primary Scenario],IF(Delay_emissions_table[Form of Maintenance - Primary Scenario]="Life Extension",1,0)),0))*Area_trans*Time_adj_Prim</f>
        <v>0</v>
      </c>
      <c r="AN105" s="251" cm="1">
        <f t="array" aca="1" ref="AN105" ca="1">(SUMPRODUCT(Delay_emissions_table[Consumption of Diesel (kg) - Primary Scenario],IF(Delay_emissions_table[Form of Maintenance - Primary Scenario]="Replacement",1,0))*INDEX(Indicators,MATCH('Additional Impact Indicators'!$A105,Materials!$D:$D,0),MATCH("diesel combustion",Materials!$1:$1,0))+SUMPRODUCT(Delay_emissions_table[Consumption of Petrol (kg) - Primary Scenario],IF(Delay_emissions_table[Form of Maintenance - Primary Scenario]="Replacement",1,0))*INDEX(Indicators,MATCH('Additional Impact Indicators'!$A105,Materials!$D:$D,0),MATCH("petrol combustion",Materials!$1:$1,0))+IFERROR(SUMPRODUCT(TRANSPOSE(INDEX(elec_project_emissions,MATCH(Elec_scenario&amp;'Additional Impact Indicators'!$B105,INDEX(Electricity_projection,0,3),0)-1,0)),Delay_emissions_table[Consumption of electricity (MJ) - Primary Scenario],IF(Delay_emissions_table[Form of Maintenance - Primary Scenario]="Replacement",1,0)),0))*Area_trans*Time_adj_Prim</f>
        <v>0</v>
      </c>
      <c r="AO105" s="252" t="e" cm="1">
        <f t="array" ref="AO105">(SUM(Prim_Materials[Thickness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5" s="252" t="e" cm="1">
        <f t="array" ref="AP105">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5" s="253" t="e" cm="1">
        <f t="array" ref="AQ105">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5" s="385" t="e" cm="1">
        <f t="array" ref="AR105">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5" t="e">
        <f ca="1">SUMIF('Additional Impact Indicators'!$G105:$AQ105,"&lt;&gt;#N/A")</f>
        <v>#DIV/0!</v>
      </c>
      <c r="AW105" s="155" t="s">
        <v>601</v>
      </c>
      <c r="AX105" s="155" t="s">
        <v>516</v>
      </c>
      <c r="AY105" t="str">
        <f t="shared" si="7"/>
        <v>A2</v>
      </c>
      <c r="AZ105" s="155" t="s">
        <v>54</v>
      </c>
      <c r="BB105">
        <f>MATCH(Table3[[#This Row],[Indicator]],Material_Impacts[Look up],0)</f>
        <v>45</v>
      </c>
      <c r="BC105" s="246" cm="1">
        <f t="array" aca="1" ref="BC105"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5" s="165" cm="1">
        <f t="array" ref="BD105">(IFERROR(INDEX(Sec_Materials[],1,5)*INDEX(Sec_Materials[],1,6)*INDEX(Material_Impacts[],MATCH(Impacts_Additional[[#This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5" s="165" t="e">
        <f>Diesel_RawM_Sec*INDEX(Indicators,MATCH(Impacts_Additional[[#This Row],[Indicator]],Materials!$D:$D,0),MATCH("Diesel Combustion",Materials!$1:$1,0))*Diesel_density*Project_Area*Sec_Lays*Area_trans</f>
        <v>#DIV/0!</v>
      </c>
      <c r="BF105" s="35" t="e" cm="1">
        <f t="array" aca="1" ref="BF105"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5" s="35" t="e" cm="1">
        <f t="array" aca="1" ref="BG105"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5" t="e" cm="1">
        <f t="array" aca="1" ref="BH105"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5" s="35" t="e" cm="1">
        <f t="array" aca="1" ref="BI105"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5" s="35" t="e" cm="1">
        <f t="array" aca="1" ref="BJ105"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5" t="e" cm="1">
        <f t="array" aca="1" ref="BK105"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5" s="35" t="e" cm="1">
        <f t="array" aca="1" ref="BL105"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5" s="35" t="e" cm="1">
        <f t="array" aca="1" ref="BM105"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5" t="e" cm="1">
        <f t="array" aca="1" ref="BN105"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5" s="35" t="e" cm="1">
        <f t="array" aca="1" ref="BO105"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5" s="35" t="e" cm="1">
        <f t="array" aca="1" ref="BP105"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5" t="e" cm="1">
        <f t="array" aca="1" ref="BQ105"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5" s="35" t="e" cm="1">
        <f t="array" aca="1" ref="BR105"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5" s="35" t="e" cm="1">
        <f t="array" aca="1" ref="BS105"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5" t="e" cm="1">
        <f t="array" aca="1" ref="BT105"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5" s="35" t="e" cm="1">
        <f t="array" aca="1" ref="BU105"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5" s="35" t="e" cm="1">
        <f t="array" aca="1" ref="BV105"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5" t="e" cm="1">
        <f t="array" aca="1" ref="BW105"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5" s="35" t="e" cm="1">
        <f t="array" aca="1" ref="BX105"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5" s="35" t="e" cm="1">
        <f t="array" aca="1" ref="BY105"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5" t="e" cm="1">
        <f t="array" aca="1" ref="BZ105"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5" s="35" t="e" cm="1">
        <f t="array" aca="1" ref="CA105"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5" s="35" t="e" cm="1">
        <f t="array" aca="1" ref="CB105"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5" t="e" cm="1">
        <f t="array" aca="1" ref="CC105"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5" s="35" t="e" cm="1">
        <f t="array" aca="1" ref="CD105"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5" s="35" t="e" cm="1">
        <f t="array" aca="1" ref="CE105"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5" t="e" cm="1">
        <f t="array" aca="1" ref="CF105"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5" s="165" cm="1">
        <f t="array" aca="1" ref="CG105"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5" s="375" cm="1">
        <f t="array" aca="1" ref="CH105"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5" s="251" cm="1">
        <f t="array" aca="1" ref="CI105" ca="1">(SUMPRODUCT(Delay_emissions_table[Consumption of Diesel (kg) - Secondary Scenario],IF(Delay_emissions_table[Form of Maintenance - Secondary Scenario]="Life Extension",1,0))*INDEX(Indicators,MATCH('Additional Impact Indicators'!$A105,Materials!$D:$D,0),MATCH("diesel combustion",Materials!$1:$1,0))+SUMPRODUCT(Delay_emissions_table[Consumption of Petrol (kg) - Secondary Scenario],IF(Delay_emissions_table[Form of Maintenance - Secondary Scenario]="Life Extension",1,0))*INDEX(Indicators,MATCH('Additional Impact Indicators'!$A105,Materials!$D:$D,0),MATCH("petrol combustion",Materials!$1:$1,0))+IFERROR(SUMPRODUCT(TRANSPOSE(INDEX(elec_project_emissions,MATCH(Elec_scenario&amp;'Additional Impact Indicators'!$B105,INDEX(Electricity_projection,0,3),0)-1,0)),Delay_emissions_table[Consumption of electricity (MJ) - Secondary Scenario],IF(Delay_emissions_table[Form of Maintenance - Secondary Scenario]="Life Extension",1,0)),0))*Area_trans*time_adj_Sec</f>
        <v>0</v>
      </c>
      <c r="CJ105" s="251" cm="1">
        <f t="array" aca="1" ref="CJ105" ca="1">(SUMPRODUCT(Delay_emissions_table[Consumption of Diesel (kg) - Secondary Scenario],IF(Delay_emissions_table[Form of Maintenance - Secondary Scenario]="Replacement",1,0))*INDEX(Indicators,MATCH('Additional Impact Indicators'!$A105,Materials!$D:$D,0),MATCH("diesel combustion",Materials!$1:$1,0))+SUMPRODUCT(Delay_emissions_table[Consumption of Petrol (kg) - Secondary Scenario],IF(Delay_emissions_table[Form of Maintenance - Secondary Scenario]="Replacement",1,0))*INDEX(Indicators,MATCH('Additional Impact Indicators'!$A105,Materials!$D:$D,0),MATCH("petrol combustion",Materials!$1:$1,0))+IFERROR(SUMPRODUCT(TRANSPOSE(INDEX(elec_project_emissions,MATCH(Elec_scenario&amp;'Additional Impact Indicators'!$B105,INDEX(Electricity_projection,0,3),0)-1,0)),Delay_emissions_table[Consumption of electricity (MJ) - Secondary Scenario],IF(Delay_emissions_table[Form of Maintenance - Secondary Scenario]="Replacement",1,0)),0))*Area_trans*time_adj_Sec</f>
        <v>0</v>
      </c>
      <c r="CK105" s="252" t="e" cm="1">
        <f t="array" ref="CK105">(SUM(Sec_Materials[Thickness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5" s="252" t="e" cm="1">
        <f t="array" ref="CL105">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5" s="253" t="e" cm="1">
        <f t="array" ref="CM105">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5" s="387" t="e" cm="1">
        <f t="array" ref="CN105">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5" s="51" t="e">
        <f ca="1">SUMIF(Table3[[#This Row],[Raw-Materials]:[Transport to recycling facility]],"&lt;&gt;#N/A")</f>
        <v>#DIV/0!</v>
      </c>
      <c r="CT105" t="s">
        <v>601</v>
      </c>
      <c r="CU105" t="s">
        <v>516</v>
      </c>
      <c r="CV105" t="str">
        <f t="shared" si="6"/>
        <v>A2</v>
      </c>
      <c r="CW105" t="s">
        <v>54</v>
      </c>
      <c r="CY105">
        <f>MATCH(Table611[[#This Row],[Indicator]],Material_Impacts[Look up],0)</f>
        <v>45</v>
      </c>
      <c r="CZ105" s="246" cm="1">
        <f t="array" aca="1" ref="CZ105"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5" s="165" cm="1">
        <f t="array" ref="DA105">(IFERROR(INDEX(Tert_Materials[],1,5)*INDEX(Tert_Materials[],1,6)*INDEX(Material_Impacts[],MATCH(Impacts_Additional[[#This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5" s="165" t="e">
        <f>Diesel_RawM_Tert*INDEX(Indicators,MATCH(Impacts_Additional[[#This Row],[Indicator]],Materials!$D:$D,0),MATCH("Diesel Combustion",Materials!$1:$1,0))*Diesel_density*Project_Area*Tert_Lays*Area_trans</f>
        <v>#DIV/0!</v>
      </c>
      <c r="DC105" s="35" t="e" cm="1">
        <f t="array" aca="1" ref="DC105"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5" s="35" t="e" cm="1">
        <f t="array" aca="1" ref="DD105"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5" t="e" cm="1">
        <f t="array" aca="1" ref="DE105"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5" s="35" t="e" cm="1">
        <f t="array" aca="1" ref="DF105"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5" s="35" t="e" cm="1">
        <f t="array" aca="1" ref="DG105"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5" t="e" cm="1">
        <f t="array" aca="1" ref="DH105"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5" s="35" t="e" cm="1">
        <f t="array" aca="1" ref="DI105"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5" s="35" t="e" cm="1">
        <f t="array" aca="1" ref="DJ105"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5" t="e" cm="1">
        <f t="array" aca="1" ref="DK105"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5" s="35" t="e" cm="1">
        <f t="array" aca="1" ref="DL105"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5" s="35" t="e" cm="1">
        <f t="array" aca="1" ref="DM105"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5" t="e" cm="1">
        <f t="array" aca="1" ref="DN105"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5" s="35" t="e" cm="1">
        <f t="array" aca="1" ref="DO105"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5" s="35" t="e" cm="1">
        <f t="array" aca="1" ref="DP105"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5" t="e" cm="1">
        <f t="array" aca="1" ref="DQ105"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5" s="35" t="e" cm="1">
        <f t="array" aca="1" ref="DR105"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5" s="35" t="e" cm="1">
        <f t="array" aca="1" ref="DS105"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5" t="e" cm="1">
        <f t="array" aca="1" ref="DT105"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5" s="35" t="e" cm="1">
        <f t="array" aca="1" ref="DU105"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5" s="35" t="e" cm="1">
        <f t="array" aca="1" ref="DV105"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5" t="e" cm="1">
        <f t="array" aca="1" ref="DW105"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5" s="35" t="e" cm="1">
        <f t="array" aca="1" ref="DX105"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5" s="35" t="e" cm="1">
        <f t="array" aca="1" ref="DY105"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5" t="e" cm="1">
        <f t="array" aca="1" ref="DZ105"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5" s="35" t="e" cm="1">
        <f t="array" aca="1" ref="EA105"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5" s="35" t="e" cm="1">
        <f t="array" aca="1" ref="EB105"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5" t="e" cm="1">
        <f t="array" aca="1" ref="EC105"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5" s="165" cm="1">
        <f t="array" aca="1" ref="ED105"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5" s="375" cm="1">
        <f t="array" aca="1" ref="EE105"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5" s="251" cm="1">
        <f t="array" aca="1" ref="EF105" ca="1">(SUMPRODUCT(Delay_emissions_table[Consumption of Diesel (kg) - Tertiary Scenario],IF(Delay_emissions_table[Form of Maintenance - Tertiary Scenario]="Life Extension",1,0))*INDEX(Indicators,MATCH('Additional Impact Indicators'!$A105,Materials!$D:$D,0),MATCH("diesel combustion",Materials!$1:$1,0))+SUMPRODUCT(Delay_emissions_table[Consumption of Petrol (kg) - Tertiary Scenario],IF(Delay_emissions_table[Form of Maintenance - Tertiary Scenario]="Life Extension",1,0))*INDEX(Indicators,MATCH('Additional Impact Indicators'!$A105,Materials!$D:$D,0),MATCH("petrol combustion",Materials!$1:$1,0))+IFERROR(SUMPRODUCT(TRANSPOSE(INDEX(elec_project_emissions,MATCH(Elec_scenario&amp;'Additional Impact Indicators'!$B105,INDEX(Electricity_projection,0,3),0)-1,0)),Delay_emissions_table[Consumption of electricity (MJ) - Tertiary Scenario],IF(Delay_emissions_table[Form of Maintenance - Tertiary Scenario]="Life Extension",1,0)),0))*Area_trans*Time_adj_Tert</f>
        <v>0</v>
      </c>
      <c r="EG105" s="251" cm="1">
        <f t="array" aca="1" ref="EG105" ca="1">(SUMPRODUCT(Delay_emissions_table[Consumption of Diesel (kg) - Tertiary Scenario],IF(Delay_emissions_table[Form of Maintenance - Tertiary Scenario]="Replacement",1,0))*INDEX(Indicators,MATCH('Additional Impact Indicators'!$A105,Materials!$D:$D,0),MATCH("diesel combustion",Materials!$1:$1,0))+SUMPRODUCT(Delay_emissions_table[Consumption of Petrol (kg) - Tertiary Scenario],IF(Delay_emissions_table[Form of Maintenance - Tertiary Scenario]="Replacement",1,0))*INDEX(Indicators,MATCH('Additional Impact Indicators'!$A105,Materials!$D:$D,0),MATCH("petrol combustion",Materials!$1:$1,0))+IFERROR(SUMPRODUCT(TRANSPOSE(INDEX(elec_project_emissions,MATCH(Elec_scenario&amp;'Additional Impact Indicators'!$B105,INDEX(Electricity_projection,0,3),0)-1,0)),Delay_emissions_table[Consumption of electricity (MJ) - Tertiary Scenario],IF(Delay_emissions_table[Form of Maintenance - Tertiary Scenario]="Replacement",1,0)),0))*Area_trans*Time_adj_Tert</f>
        <v>0</v>
      </c>
      <c r="EH105" s="252" t="e" cm="1">
        <f t="array" ref="EH105">(SUM(Tert_Materials[Thickness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5" s="252" t="e" cm="1">
        <f t="array" ref="EI105">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5" s="253" t="e" cm="1">
        <f t="array" ref="EJ105">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5" s="253" t="e" cm="1">
        <f t="array" ref="EK105">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5" t="e">
        <f ca="1">SUMIF(Table611[[#This Row],[Raw-Materials]:[Transport to recycling facility]],"&lt;&gt;#N/A")</f>
        <v>#DIV/0!</v>
      </c>
    </row>
    <row r="106" spans="1:142" x14ac:dyDescent="0.35">
      <c r="A106" t="s">
        <v>602</v>
      </c>
      <c r="B106" t="s">
        <v>518</v>
      </c>
      <c r="C106" t="str">
        <f t="shared" si="5"/>
        <v>A2</v>
      </c>
      <c r="D106" t="s">
        <v>54</v>
      </c>
      <c r="F106">
        <f>MATCH(Impacts_Additional[[#This Row],[Indicator]],Material_Impacts[Look up],0)</f>
        <v>46</v>
      </c>
      <c r="G106" s="246" cm="1">
        <f t="array" aca="1" ref="G106"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6" s="166" cm="1">
        <f t="array" ref="H106">(IFERROR(INDEX(Prim_Materials[],1,5)*INDEX(Prim_Materials[],1,6)*INDEX(Material_Impacts[],MATCH(Impacts_Additional[[#This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6" s="166" t="e">
        <f>Diesel_RawM_Prim*INDEX(Indicators,MATCH(Impacts_Additional[[#This Row],[Indicator]],Materials!$D:$D,0),MATCH("Diesel Combustion",Materials!$1:$1,0))*Diesel_density*Project_Area*Prim_Lays*Area_trans</f>
        <v>#DIV/0!</v>
      </c>
      <c r="J106" s="20" t="e" cm="1">
        <f t="array" aca="1" ref="J106"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6" s="20" t="e" cm="1">
        <f t="array" aca="1" ref="K106"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6" s="20" t="e" cm="1">
        <f t="array" aca="1" ref="L106"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6" s="20" t="e" cm="1">
        <f t="array" aca="1" ref="M106"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6" s="20" t="e" cm="1">
        <f t="array" aca="1" ref="N106"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6" s="20" t="e" cm="1">
        <f t="array" aca="1" ref="O106"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6" s="20" t="e" cm="1">
        <f t="array" aca="1" ref="P106"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6" s="20" t="e" cm="1">
        <f t="array" aca="1" ref="Q106"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6" s="20" t="e" cm="1">
        <f t="array" aca="1" ref="R106"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6" s="20" t="e" cm="1">
        <f t="array" aca="1" ref="S106"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6" s="20" t="e" cm="1">
        <f t="array" aca="1" ref="T106"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6" s="20" t="e" cm="1">
        <f t="array" aca="1" ref="U106"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6" s="20" t="e" cm="1">
        <f t="array" aca="1" ref="V106"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6" s="20" t="e" cm="1">
        <f t="array" aca="1" ref="W106"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6" s="20" t="e" cm="1">
        <f t="array" aca="1" ref="X106"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6" s="20" t="e" cm="1">
        <f t="array" aca="1" ref="Y106"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6" s="20" t="e" cm="1">
        <f t="array" aca="1" ref="Z106"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6" s="20" t="e" cm="1">
        <f t="array" aca="1" ref="AA106"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6" s="20" t="e" cm="1">
        <f t="array" aca="1" ref="AB106"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6" s="20" t="e" cm="1">
        <f t="array" aca="1" ref="AC106"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6" s="20" t="e" cm="1">
        <f t="array" aca="1" ref="AD106"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6" s="20" t="e" cm="1">
        <f t="array" aca="1" ref="AE106"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6" s="20" t="e" cm="1">
        <f t="array" aca="1" ref="AF106"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6" s="20" t="e" cm="1">
        <f t="array" aca="1" ref="AG106"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6" s="20" t="e" cm="1">
        <f t="array" aca="1" ref="AH106"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6" s="20" t="e" cm="1">
        <f t="array" aca="1" ref="AI106"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6" s="20" t="e" cm="1">
        <f t="array" aca="1" ref="AJ106"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6" s="166" cm="1">
        <f t="array" aca="1" ref="AK106"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6" s="1" cm="1">
        <f t="array" aca="1" ref="AL106"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6" s="247" cm="1">
        <f t="array" aca="1" ref="AM106" ca="1">(SUMPRODUCT(Delay_emissions_table[Consumption of Diesel (kg) - Primary Scenario],IF(Delay_emissions_table[Form of Maintenance - Primary Scenario]="Life Extension",1,0))*INDEX(Indicators,MATCH('Additional Impact Indicators'!$A106,Materials!$D:$D,0),MATCH("diesel combustion",Materials!$1:$1,0))+SUMPRODUCT(Delay_emissions_table[Consumption of Petrol (kg) - Primary Scenario],IF(Delay_emissions_table[Form of Maintenance - Primary Scenario]="Life Extension",1,0))*INDEX(Indicators,MATCH('Additional Impact Indicators'!$A106,Materials!$D:$D,0),MATCH("petrol combustion",Materials!$1:$1,0))+IFERROR(SUMPRODUCT(TRANSPOSE(INDEX(elec_project_emissions,MATCH(Elec_scenario&amp;'Additional Impact Indicators'!$B106,INDEX(Electricity_projection,0,3),0)-1,0)),Delay_emissions_table[Consumption of electricity (MJ) - Primary Scenario],IF(Delay_emissions_table[Form of Maintenance - Primary Scenario]="Life Extension",1,0)),0))*Area_trans*Time_adj_Prim</f>
        <v>0</v>
      </c>
      <c r="AN106" s="247" cm="1">
        <f t="array" aca="1" ref="AN106" ca="1">(SUMPRODUCT(Delay_emissions_table[Consumption of Diesel (kg) - Primary Scenario],IF(Delay_emissions_table[Form of Maintenance - Primary Scenario]="Replacement",1,0))*INDEX(Indicators,MATCH('Additional Impact Indicators'!$A106,Materials!$D:$D,0),MATCH("diesel combustion",Materials!$1:$1,0))+SUMPRODUCT(Delay_emissions_table[Consumption of Petrol (kg) - Primary Scenario],IF(Delay_emissions_table[Form of Maintenance - Primary Scenario]="Replacement",1,0))*INDEX(Indicators,MATCH('Additional Impact Indicators'!$A106,Materials!$D:$D,0),MATCH("petrol combustion",Materials!$1:$1,0))+IFERROR(SUMPRODUCT(TRANSPOSE(INDEX(elec_project_emissions,MATCH(Elec_scenario&amp;'Additional Impact Indicators'!$B106,INDEX(Electricity_projection,0,3),0)-1,0)),Delay_emissions_table[Consumption of electricity (MJ) - Primary Scenario],IF(Delay_emissions_table[Form of Maintenance - Primary Scenario]="Replacement",1,0)),0))*Area_trans*Time_adj_Prim</f>
        <v>0</v>
      </c>
      <c r="AO106" s="248" t="e" cm="1">
        <f t="array" ref="AO106">(SUM(Prim_Materials[Thickness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6" s="248" t="e" cm="1">
        <f t="array" ref="AP106">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6" s="249" t="e" cm="1">
        <f t="array" ref="AQ106">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6" s="386" t="e" cm="1">
        <f t="array" ref="AR106">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6" t="e">
        <f ca="1">SUMIF('Additional Impact Indicators'!$G106:$AQ106,"&lt;&gt;#N/A")</f>
        <v>#DIV/0!</v>
      </c>
      <c r="AW106" t="s">
        <v>602</v>
      </c>
      <c r="AX106" t="s">
        <v>518</v>
      </c>
      <c r="AY106" t="str">
        <f t="shared" si="7"/>
        <v>A2</v>
      </c>
      <c r="AZ106" t="s">
        <v>54</v>
      </c>
      <c r="BB106">
        <f>MATCH(Table3[[#This Row],[Indicator]],Material_Impacts[Look up],0)</f>
        <v>46</v>
      </c>
      <c r="BC106" s="246" cm="1">
        <f t="array" aca="1" ref="BC106"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6" s="166" cm="1">
        <f t="array" ref="BD106">(IFERROR(INDEX(Sec_Materials[],1,5)*INDEX(Sec_Materials[],1,6)*INDEX(Material_Impacts[],MATCH(Impacts_Additional[[#This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6" s="166" t="e">
        <f>Diesel_RawM_Sec*INDEX(Indicators,MATCH(Impacts_Additional[[#This Row],[Indicator]],Materials!$D:$D,0),MATCH("Diesel Combustion",Materials!$1:$1,0))*Diesel_density*Project_Area*Sec_Lays*Area_trans</f>
        <v>#DIV/0!</v>
      </c>
      <c r="BF106" s="35" t="e" cm="1">
        <f t="array" aca="1" ref="BF106"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6" s="35" t="e" cm="1">
        <f t="array" aca="1" ref="BG106"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6" t="e" cm="1">
        <f t="array" aca="1" ref="BH106"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6" s="35" t="e" cm="1">
        <f t="array" aca="1" ref="BI106"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6" s="35" t="e" cm="1">
        <f t="array" aca="1" ref="BJ106"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6" t="e" cm="1">
        <f t="array" aca="1" ref="BK106"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6" s="35" t="e" cm="1">
        <f t="array" aca="1" ref="BL106"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6" s="35" t="e" cm="1">
        <f t="array" aca="1" ref="BM106"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6" t="e" cm="1">
        <f t="array" aca="1" ref="BN106"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6" s="35" t="e" cm="1">
        <f t="array" aca="1" ref="BO106"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6" s="35" t="e" cm="1">
        <f t="array" aca="1" ref="BP106"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6" t="e" cm="1">
        <f t="array" aca="1" ref="BQ106"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6" s="35" t="e" cm="1">
        <f t="array" aca="1" ref="BR106"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6" s="35" t="e" cm="1">
        <f t="array" aca="1" ref="BS106"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6" t="e" cm="1">
        <f t="array" aca="1" ref="BT106"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6" s="35" t="e" cm="1">
        <f t="array" aca="1" ref="BU106"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6" s="35" t="e" cm="1">
        <f t="array" aca="1" ref="BV106"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6" t="e" cm="1">
        <f t="array" aca="1" ref="BW106"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6" s="35" t="e" cm="1">
        <f t="array" aca="1" ref="BX106"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6" s="35" t="e" cm="1">
        <f t="array" aca="1" ref="BY106"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6" t="e" cm="1">
        <f t="array" aca="1" ref="BZ106"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6" s="35" t="e" cm="1">
        <f t="array" aca="1" ref="CA106"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6" s="35" t="e" cm="1">
        <f t="array" aca="1" ref="CB106"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6" t="e" cm="1">
        <f t="array" aca="1" ref="CC106"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6" s="35" t="e" cm="1">
        <f t="array" aca="1" ref="CD106"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6" s="35" t="e" cm="1">
        <f t="array" aca="1" ref="CE106"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6" t="e" cm="1">
        <f t="array" aca="1" ref="CF106"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6" s="166" cm="1">
        <f t="array" aca="1" ref="CG106"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6" s="375" cm="1">
        <f t="array" aca="1" ref="CH106"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6" s="247" cm="1">
        <f t="array" aca="1" ref="CI106" ca="1">(SUMPRODUCT(Delay_emissions_table[Consumption of Diesel (kg) - Secondary Scenario],IF(Delay_emissions_table[Form of Maintenance - Secondary Scenario]="Life Extension",1,0))*INDEX(Indicators,MATCH('Additional Impact Indicators'!$A106,Materials!$D:$D,0),MATCH("diesel combustion",Materials!$1:$1,0))+SUMPRODUCT(Delay_emissions_table[Consumption of Petrol (kg) - Secondary Scenario],IF(Delay_emissions_table[Form of Maintenance - Secondary Scenario]="Life Extension",1,0))*INDEX(Indicators,MATCH('Additional Impact Indicators'!$A106,Materials!$D:$D,0),MATCH("petrol combustion",Materials!$1:$1,0))+IFERROR(SUMPRODUCT(TRANSPOSE(INDEX(elec_project_emissions,MATCH(Elec_scenario&amp;'Additional Impact Indicators'!$B106,INDEX(Electricity_projection,0,3),0)-1,0)),Delay_emissions_table[Consumption of electricity (MJ) - Secondary Scenario],IF(Delay_emissions_table[Form of Maintenance - Secondary Scenario]="Life Extension",1,0)),0))*Area_trans*time_adj_Sec</f>
        <v>0</v>
      </c>
      <c r="CJ106" s="247" cm="1">
        <f t="array" aca="1" ref="CJ106" ca="1">(SUMPRODUCT(Delay_emissions_table[Consumption of Diesel (kg) - Secondary Scenario],IF(Delay_emissions_table[Form of Maintenance - Secondary Scenario]="Replacement",1,0))*INDEX(Indicators,MATCH('Additional Impact Indicators'!$A106,Materials!$D:$D,0),MATCH("diesel combustion",Materials!$1:$1,0))+SUMPRODUCT(Delay_emissions_table[Consumption of Petrol (kg) - Secondary Scenario],IF(Delay_emissions_table[Form of Maintenance - Secondary Scenario]="Replacement",1,0))*INDEX(Indicators,MATCH('Additional Impact Indicators'!$A106,Materials!$D:$D,0),MATCH("petrol combustion",Materials!$1:$1,0))+IFERROR(SUMPRODUCT(TRANSPOSE(INDEX(elec_project_emissions,MATCH(Elec_scenario&amp;'Additional Impact Indicators'!$B106,INDEX(Electricity_projection,0,3),0)-1,0)),Delay_emissions_table[Consumption of electricity (MJ) - Secondary Scenario],IF(Delay_emissions_table[Form of Maintenance - Secondary Scenario]="Replacement",1,0)),0))*Area_trans*time_adj_Sec</f>
        <v>0</v>
      </c>
      <c r="CK106" s="248" t="e" cm="1">
        <f t="array" ref="CK106">(SUM(Sec_Materials[Thickness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6" s="248" t="e" cm="1">
        <f t="array" ref="CL106">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6" s="249" t="e" cm="1">
        <f t="array" ref="CM106">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6" s="387" t="e" cm="1">
        <f t="array" ref="CN106">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6" s="51" t="e">
        <f ca="1">SUMIF(Table3[[#This Row],[Raw-Materials]:[Transport to recycling facility]],"&lt;&gt;#N/A")</f>
        <v>#DIV/0!</v>
      </c>
      <c r="CT106" t="s">
        <v>602</v>
      </c>
      <c r="CU106" t="s">
        <v>518</v>
      </c>
      <c r="CV106" t="str">
        <f t="shared" si="6"/>
        <v>A2</v>
      </c>
      <c r="CW106" t="s">
        <v>54</v>
      </c>
      <c r="CY106">
        <f>MATCH(Table611[[#This Row],[Indicator]],Material_Impacts[Look up],0)</f>
        <v>46</v>
      </c>
      <c r="CZ106" s="246" cm="1">
        <f t="array" aca="1" ref="CZ106"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6" s="166" cm="1">
        <f t="array" ref="DA106">(IFERROR(INDEX(Tert_Materials[],1,5)*INDEX(Tert_Materials[],1,6)*INDEX(Material_Impacts[],MATCH(Impacts_Additional[[#This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6" s="166" t="e">
        <f>Diesel_RawM_Tert*INDEX(Indicators,MATCH(Impacts_Additional[[#This Row],[Indicator]],Materials!$D:$D,0),MATCH("Diesel Combustion",Materials!$1:$1,0))*Diesel_density*Project_Area*Tert_Lays*Area_trans</f>
        <v>#DIV/0!</v>
      </c>
      <c r="DC106" s="35" t="e" cm="1">
        <f t="array" aca="1" ref="DC106"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6" s="35" t="e" cm="1">
        <f t="array" aca="1" ref="DD106"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6" t="e" cm="1">
        <f t="array" aca="1" ref="DE106"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6" s="35" t="e" cm="1">
        <f t="array" aca="1" ref="DF106"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6" s="35" t="e" cm="1">
        <f t="array" aca="1" ref="DG106"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6" t="e" cm="1">
        <f t="array" aca="1" ref="DH106"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6" s="35" t="e" cm="1">
        <f t="array" aca="1" ref="DI106"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6" s="35" t="e" cm="1">
        <f t="array" aca="1" ref="DJ106"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6" t="e" cm="1">
        <f t="array" aca="1" ref="DK106"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6" s="35" t="e" cm="1">
        <f t="array" aca="1" ref="DL106"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6" s="35" t="e" cm="1">
        <f t="array" aca="1" ref="DM106"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6" t="e" cm="1">
        <f t="array" aca="1" ref="DN106"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6" s="35" t="e" cm="1">
        <f t="array" aca="1" ref="DO106"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6" s="35" t="e" cm="1">
        <f t="array" aca="1" ref="DP106"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6" t="e" cm="1">
        <f t="array" aca="1" ref="DQ106"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6" s="35" t="e" cm="1">
        <f t="array" aca="1" ref="DR106"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6" s="35" t="e" cm="1">
        <f t="array" aca="1" ref="DS106"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6" t="e" cm="1">
        <f t="array" aca="1" ref="DT106"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6" s="35" t="e" cm="1">
        <f t="array" aca="1" ref="DU106"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6" s="35" t="e" cm="1">
        <f t="array" aca="1" ref="DV106"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6" t="e" cm="1">
        <f t="array" aca="1" ref="DW106"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6" s="35" t="e" cm="1">
        <f t="array" aca="1" ref="DX106"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6" s="35" t="e" cm="1">
        <f t="array" aca="1" ref="DY106"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6" t="e" cm="1">
        <f t="array" aca="1" ref="DZ106"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6" s="35" t="e" cm="1">
        <f t="array" aca="1" ref="EA106"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6" s="35" t="e" cm="1">
        <f t="array" aca="1" ref="EB106"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6" t="e" cm="1">
        <f t="array" aca="1" ref="EC106"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6" s="166" cm="1">
        <f t="array" aca="1" ref="ED106"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6" s="375" cm="1">
        <f t="array" aca="1" ref="EE106"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6" s="247" cm="1">
        <f t="array" aca="1" ref="EF106" ca="1">(SUMPRODUCT(Delay_emissions_table[Consumption of Diesel (kg) - Tertiary Scenario],IF(Delay_emissions_table[Form of Maintenance - Tertiary Scenario]="Life Extension",1,0))*INDEX(Indicators,MATCH('Additional Impact Indicators'!$A106,Materials!$D:$D,0),MATCH("diesel combustion",Materials!$1:$1,0))+SUMPRODUCT(Delay_emissions_table[Consumption of Petrol (kg) - Tertiary Scenario],IF(Delay_emissions_table[Form of Maintenance - Tertiary Scenario]="Life Extension",1,0))*INDEX(Indicators,MATCH('Additional Impact Indicators'!$A106,Materials!$D:$D,0),MATCH("petrol combustion",Materials!$1:$1,0))+IFERROR(SUMPRODUCT(TRANSPOSE(INDEX(elec_project_emissions,MATCH(Elec_scenario&amp;'Additional Impact Indicators'!$B106,INDEX(Electricity_projection,0,3),0)-1,0)),Delay_emissions_table[Consumption of electricity (MJ) - Tertiary Scenario],IF(Delay_emissions_table[Form of Maintenance - Tertiary Scenario]="Life Extension",1,0)),0))*Area_trans*Time_adj_Tert</f>
        <v>0</v>
      </c>
      <c r="EG106" s="247" cm="1">
        <f t="array" aca="1" ref="EG106" ca="1">(SUMPRODUCT(Delay_emissions_table[Consumption of Diesel (kg) - Tertiary Scenario],IF(Delay_emissions_table[Form of Maintenance - Tertiary Scenario]="Replacement",1,0))*INDEX(Indicators,MATCH('Additional Impact Indicators'!$A106,Materials!$D:$D,0),MATCH("diesel combustion",Materials!$1:$1,0))+SUMPRODUCT(Delay_emissions_table[Consumption of Petrol (kg) - Tertiary Scenario],IF(Delay_emissions_table[Form of Maintenance - Tertiary Scenario]="Replacement",1,0))*INDEX(Indicators,MATCH('Additional Impact Indicators'!$A106,Materials!$D:$D,0),MATCH("petrol combustion",Materials!$1:$1,0))+IFERROR(SUMPRODUCT(TRANSPOSE(INDEX(elec_project_emissions,MATCH(Elec_scenario&amp;'Additional Impact Indicators'!$B106,INDEX(Electricity_projection,0,3),0)-1,0)),Delay_emissions_table[Consumption of electricity (MJ) - Tertiary Scenario],IF(Delay_emissions_table[Form of Maintenance - Tertiary Scenario]="Replacement",1,0)),0))*Area_trans*Time_adj_Tert</f>
        <v>0</v>
      </c>
      <c r="EH106" s="248" t="e" cm="1">
        <f t="array" ref="EH106">(SUM(Tert_Materials[Thickness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6" s="248" t="e" cm="1">
        <f t="array" ref="EI106">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6" s="249" t="e" cm="1">
        <f t="array" ref="EJ106">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6" s="249" t="e" cm="1">
        <f t="array" ref="EK106">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6" t="e">
        <f ca="1">SUMIF(Table611[[#This Row],[Raw-Materials]:[Transport to recycling facility]],"&lt;&gt;#N/A")</f>
        <v>#DIV/0!</v>
      </c>
    </row>
    <row r="107" spans="1:142" x14ac:dyDescent="0.35">
      <c r="A107" s="155" t="s">
        <v>603</v>
      </c>
      <c r="B107" s="155" t="s">
        <v>416</v>
      </c>
      <c r="C107" s="155" t="str">
        <f t="shared" si="5"/>
        <v>A2</v>
      </c>
      <c r="D107" s="155" t="s">
        <v>54</v>
      </c>
      <c r="E107" s="155"/>
      <c r="F107">
        <f>MATCH(Impacts_Additional[[#This Row],[Indicator]],Material_Impacts[Look up],0)</f>
        <v>47</v>
      </c>
      <c r="G107" s="246" cm="1">
        <f t="array" aca="1" ref="G107"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7" s="165" cm="1">
        <f t="array" ref="H107">(IFERROR(INDEX(Prim_Materials[],1,5)*INDEX(Prim_Materials[],1,6)*INDEX(Material_Impacts[],MATCH(Impacts_Additional[[#This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7" s="165" t="e">
        <f>Diesel_RawM_Prim*INDEX(Indicators,MATCH(Impacts_Additional[[#This Row],[Indicator]],Materials!$D:$D,0),MATCH("Diesel Combustion",Materials!$1:$1,0))*Diesel_density*Project_Area*Prim_Lays*Area_trans</f>
        <v>#DIV/0!</v>
      </c>
      <c r="J107" s="250" t="e" cm="1">
        <f t="array" aca="1" ref="J107"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7" s="250" t="e" cm="1">
        <f t="array" aca="1" ref="K107"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7" s="250" t="e" cm="1">
        <f t="array" aca="1" ref="L107"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7" s="250" t="e" cm="1">
        <f t="array" aca="1" ref="M107"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7" s="250" t="e" cm="1">
        <f t="array" aca="1" ref="N107"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7" s="250" t="e" cm="1">
        <f t="array" aca="1" ref="O107"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7" s="250" t="e" cm="1">
        <f t="array" aca="1" ref="P107"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7" s="250" t="e" cm="1">
        <f t="array" aca="1" ref="Q107"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7" s="250" t="e" cm="1">
        <f t="array" aca="1" ref="R107"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7" s="250" t="e" cm="1">
        <f t="array" aca="1" ref="S107"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7" s="250" t="e" cm="1">
        <f t="array" aca="1" ref="T107"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7" s="250" t="e" cm="1">
        <f t="array" aca="1" ref="U107"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7" s="250" t="e" cm="1">
        <f t="array" aca="1" ref="V107"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7" s="250" t="e" cm="1">
        <f t="array" aca="1" ref="W107"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7" s="250" t="e" cm="1">
        <f t="array" aca="1" ref="X107"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7" s="250" t="e" cm="1">
        <f t="array" aca="1" ref="Y107"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7" s="250" t="e" cm="1">
        <f t="array" aca="1" ref="Z107"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7" s="250" t="e" cm="1">
        <f t="array" aca="1" ref="AA107"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7" s="250" t="e" cm="1">
        <f t="array" aca="1" ref="AB107"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7" s="250" t="e" cm="1">
        <f t="array" aca="1" ref="AC107"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7" s="250" t="e" cm="1">
        <f t="array" aca="1" ref="AD107"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7" s="250" t="e" cm="1">
        <f t="array" aca="1" ref="AE107"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7" s="250" t="e" cm="1">
        <f t="array" aca="1" ref="AF107"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7" s="250" t="e" cm="1">
        <f t="array" aca="1" ref="AG107"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7" s="250" t="e" cm="1">
        <f t="array" aca="1" ref="AH107"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7" s="250" t="e" cm="1">
        <f t="array" aca="1" ref="AI107"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7" s="250" t="e" cm="1">
        <f t="array" aca="1" ref="AJ107"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7" s="165" cm="1">
        <f t="array" aca="1" ref="AK107"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7" s="254" cm="1">
        <f t="array" aca="1" ref="AL107"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7" s="251" cm="1">
        <f t="array" aca="1" ref="AM107" ca="1">(SUMPRODUCT(Delay_emissions_table[Consumption of Diesel (kg) - Primary Scenario],IF(Delay_emissions_table[Form of Maintenance - Primary Scenario]="Life Extension",1,0))*INDEX(Indicators,MATCH('Additional Impact Indicators'!$A107,Materials!$D:$D,0),MATCH("diesel combustion",Materials!$1:$1,0))+SUMPRODUCT(Delay_emissions_table[Consumption of Petrol (kg) - Primary Scenario],IF(Delay_emissions_table[Form of Maintenance - Primary Scenario]="Life Extension",1,0))*INDEX(Indicators,MATCH('Additional Impact Indicators'!$A107,Materials!$D:$D,0),MATCH("petrol combustion",Materials!$1:$1,0))+IFERROR(SUMPRODUCT(TRANSPOSE(INDEX(elec_project_emissions,MATCH(Elec_scenario&amp;'Additional Impact Indicators'!$B107,INDEX(Electricity_projection,0,3),0)-1,0)),Delay_emissions_table[Consumption of electricity (MJ) - Primary Scenario],IF(Delay_emissions_table[Form of Maintenance - Primary Scenario]="Life Extension",1,0)),0))*Area_trans*Time_adj_Prim</f>
        <v>0</v>
      </c>
      <c r="AN107" s="251" cm="1">
        <f t="array" aca="1" ref="AN107" ca="1">(SUMPRODUCT(Delay_emissions_table[Consumption of Diesel (kg) - Primary Scenario],IF(Delay_emissions_table[Form of Maintenance - Primary Scenario]="Replacement",1,0))*INDEX(Indicators,MATCH('Additional Impact Indicators'!$A107,Materials!$D:$D,0),MATCH("diesel combustion",Materials!$1:$1,0))+SUMPRODUCT(Delay_emissions_table[Consumption of Petrol (kg) - Primary Scenario],IF(Delay_emissions_table[Form of Maintenance - Primary Scenario]="Replacement",1,0))*INDEX(Indicators,MATCH('Additional Impact Indicators'!$A107,Materials!$D:$D,0),MATCH("petrol combustion",Materials!$1:$1,0))+IFERROR(SUMPRODUCT(TRANSPOSE(INDEX(elec_project_emissions,MATCH(Elec_scenario&amp;'Additional Impact Indicators'!$B107,INDEX(Electricity_projection,0,3),0)-1,0)),Delay_emissions_table[Consumption of electricity (MJ) - Primary Scenario],IF(Delay_emissions_table[Form of Maintenance - Primary Scenario]="Replacement",1,0)),0))*Area_trans*Time_adj_Prim</f>
        <v>0</v>
      </c>
      <c r="AO107" s="252" t="e" cm="1">
        <f t="array" ref="AO107">(SUM(Prim_Materials[Thickness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7" s="252" t="e" cm="1">
        <f t="array" ref="AP107">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7" s="253" t="e" cm="1">
        <f t="array" ref="AQ107">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7" s="385" t="e" cm="1">
        <f t="array" ref="AR107">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7" t="e">
        <f ca="1">SUMIF('Additional Impact Indicators'!$G107:$AQ107,"&lt;&gt;#N/A")</f>
        <v>#DIV/0!</v>
      </c>
      <c r="AW107" s="155" t="s">
        <v>603</v>
      </c>
      <c r="AX107" s="155" t="s">
        <v>416</v>
      </c>
      <c r="AY107" t="str">
        <f t="shared" si="7"/>
        <v>A2</v>
      </c>
      <c r="AZ107" s="155" t="s">
        <v>54</v>
      </c>
      <c r="BB107">
        <f>MATCH(Table3[[#This Row],[Indicator]],Material_Impacts[Look up],0)</f>
        <v>47</v>
      </c>
      <c r="BC107" s="246" cm="1">
        <f t="array" aca="1" ref="BC107"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7" s="165" cm="1">
        <f t="array" ref="BD107">(IFERROR(INDEX(Sec_Materials[],1,5)*INDEX(Sec_Materials[],1,6)*INDEX(Material_Impacts[],MATCH(Impacts_Additional[[#This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7" s="165" t="e">
        <f>Diesel_RawM_Sec*INDEX(Indicators,MATCH(Impacts_Additional[[#This Row],[Indicator]],Materials!$D:$D,0),MATCH("Diesel Combustion",Materials!$1:$1,0))*Diesel_density*Project_Area*Sec_Lays*Area_trans</f>
        <v>#DIV/0!</v>
      </c>
      <c r="BF107" s="35" t="e" cm="1">
        <f t="array" aca="1" ref="BF107"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7" s="35" t="e" cm="1">
        <f t="array" aca="1" ref="BG107"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7" t="e" cm="1">
        <f t="array" aca="1" ref="BH107"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7" s="35" t="e" cm="1">
        <f t="array" aca="1" ref="BI107"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7" s="35" t="e" cm="1">
        <f t="array" aca="1" ref="BJ107"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7" t="e" cm="1">
        <f t="array" aca="1" ref="BK107"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7" s="35" t="e" cm="1">
        <f t="array" aca="1" ref="BL107"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7" s="35" t="e" cm="1">
        <f t="array" aca="1" ref="BM107"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7" t="e" cm="1">
        <f t="array" aca="1" ref="BN107"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7" s="35" t="e" cm="1">
        <f t="array" aca="1" ref="BO107"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7" s="35" t="e" cm="1">
        <f t="array" aca="1" ref="BP107"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7" t="e" cm="1">
        <f t="array" aca="1" ref="BQ107"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7" s="35" t="e" cm="1">
        <f t="array" aca="1" ref="BR107"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7" s="35" t="e" cm="1">
        <f t="array" aca="1" ref="BS107"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7" t="e" cm="1">
        <f t="array" aca="1" ref="BT107"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7" s="35" t="e" cm="1">
        <f t="array" aca="1" ref="BU107"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7" s="35" t="e" cm="1">
        <f t="array" aca="1" ref="BV107"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7" t="e" cm="1">
        <f t="array" aca="1" ref="BW107"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7" s="35" t="e" cm="1">
        <f t="array" aca="1" ref="BX107"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7" s="35" t="e" cm="1">
        <f t="array" aca="1" ref="BY107"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7" t="e" cm="1">
        <f t="array" aca="1" ref="BZ107"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7" s="35" t="e" cm="1">
        <f t="array" aca="1" ref="CA107"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7" s="35" t="e" cm="1">
        <f t="array" aca="1" ref="CB107"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7" t="e" cm="1">
        <f t="array" aca="1" ref="CC107"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7" s="35" t="e" cm="1">
        <f t="array" aca="1" ref="CD107"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7" s="35" t="e" cm="1">
        <f t="array" aca="1" ref="CE107"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7" t="e" cm="1">
        <f t="array" aca="1" ref="CF107"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7" s="165" cm="1">
        <f t="array" aca="1" ref="CG107"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7" s="375" cm="1">
        <f t="array" aca="1" ref="CH107"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7" s="251" cm="1">
        <f t="array" aca="1" ref="CI107" ca="1">(SUMPRODUCT(Delay_emissions_table[Consumption of Diesel (kg) - Secondary Scenario],IF(Delay_emissions_table[Form of Maintenance - Secondary Scenario]="Life Extension",1,0))*INDEX(Indicators,MATCH('Additional Impact Indicators'!$A107,Materials!$D:$D,0),MATCH("diesel combustion",Materials!$1:$1,0))+SUMPRODUCT(Delay_emissions_table[Consumption of Petrol (kg) - Secondary Scenario],IF(Delay_emissions_table[Form of Maintenance - Secondary Scenario]="Life Extension",1,0))*INDEX(Indicators,MATCH('Additional Impact Indicators'!$A107,Materials!$D:$D,0),MATCH("petrol combustion",Materials!$1:$1,0))+IFERROR(SUMPRODUCT(TRANSPOSE(INDEX(elec_project_emissions,MATCH(Elec_scenario&amp;'Additional Impact Indicators'!$B107,INDEX(Electricity_projection,0,3),0)-1,0)),Delay_emissions_table[Consumption of electricity (MJ) - Secondary Scenario],IF(Delay_emissions_table[Form of Maintenance - Secondary Scenario]="Life Extension",1,0)),0))*Area_trans*time_adj_Sec</f>
        <v>0</v>
      </c>
      <c r="CJ107" s="251" cm="1">
        <f t="array" aca="1" ref="CJ107" ca="1">(SUMPRODUCT(Delay_emissions_table[Consumption of Diesel (kg) - Secondary Scenario],IF(Delay_emissions_table[Form of Maintenance - Secondary Scenario]="Replacement",1,0))*INDEX(Indicators,MATCH('Additional Impact Indicators'!$A107,Materials!$D:$D,0),MATCH("diesel combustion",Materials!$1:$1,0))+SUMPRODUCT(Delay_emissions_table[Consumption of Petrol (kg) - Secondary Scenario],IF(Delay_emissions_table[Form of Maintenance - Secondary Scenario]="Replacement",1,0))*INDEX(Indicators,MATCH('Additional Impact Indicators'!$A107,Materials!$D:$D,0),MATCH("petrol combustion",Materials!$1:$1,0))+IFERROR(SUMPRODUCT(TRANSPOSE(INDEX(elec_project_emissions,MATCH(Elec_scenario&amp;'Additional Impact Indicators'!$B107,INDEX(Electricity_projection,0,3),0)-1,0)),Delay_emissions_table[Consumption of electricity (MJ) - Secondary Scenario],IF(Delay_emissions_table[Form of Maintenance - Secondary Scenario]="Replacement",1,0)),0))*Area_trans*time_adj_Sec</f>
        <v>0</v>
      </c>
      <c r="CK107" s="252" t="e" cm="1">
        <f t="array" ref="CK107">(SUM(Sec_Materials[Thickness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7" s="252" t="e" cm="1">
        <f t="array" ref="CL107">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7" s="253" t="e" cm="1">
        <f t="array" ref="CM107">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7" s="387" t="e" cm="1">
        <f t="array" ref="CN107">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7" s="51" t="e">
        <f ca="1">SUMIF(Table3[[#This Row],[Raw-Materials]:[Transport to recycling facility]],"&lt;&gt;#N/A")</f>
        <v>#DIV/0!</v>
      </c>
      <c r="CT107" t="s">
        <v>603</v>
      </c>
      <c r="CU107" t="s">
        <v>416</v>
      </c>
      <c r="CV107" t="str">
        <f t="shared" si="6"/>
        <v>A2</v>
      </c>
      <c r="CW107" t="s">
        <v>54</v>
      </c>
      <c r="CY107">
        <f>MATCH(Table611[[#This Row],[Indicator]],Material_Impacts[Look up],0)</f>
        <v>47</v>
      </c>
      <c r="CZ107" s="246" cm="1">
        <f t="array" aca="1" ref="CZ107"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7" s="165" cm="1">
        <f t="array" ref="DA107">(IFERROR(INDEX(Tert_Materials[],1,5)*INDEX(Tert_Materials[],1,6)*INDEX(Material_Impacts[],MATCH(Impacts_Additional[[#This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7" s="165" t="e">
        <f>Diesel_RawM_Tert*INDEX(Indicators,MATCH(Impacts_Additional[[#This Row],[Indicator]],Materials!$D:$D,0),MATCH("Diesel Combustion",Materials!$1:$1,0))*Diesel_density*Project_Area*Tert_Lays*Area_trans</f>
        <v>#DIV/0!</v>
      </c>
      <c r="DC107" s="35" t="e" cm="1">
        <f t="array" aca="1" ref="DC107"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7" s="35" t="e" cm="1">
        <f t="array" aca="1" ref="DD107"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7" t="e" cm="1">
        <f t="array" aca="1" ref="DE107"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7" s="35" t="e" cm="1">
        <f t="array" aca="1" ref="DF107"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7" s="35" t="e" cm="1">
        <f t="array" aca="1" ref="DG107"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7" t="e" cm="1">
        <f t="array" aca="1" ref="DH107"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7" s="35" t="e" cm="1">
        <f t="array" aca="1" ref="DI107"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7" s="35" t="e" cm="1">
        <f t="array" aca="1" ref="DJ107"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7" t="e" cm="1">
        <f t="array" aca="1" ref="DK107"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7" s="35" t="e" cm="1">
        <f t="array" aca="1" ref="DL107"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7" s="35" t="e" cm="1">
        <f t="array" aca="1" ref="DM107"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7" t="e" cm="1">
        <f t="array" aca="1" ref="DN107"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7" s="35" t="e" cm="1">
        <f t="array" aca="1" ref="DO107"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7" s="35" t="e" cm="1">
        <f t="array" aca="1" ref="DP107"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7" t="e" cm="1">
        <f t="array" aca="1" ref="DQ107"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7" s="35" t="e" cm="1">
        <f t="array" aca="1" ref="DR107"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7" s="35" t="e" cm="1">
        <f t="array" aca="1" ref="DS107"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7" t="e" cm="1">
        <f t="array" aca="1" ref="DT107"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7" s="35" t="e" cm="1">
        <f t="array" aca="1" ref="DU107"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7" s="35" t="e" cm="1">
        <f t="array" aca="1" ref="DV107"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7" t="e" cm="1">
        <f t="array" aca="1" ref="DW107"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7" s="35" t="e" cm="1">
        <f t="array" aca="1" ref="DX107"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7" s="35" t="e" cm="1">
        <f t="array" aca="1" ref="DY107"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7" t="e" cm="1">
        <f t="array" aca="1" ref="DZ107"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7" s="35" t="e" cm="1">
        <f t="array" aca="1" ref="EA107"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7" s="35" t="e" cm="1">
        <f t="array" aca="1" ref="EB107"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7" t="e" cm="1">
        <f t="array" aca="1" ref="EC107"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7" s="165" cm="1">
        <f t="array" aca="1" ref="ED107"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7" s="375" cm="1">
        <f t="array" aca="1" ref="EE107"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7" s="251" cm="1">
        <f t="array" aca="1" ref="EF107" ca="1">(SUMPRODUCT(Delay_emissions_table[Consumption of Diesel (kg) - Tertiary Scenario],IF(Delay_emissions_table[Form of Maintenance - Tertiary Scenario]="Life Extension",1,0))*INDEX(Indicators,MATCH('Additional Impact Indicators'!$A107,Materials!$D:$D,0),MATCH("diesel combustion",Materials!$1:$1,0))+SUMPRODUCT(Delay_emissions_table[Consumption of Petrol (kg) - Tertiary Scenario],IF(Delay_emissions_table[Form of Maintenance - Tertiary Scenario]="Life Extension",1,0))*INDEX(Indicators,MATCH('Additional Impact Indicators'!$A107,Materials!$D:$D,0),MATCH("petrol combustion",Materials!$1:$1,0))+IFERROR(SUMPRODUCT(TRANSPOSE(INDEX(elec_project_emissions,MATCH(Elec_scenario&amp;'Additional Impact Indicators'!$B107,INDEX(Electricity_projection,0,3),0)-1,0)),Delay_emissions_table[Consumption of electricity (MJ) - Tertiary Scenario],IF(Delay_emissions_table[Form of Maintenance - Tertiary Scenario]="Life Extension",1,0)),0))*Area_trans*Time_adj_Tert</f>
        <v>0</v>
      </c>
      <c r="EG107" s="251" cm="1">
        <f t="array" aca="1" ref="EG107" ca="1">(SUMPRODUCT(Delay_emissions_table[Consumption of Diesel (kg) - Tertiary Scenario],IF(Delay_emissions_table[Form of Maintenance - Tertiary Scenario]="Replacement",1,0))*INDEX(Indicators,MATCH('Additional Impact Indicators'!$A107,Materials!$D:$D,0),MATCH("diesel combustion",Materials!$1:$1,0))+SUMPRODUCT(Delay_emissions_table[Consumption of Petrol (kg) - Tertiary Scenario],IF(Delay_emissions_table[Form of Maintenance - Tertiary Scenario]="Replacement",1,0))*INDEX(Indicators,MATCH('Additional Impact Indicators'!$A107,Materials!$D:$D,0),MATCH("petrol combustion",Materials!$1:$1,0))+IFERROR(SUMPRODUCT(TRANSPOSE(INDEX(elec_project_emissions,MATCH(Elec_scenario&amp;'Additional Impact Indicators'!$B107,INDEX(Electricity_projection,0,3),0)-1,0)),Delay_emissions_table[Consumption of electricity (MJ) - Tertiary Scenario],IF(Delay_emissions_table[Form of Maintenance - Tertiary Scenario]="Replacement",1,0)),0))*Area_trans*Time_adj_Tert</f>
        <v>0</v>
      </c>
      <c r="EH107" s="252" t="e" cm="1">
        <f t="array" ref="EH107">(SUM(Tert_Materials[Thickness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7" s="252" t="e" cm="1">
        <f t="array" ref="EI107">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7" s="253" t="e" cm="1">
        <f t="array" ref="EJ107">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7" s="253" t="e" cm="1">
        <f t="array" ref="EK107">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7" t="e">
        <f ca="1">SUMIF(Table611[[#This Row],[Raw-Materials]:[Transport to recycling facility]],"&lt;&gt;#N/A")</f>
        <v>#DIV/0!</v>
      </c>
    </row>
    <row r="108" spans="1:142" x14ac:dyDescent="0.35">
      <c r="A108" t="s">
        <v>604</v>
      </c>
      <c r="B108" t="s">
        <v>419</v>
      </c>
      <c r="C108" t="str">
        <f t="shared" si="5"/>
        <v>A2</v>
      </c>
      <c r="D108" t="s">
        <v>54</v>
      </c>
      <c r="F108">
        <f>MATCH(Impacts_Additional[[#This Row],[Indicator]],Material_Impacts[Look up],0)</f>
        <v>48</v>
      </c>
      <c r="G108" s="246" cm="1">
        <f t="array" aca="1" ref="G108"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8" s="166" cm="1">
        <f t="array" ref="H108">(IFERROR(INDEX(Prim_Materials[],1,5)*INDEX(Prim_Materials[],1,6)*INDEX(Material_Impacts[],MATCH(Impacts_Additional[[#This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8" s="166" t="e">
        <f>Diesel_RawM_Prim*INDEX(Indicators,MATCH(Impacts_Additional[[#This Row],[Indicator]],Materials!$D:$D,0),MATCH("Diesel Combustion",Materials!$1:$1,0))*Diesel_density*Project_Area*Prim_Lays*Area_trans</f>
        <v>#DIV/0!</v>
      </c>
      <c r="J108" s="20" t="e" cm="1">
        <f t="array" aca="1" ref="J108"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8" s="20" t="e" cm="1">
        <f t="array" aca="1" ref="K108"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8" s="20" t="e" cm="1">
        <f t="array" aca="1" ref="L108"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8" s="20" t="e" cm="1">
        <f t="array" aca="1" ref="M108"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8" s="20" t="e" cm="1">
        <f t="array" aca="1" ref="N108"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8" s="20" t="e" cm="1">
        <f t="array" aca="1" ref="O108"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8" s="20" t="e" cm="1">
        <f t="array" aca="1" ref="P108"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8" s="20" t="e" cm="1">
        <f t="array" aca="1" ref="Q108"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8" s="20" t="e" cm="1">
        <f t="array" aca="1" ref="R108"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8" s="20" t="e" cm="1">
        <f t="array" aca="1" ref="S108"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8" s="20" t="e" cm="1">
        <f t="array" aca="1" ref="T108"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8" s="20" t="e" cm="1">
        <f t="array" aca="1" ref="U108"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8" s="20" t="e" cm="1">
        <f t="array" aca="1" ref="V108"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8" s="20" t="e" cm="1">
        <f t="array" aca="1" ref="W108"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8" s="20" t="e" cm="1">
        <f t="array" aca="1" ref="X108"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8" s="20" t="e" cm="1">
        <f t="array" aca="1" ref="Y108"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8" s="20" t="e" cm="1">
        <f t="array" aca="1" ref="Z108"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8" s="20" t="e" cm="1">
        <f t="array" aca="1" ref="AA108"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8" s="20" t="e" cm="1">
        <f t="array" aca="1" ref="AB108"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8" s="20" t="e" cm="1">
        <f t="array" aca="1" ref="AC108"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8" s="20" t="e" cm="1">
        <f t="array" aca="1" ref="AD108"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8" s="20" t="e" cm="1">
        <f t="array" aca="1" ref="AE108"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8" s="20" t="e" cm="1">
        <f t="array" aca="1" ref="AF108"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8" s="20" t="e" cm="1">
        <f t="array" aca="1" ref="AG108"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8" s="20" t="e" cm="1">
        <f t="array" aca="1" ref="AH108"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8" s="20" t="e" cm="1">
        <f t="array" aca="1" ref="AI108"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8" s="20" t="e" cm="1">
        <f t="array" aca="1" ref="AJ108"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8" s="166" cm="1">
        <f t="array" aca="1" ref="AK108"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8" s="1" cm="1">
        <f t="array" aca="1" ref="AL108"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8" s="247" cm="1">
        <f t="array" aca="1" ref="AM108" ca="1">(SUMPRODUCT(Delay_emissions_table[Consumption of Diesel (kg) - Primary Scenario],IF(Delay_emissions_table[Form of Maintenance - Primary Scenario]="Life Extension",1,0))*INDEX(Indicators,MATCH('Additional Impact Indicators'!$A108,Materials!$D:$D,0),MATCH("diesel combustion",Materials!$1:$1,0))+SUMPRODUCT(Delay_emissions_table[Consumption of Petrol (kg) - Primary Scenario],IF(Delay_emissions_table[Form of Maintenance - Primary Scenario]="Life Extension",1,0))*INDEX(Indicators,MATCH('Additional Impact Indicators'!$A108,Materials!$D:$D,0),MATCH("petrol combustion",Materials!$1:$1,0))+IFERROR(SUMPRODUCT(TRANSPOSE(INDEX(elec_project_emissions,MATCH(Elec_scenario&amp;'Additional Impact Indicators'!$B108,INDEX(Electricity_projection,0,3),0)-1,0)),Delay_emissions_table[Consumption of electricity (MJ) - Primary Scenario],IF(Delay_emissions_table[Form of Maintenance - Primary Scenario]="Life Extension",1,0)),0))*Area_trans*Time_adj_Prim</f>
        <v>0</v>
      </c>
      <c r="AN108" s="247" cm="1">
        <f t="array" aca="1" ref="AN108" ca="1">(SUMPRODUCT(Delay_emissions_table[Consumption of Diesel (kg) - Primary Scenario],IF(Delay_emissions_table[Form of Maintenance - Primary Scenario]="Replacement",1,0))*INDEX(Indicators,MATCH('Additional Impact Indicators'!$A108,Materials!$D:$D,0),MATCH("diesel combustion",Materials!$1:$1,0))+SUMPRODUCT(Delay_emissions_table[Consumption of Petrol (kg) - Primary Scenario],IF(Delay_emissions_table[Form of Maintenance - Primary Scenario]="Replacement",1,0))*INDEX(Indicators,MATCH('Additional Impact Indicators'!$A108,Materials!$D:$D,0),MATCH("petrol combustion",Materials!$1:$1,0))+IFERROR(SUMPRODUCT(TRANSPOSE(INDEX(elec_project_emissions,MATCH(Elec_scenario&amp;'Additional Impact Indicators'!$B108,INDEX(Electricity_projection,0,3),0)-1,0)),Delay_emissions_table[Consumption of electricity (MJ) - Primary Scenario],IF(Delay_emissions_table[Form of Maintenance - Primary Scenario]="Replacement",1,0)),0))*Area_trans*Time_adj_Prim</f>
        <v>0</v>
      </c>
      <c r="AO108" s="248" t="e" cm="1">
        <f t="array" ref="AO108">(SUM(Prim_Materials[Thickness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8" s="248" t="e" cm="1">
        <f t="array" ref="AP108">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8" s="249" t="e" cm="1">
        <f t="array" ref="AQ108">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8" s="386" t="e" cm="1">
        <f t="array" ref="AR108">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8" t="e">
        <f ca="1">SUMIF('Additional Impact Indicators'!$G108:$AQ108,"&lt;&gt;#N/A")</f>
        <v>#DIV/0!</v>
      </c>
      <c r="AW108" t="s">
        <v>604</v>
      </c>
      <c r="AX108" t="s">
        <v>419</v>
      </c>
      <c r="AY108" t="str">
        <f t="shared" si="7"/>
        <v>A2</v>
      </c>
      <c r="AZ108" t="s">
        <v>54</v>
      </c>
      <c r="BB108">
        <f>MATCH(Table3[[#This Row],[Indicator]],Material_Impacts[Look up],0)</f>
        <v>48</v>
      </c>
      <c r="BC108" s="246" cm="1">
        <f t="array" aca="1" ref="BC108"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8" s="166" cm="1">
        <f t="array" ref="BD108">(IFERROR(INDEX(Sec_Materials[],1,5)*INDEX(Sec_Materials[],1,6)*INDEX(Material_Impacts[],MATCH(Impacts_Additional[[#This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8" s="166" t="e">
        <f>Diesel_RawM_Sec*INDEX(Indicators,MATCH(Impacts_Additional[[#This Row],[Indicator]],Materials!$D:$D,0),MATCH("Diesel Combustion",Materials!$1:$1,0))*Diesel_density*Project_Area*Sec_Lays*Area_trans</f>
        <v>#DIV/0!</v>
      </c>
      <c r="BF108" s="35" t="e" cm="1">
        <f t="array" aca="1" ref="BF108"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8" s="35" t="e" cm="1">
        <f t="array" aca="1" ref="BG108"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8" t="e" cm="1">
        <f t="array" aca="1" ref="BH108"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8" s="35" t="e" cm="1">
        <f t="array" aca="1" ref="BI108"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8" s="35" t="e" cm="1">
        <f t="array" aca="1" ref="BJ108"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8" t="e" cm="1">
        <f t="array" aca="1" ref="BK108"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8" s="35" t="e" cm="1">
        <f t="array" aca="1" ref="BL108"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8" s="35" t="e" cm="1">
        <f t="array" aca="1" ref="BM108"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8" t="e" cm="1">
        <f t="array" aca="1" ref="BN108"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8" s="35" t="e" cm="1">
        <f t="array" aca="1" ref="BO108"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8" s="35" t="e" cm="1">
        <f t="array" aca="1" ref="BP108"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8" t="e" cm="1">
        <f t="array" aca="1" ref="BQ108"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8" s="35" t="e" cm="1">
        <f t="array" aca="1" ref="BR108"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8" s="35" t="e" cm="1">
        <f t="array" aca="1" ref="BS108"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8" t="e" cm="1">
        <f t="array" aca="1" ref="BT108"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8" s="35" t="e" cm="1">
        <f t="array" aca="1" ref="BU108"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8" s="35" t="e" cm="1">
        <f t="array" aca="1" ref="BV108"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8" t="e" cm="1">
        <f t="array" aca="1" ref="BW108"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8" s="35" t="e" cm="1">
        <f t="array" aca="1" ref="BX108"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8" s="35" t="e" cm="1">
        <f t="array" aca="1" ref="BY108"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8" t="e" cm="1">
        <f t="array" aca="1" ref="BZ108"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8" s="35" t="e" cm="1">
        <f t="array" aca="1" ref="CA108"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8" s="35" t="e" cm="1">
        <f t="array" aca="1" ref="CB108"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8" t="e" cm="1">
        <f t="array" aca="1" ref="CC108"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8" s="35" t="e" cm="1">
        <f t="array" aca="1" ref="CD108"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8" s="35" t="e" cm="1">
        <f t="array" aca="1" ref="CE108"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8" t="e" cm="1">
        <f t="array" aca="1" ref="CF108"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8" s="166" cm="1">
        <f t="array" aca="1" ref="CG108"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8" s="375" cm="1">
        <f t="array" aca="1" ref="CH108"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8" s="247" cm="1">
        <f t="array" aca="1" ref="CI108" ca="1">(SUMPRODUCT(Delay_emissions_table[Consumption of Diesel (kg) - Secondary Scenario],IF(Delay_emissions_table[Form of Maintenance - Secondary Scenario]="Life Extension",1,0))*INDEX(Indicators,MATCH('Additional Impact Indicators'!$A108,Materials!$D:$D,0),MATCH("diesel combustion",Materials!$1:$1,0))+SUMPRODUCT(Delay_emissions_table[Consumption of Petrol (kg) - Secondary Scenario],IF(Delay_emissions_table[Form of Maintenance - Secondary Scenario]="Life Extension",1,0))*INDEX(Indicators,MATCH('Additional Impact Indicators'!$A108,Materials!$D:$D,0),MATCH("petrol combustion",Materials!$1:$1,0))+IFERROR(SUMPRODUCT(TRANSPOSE(INDEX(elec_project_emissions,MATCH(Elec_scenario&amp;'Additional Impact Indicators'!$B108,INDEX(Electricity_projection,0,3),0)-1,0)),Delay_emissions_table[Consumption of electricity (MJ) - Secondary Scenario],IF(Delay_emissions_table[Form of Maintenance - Secondary Scenario]="Life Extension",1,0)),0))*Area_trans*time_adj_Sec</f>
        <v>0</v>
      </c>
      <c r="CJ108" s="247" cm="1">
        <f t="array" aca="1" ref="CJ108" ca="1">(SUMPRODUCT(Delay_emissions_table[Consumption of Diesel (kg) - Secondary Scenario],IF(Delay_emissions_table[Form of Maintenance - Secondary Scenario]="Replacement",1,0))*INDEX(Indicators,MATCH('Additional Impact Indicators'!$A108,Materials!$D:$D,0),MATCH("diesel combustion",Materials!$1:$1,0))+SUMPRODUCT(Delay_emissions_table[Consumption of Petrol (kg) - Secondary Scenario],IF(Delay_emissions_table[Form of Maintenance - Secondary Scenario]="Replacement",1,0))*INDEX(Indicators,MATCH('Additional Impact Indicators'!$A108,Materials!$D:$D,0),MATCH("petrol combustion",Materials!$1:$1,0))+IFERROR(SUMPRODUCT(TRANSPOSE(INDEX(elec_project_emissions,MATCH(Elec_scenario&amp;'Additional Impact Indicators'!$B108,INDEX(Electricity_projection,0,3),0)-1,0)),Delay_emissions_table[Consumption of electricity (MJ) - Secondary Scenario],IF(Delay_emissions_table[Form of Maintenance - Secondary Scenario]="Replacement",1,0)),0))*Area_trans*time_adj_Sec</f>
        <v>0</v>
      </c>
      <c r="CK108" s="248" t="e" cm="1">
        <f t="array" ref="CK108">(SUM(Sec_Materials[Thickness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8" s="248" t="e" cm="1">
        <f t="array" ref="CL108">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8" s="249" t="e" cm="1">
        <f t="array" ref="CM108">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8" s="387" t="e" cm="1">
        <f t="array" ref="CN108">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8" s="51" t="e">
        <f ca="1">SUMIF(Table3[[#This Row],[Raw-Materials]:[Transport to recycling facility]],"&lt;&gt;#N/A")</f>
        <v>#DIV/0!</v>
      </c>
      <c r="CT108" t="s">
        <v>604</v>
      </c>
      <c r="CU108" t="s">
        <v>419</v>
      </c>
      <c r="CV108" t="str">
        <f t="shared" si="6"/>
        <v>A2</v>
      </c>
      <c r="CW108" t="s">
        <v>54</v>
      </c>
      <c r="CY108">
        <f>MATCH(Table611[[#This Row],[Indicator]],Material_Impacts[Look up],0)</f>
        <v>48</v>
      </c>
      <c r="CZ108" s="246" cm="1">
        <f t="array" aca="1" ref="CZ108"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8" s="166" cm="1">
        <f t="array" ref="DA108">(IFERROR(INDEX(Tert_Materials[],1,5)*INDEX(Tert_Materials[],1,6)*INDEX(Material_Impacts[],MATCH(Impacts_Additional[[#This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8" s="166" t="e">
        <f>Diesel_RawM_Tert*INDEX(Indicators,MATCH(Impacts_Additional[[#This Row],[Indicator]],Materials!$D:$D,0),MATCH("Diesel Combustion",Materials!$1:$1,0))*Diesel_density*Project_Area*Tert_Lays*Area_trans</f>
        <v>#DIV/0!</v>
      </c>
      <c r="DC108" s="35" t="e" cm="1">
        <f t="array" aca="1" ref="DC108"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8" s="35" t="e" cm="1">
        <f t="array" aca="1" ref="DD108"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8" t="e" cm="1">
        <f t="array" aca="1" ref="DE108"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8" s="35" t="e" cm="1">
        <f t="array" aca="1" ref="DF108"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8" s="35" t="e" cm="1">
        <f t="array" aca="1" ref="DG108"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8" t="e" cm="1">
        <f t="array" aca="1" ref="DH108"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8" s="35" t="e" cm="1">
        <f t="array" aca="1" ref="DI108"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8" s="35" t="e" cm="1">
        <f t="array" aca="1" ref="DJ108"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8" t="e" cm="1">
        <f t="array" aca="1" ref="DK108"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8" s="35" t="e" cm="1">
        <f t="array" aca="1" ref="DL108"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8" s="35" t="e" cm="1">
        <f t="array" aca="1" ref="DM108"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8" t="e" cm="1">
        <f t="array" aca="1" ref="DN108"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8" s="35" t="e" cm="1">
        <f t="array" aca="1" ref="DO108"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8" s="35" t="e" cm="1">
        <f t="array" aca="1" ref="DP108"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8" t="e" cm="1">
        <f t="array" aca="1" ref="DQ108"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8" s="35" t="e" cm="1">
        <f t="array" aca="1" ref="DR108"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8" s="35" t="e" cm="1">
        <f t="array" aca="1" ref="DS108"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8" t="e" cm="1">
        <f t="array" aca="1" ref="DT108"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8" s="35" t="e" cm="1">
        <f t="array" aca="1" ref="DU108"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8" s="35" t="e" cm="1">
        <f t="array" aca="1" ref="DV108"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8" t="e" cm="1">
        <f t="array" aca="1" ref="DW108"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8" s="35" t="e" cm="1">
        <f t="array" aca="1" ref="DX108"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8" s="35" t="e" cm="1">
        <f t="array" aca="1" ref="DY108"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8" t="e" cm="1">
        <f t="array" aca="1" ref="DZ108"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8" s="35" t="e" cm="1">
        <f t="array" aca="1" ref="EA108"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8" s="35" t="e" cm="1">
        <f t="array" aca="1" ref="EB108"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8" t="e" cm="1">
        <f t="array" aca="1" ref="EC108"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8" s="166" cm="1">
        <f t="array" aca="1" ref="ED108"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8" s="375" cm="1">
        <f t="array" aca="1" ref="EE108"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8" s="247" cm="1">
        <f t="array" aca="1" ref="EF108" ca="1">(SUMPRODUCT(Delay_emissions_table[Consumption of Diesel (kg) - Tertiary Scenario],IF(Delay_emissions_table[Form of Maintenance - Tertiary Scenario]="Life Extension",1,0))*INDEX(Indicators,MATCH('Additional Impact Indicators'!$A108,Materials!$D:$D,0),MATCH("diesel combustion",Materials!$1:$1,0))+SUMPRODUCT(Delay_emissions_table[Consumption of Petrol (kg) - Tertiary Scenario],IF(Delay_emissions_table[Form of Maintenance - Tertiary Scenario]="Life Extension",1,0))*INDEX(Indicators,MATCH('Additional Impact Indicators'!$A108,Materials!$D:$D,0),MATCH("petrol combustion",Materials!$1:$1,0))+IFERROR(SUMPRODUCT(TRANSPOSE(INDEX(elec_project_emissions,MATCH(Elec_scenario&amp;'Additional Impact Indicators'!$B108,INDEX(Electricity_projection,0,3),0)-1,0)),Delay_emissions_table[Consumption of electricity (MJ) - Tertiary Scenario],IF(Delay_emissions_table[Form of Maintenance - Tertiary Scenario]="Life Extension",1,0)),0))*Area_trans*Time_adj_Tert</f>
        <v>0</v>
      </c>
      <c r="EG108" s="247" cm="1">
        <f t="array" aca="1" ref="EG108" ca="1">(SUMPRODUCT(Delay_emissions_table[Consumption of Diesel (kg) - Tertiary Scenario],IF(Delay_emissions_table[Form of Maintenance - Tertiary Scenario]="Replacement",1,0))*INDEX(Indicators,MATCH('Additional Impact Indicators'!$A108,Materials!$D:$D,0),MATCH("diesel combustion",Materials!$1:$1,0))+SUMPRODUCT(Delay_emissions_table[Consumption of Petrol (kg) - Tertiary Scenario],IF(Delay_emissions_table[Form of Maintenance - Tertiary Scenario]="Replacement",1,0))*INDEX(Indicators,MATCH('Additional Impact Indicators'!$A108,Materials!$D:$D,0),MATCH("petrol combustion",Materials!$1:$1,0))+IFERROR(SUMPRODUCT(TRANSPOSE(INDEX(elec_project_emissions,MATCH(Elec_scenario&amp;'Additional Impact Indicators'!$B108,INDEX(Electricity_projection,0,3),0)-1,0)),Delay_emissions_table[Consumption of electricity (MJ) - Tertiary Scenario],IF(Delay_emissions_table[Form of Maintenance - Tertiary Scenario]="Replacement",1,0)),0))*Area_trans*Time_adj_Tert</f>
        <v>0</v>
      </c>
      <c r="EH108" s="248" t="e" cm="1">
        <f t="array" ref="EH108">(SUM(Tert_Materials[Thickness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8" s="248" t="e" cm="1">
        <f t="array" ref="EI108">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8" s="249" t="e" cm="1">
        <f t="array" ref="EJ108">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8" s="249" t="e" cm="1">
        <f t="array" ref="EK108">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8" t="e">
        <f ca="1">SUMIF(Table611[[#This Row],[Raw-Materials]:[Transport to recycling facility]],"&lt;&gt;#N/A")</f>
        <v>#DIV/0!</v>
      </c>
    </row>
    <row r="109" spans="1:142" x14ac:dyDescent="0.35">
      <c r="A109" s="155" t="s">
        <v>605</v>
      </c>
      <c r="B109" s="155" t="s">
        <v>421</v>
      </c>
      <c r="C109" s="155" t="str">
        <f t="shared" si="5"/>
        <v>A2</v>
      </c>
      <c r="D109" s="155" t="s">
        <v>54</v>
      </c>
      <c r="E109" s="155"/>
      <c r="F109">
        <f>MATCH(Impacts_Additional[[#This Row],[Indicator]],Material_Impacts[Look up],0)</f>
        <v>49</v>
      </c>
      <c r="G109" s="246" cm="1">
        <f t="array" aca="1" ref="G109"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09" s="165" cm="1">
        <f t="array" ref="H109">(IFERROR(INDEX(Prim_Materials[],1,5)*INDEX(Prim_Materials[],1,6)*INDEX(Material_Impacts[],MATCH(Impacts_Additional[[#This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09" s="165" t="e">
        <f>Diesel_RawM_Prim*INDEX(Indicators,MATCH(Impacts_Additional[[#This Row],[Indicator]],Materials!$D:$D,0),MATCH("Diesel Combustion",Materials!$1:$1,0))*Diesel_density*Project_Area*Prim_Lays*Area_trans</f>
        <v>#DIV/0!</v>
      </c>
      <c r="J109" s="250" t="e" cm="1">
        <f t="array" aca="1" ref="J109"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09" s="250" t="e" cm="1">
        <f t="array" aca="1" ref="K109"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09" s="250" t="e" cm="1">
        <f t="array" aca="1" ref="L109"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09" s="250" t="e" cm="1">
        <f t="array" aca="1" ref="M109"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09" s="250" t="e" cm="1">
        <f t="array" aca="1" ref="N109"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09" s="250" t="e" cm="1">
        <f t="array" aca="1" ref="O109"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09" s="250" t="e" cm="1">
        <f t="array" aca="1" ref="P109"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09" s="250" t="e" cm="1">
        <f t="array" aca="1" ref="Q109"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09" s="250" t="e" cm="1">
        <f t="array" aca="1" ref="R109"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09" s="250" t="e" cm="1">
        <f t="array" aca="1" ref="S109"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09" s="250" t="e" cm="1">
        <f t="array" aca="1" ref="T109"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09" s="250" t="e" cm="1">
        <f t="array" aca="1" ref="U109"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09" s="250" t="e" cm="1">
        <f t="array" aca="1" ref="V109"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09" s="250" t="e" cm="1">
        <f t="array" aca="1" ref="W109"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09" s="250" t="e" cm="1">
        <f t="array" aca="1" ref="X109"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09" s="250" t="e" cm="1">
        <f t="array" aca="1" ref="Y109"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09" s="250" t="e" cm="1">
        <f t="array" aca="1" ref="Z109"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09" s="250" t="e" cm="1">
        <f t="array" aca="1" ref="AA109"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09" s="250" t="e" cm="1">
        <f t="array" aca="1" ref="AB109"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09" s="250" t="e" cm="1">
        <f t="array" aca="1" ref="AC109"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09" s="250" t="e" cm="1">
        <f t="array" aca="1" ref="AD109"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09" s="250" t="e" cm="1">
        <f t="array" aca="1" ref="AE109"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09" s="250" t="e" cm="1">
        <f t="array" aca="1" ref="AF109"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09" s="250" t="e" cm="1">
        <f t="array" aca="1" ref="AG109"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09" s="250" t="e" cm="1">
        <f t="array" aca="1" ref="AH109"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09" s="250" t="e" cm="1">
        <f t="array" aca="1" ref="AI109"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09" s="250" t="e" cm="1">
        <f t="array" aca="1" ref="AJ109"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09" s="165" cm="1">
        <f t="array" aca="1" ref="AK109"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09" s="254" cm="1">
        <f t="array" aca="1" ref="AL109"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09" s="251" cm="1">
        <f t="array" aca="1" ref="AM109" ca="1">(SUMPRODUCT(Delay_emissions_table[Consumption of Diesel (kg) - Primary Scenario],IF(Delay_emissions_table[Form of Maintenance - Primary Scenario]="Life Extension",1,0))*INDEX(Indicators,MATCH('Additional Impact Indicators'!$A109,Materials!$D:$D,0),MATCH("diesel combustion",Materials!$1:$1,0))+SUMPRODUCT(Delay_emissions_table[Consumption of Petrol (kg) - Primary Scenario],IF(Delay_emissions_table[Form of Maintenance - Primary Scenario]="Life Extension",1,0))*INDEX(Indicators,MATCH('Additional Impact Indicators'!$A109,Materials!$D:$D,0),MATCH("petrol combustion",Materials!$1:$1,0))+IFERROR(SUMPRODUCT(TRANSPOSE(INDEX(elec_project_emissions,MATCH(Elec_scenario&amp;'Additional Impact Indicators'!$B109,INDEX(Electricity_projection,0,3),0)-1,0)),Delay_emissions_table[Consumption of electricity (MJ) - Primary Scenario],IF(Delay_emissions_table[Form of Maintenance - Primary Scenario]="Life Extension",1,0)),0))*Area_trans*Time_adj_Prim</f>
        <v>0</v>
      </c>
      <c r="AN109" s="251" cm="1">
        <f t="array" aca="1" ref="AN109" ca="1">(SUMPRODUCT(Delay_emissions_table[Consumption of Diesel (kg) - Primary Scenario],IF(Delay_emissions_table[Form of Maintenance - Primary Scenario]="Replacement",1,0))*INDEX(Indicators,MATCH('Additional Impact Indicators'!$A109,Materials!$D:$D,0),MATCH("diesel combustion",Materials!$1:$1,0))+SUMPRODUCT(Delay_emissions_table[Consumption of Petrol (kg) - Primary Scenario],IF(Delay_emissions_table[Form of Maintenance - Primary Scenario]="Replacement",1,0))*INDEX(Indicators,MATCH('Additional Impact Indicators'!$A109,Materials!$D:$D,0),MATCH("petrol combustion",Materials!$1:$1,0))+IFERROR(SUMPRODUCT(TRANSPOSE(INDEX(elec_project_emissions,MATCH(Elec_scenario&amp;'Additional Impact Indicators'!$B109,INDEX(Electricity_projection,0,3),0)-1,0)),Delay_emissions_table[Consumption of electricity (MJ) - Primary Scenario],IF(Delay_emissions_table[Form of Maintenance - Primary Scenario]="Replacement",1,0)),0))*Area_trans*Time_adj_Prim</f>
        <v>0</v>
      </c>
      <c r="AO109" s="252" t="e" cm="1">
        <f t="array" ref="AO109">(SUM(Prim_Materials[Thickness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09" s="252" t="e" cm="1">
        <f t="array" ref="AP109">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09" s="253" t="e" cm="1">
        <f t="array" ref="AQ109">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09" s="385" t="e" cm="1">
        <f t="array" ref="AR109">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09" t="e">
        <f ca="1">SUMIF('Additional Impact Indicators'!$G109:$AQ109,"&lt;&gt;#N/A")</f>
        <v>#DIV/0!</v>
      </c>
      <c r="AW109" s="155" t="s">
        <v>605</v>
      </c>
      <c r="AX109" s="155" t="s">
        <v>421</v>
      </c>
      <c r="AY109" t="str">
        <f t="shared" si="7"/>
        <v>A2</v>
      </c>
      <c r="AZ109" s="155" t="s">
        <v>54</v>
      </c>
      <c r="BB109">
        <f>MATCH(Table3[[#This Row],[Indicator]],Material_Impacts[Look up],0)</f>
        <v>49</v>
      </c>
      <c r="BC109" s="246" cm="1">
        <f t="array" aca="1" ref="BC109"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09" s="165" cm="1">
        <f t="array" ref="BD109">(IFERROR(INDEX(Sec_Materials[],1,5)*INDEX(Sec_Materials[],1,6)*INDEX(Material_Impacts[],MATCH(Impacts_Additional[[#This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09" s="165" t="e">
        <f>Diesel_RawM_Sec*INDEX(Indicators,MATCH(Impacts_Additional[[#This Row],[Indicator]],Materials!$D:$D,0),MATCH("Diesel Combustion",Materials!$1:$1,0))*Diesel_density*Project_Area*Sec_Lays*Area_trans</f>
        <v>#DIV/0!</v>
      </c>
      <c r="BF109" s="35" t="e" cm="1">
        <f t="array" aca="1" ref="BF109"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09" s="35" t="e" cm="1">
        <f t="array" aca="1" ref="BG109"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09" t="e" cm="1">
        <f t="array" aca="1" ref="BH109"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09" s="35" t="e" cm="1">
        <f t="array" aca="1" ref="BI109"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09" s="35" t="e" cm="1">
        <f t="array" aca="1" ref="BJ109"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09" t="e" cm="1">
        <f t="array" aca="1" ref="BK109"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09" s="35" t="e" cm="1">
        <f t="array" aca="1" ref="BL109"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09" s="35" t="e" cm="1">
        <f t="array" aca="1" ref="BM109"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09" t="e" cm="1">
        <f t="array" aca="1" ref="BN109"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09" s="35" t="e" cm="1">
        <f t="array" aca="1" ref="BO109"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09" s="35" t="e" cm="1">
        <f t="array" aca="1" ref="BP109"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09" t="e" cm="1">
        <f t="array" aca="1" ref="BQ109"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09" s="35" t="e" cm="1">
        <f t="array" aca="1" ref="BR109"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09" s="35" t="e" cm="1">
        <f t="array" aca="1" ref="BS109"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09" t="e" cm="1">
        <f t="array" aca="1" ref="BT109"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09" s="35" t="e" cm="1">
        <f t="array" aca="1" ref="BU109"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09" s="35" t="e" cm="1">
        <f t="array" aca="1" ref="BV109"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09" t="e" cm="1">
        <f t="array" aca="1" ref="BW109"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09" s="35" t="e" cm="1">
        <f t="array" aca="1" ref="BX109"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09" s="35" t="e" cm="1">
        <f t="array" aca="1" ref="BY109"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09" t="e" cm="1">
        <f t="array" aca="1" ref="BZ109"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09" s="35" t="e" cm="1">
        <f t="array" aca="1" ref="CA109"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09" s="35" t="e" cm="1">
        <f t="array" aca="1" ref="CB109"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09" t="e" cm="1">
        <f t="array" aca="1" ref="CC109"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09" s="35" t="e" cm="1">
        <f t="array" aca="1" ref="CD109"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09" s="35" t="e" cm="1">
        <f t="array" aca="1" ref="CE109"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09" t="e" cm="1">
        <f t="array" aca="1" ref="CF109"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09" s="165" cm="1">
        <f t="array" aca="1" ref="CG109"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09" s="375" cm="1">
        <f t="array" aca="1" ref="CH109"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09" s="251" cm="1">
        <f t="array" aca="1" ref="CI109" ca="1">(SUMPRODUCT(Delay_emissions_table[Consumption of Diesel (kg) - Secondary Scenario],IF(Delay_emissions_table[Form of Maintenance - Secondary Scenario]="Life Extension",1,0))*INDEX(Indicators,MATCH('Additional Impact Indicators'!$A109,Materials!$D:$D,0),MATCH("diesel combustion",Materials!$1:$1,0))+SUMPRODUCT(Delay_emissions_table[Consumption of Petrol (kg) - Secondary Scenario],IF(Delay_emissions_table[Form of Maintenance - Secondary Scenario]="Life Extension",1,0))*INDEX(Indicators,MATCH('Additional Impact Indicators'!$A109,Materials!$D:$D,0),MATCH("petrol combustion",Materials!$1:$1,0))+IFERROR(SUMPRODUCT(TRANSPOSE(INDEX(elec_project_emissions,MATCH(Elec_scenario&amp;'Additional Impact Indicators'!$B109,INDEX(Electricity_projection,0,3),0)-1,0)),Delay_emissions_table[Consumption of electricity (MJ) - Secondary Scenario],IF(Delay_emissions_table[Form of Maintenance - Secondary Scenario]="Life Extension",1,0)),0))*Area_trans*time_adj_Sec</f>
        <v>0</v>
      </c>
      <c r="CJ109" s="251" cm="1">
        <f t="array" aca="1" ref="CJ109" ca="1">(SUMPRODUCT(Delay_emissions_table[Consumption of Diesel (kg) - Secondary Scenario],IF(Delay_emissions_table[Form of Maintenance - Secondary Scenario]="Replacement",1,0))*INDEX(Indicators,MATCH('Additional Impact Indicators'!$A109,Materials!$D:$D,0),MATCH("diesel combustion",Materials!$1:$1,0))+SUMPRODUCT(Delay_emissions_table[Consumption of Petrol (kg) - Secondary Scenario],IF(Delay_emissions_table[Form of Maintenance - Secondary Scenario]="Replacement",1,0))*INDEX(Indicators,MATCH('Additional Impact Indicators'!$A109,Materials!$D:$D,0),MATCH("petrol combustion",Materials!$1:$1,0))+IFERROR(SUMPRODUCT(TRANSPOSE(INDEX(elec_project_emissions,MATCH(Elec_scenario&amp;'Additional Impact Indicators'!$B109,INDEX(Electricity_projection,0,3),0)-1,0)),Delay_emissions_table[Consumption of electricity (MJ) - Secondary Scenario],IF(Delay_emissions_table[Form of Maintenance - Secondary Scenario]="Replacement",1,0)),0))*Area_trans*time_adj_Sec</f>
        <v>0</v>
      </c>
      <c r="CK109" s="252" t="e" cm="1">
        <f t="array" ref="CK109">(SUM(Sec_Materials[Thickness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09" s="252" t="e" cm="1">
        <f t="array" ref="CL109">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09" s="253" t="e" cm="1">
        <f t="array" ref="CM109">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09" s="387" t="e" cm="1">
        <f t="array" ref="CN109">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09" s="51" t="e">
        <f ca="1">SUMIF(Table3[[#This Row],[Raw-Materials]:[Transport to recycling facility]],"&lt;&gt;#N/A")</f>
        <v>#DIV/0!</v>
      </c>
      <c r="CT109" t="s">
        <v>605</v>
      </c>
      <c r="CU109" t="s">
        <v>421</v>
      </c>
      <c r="CV109" t="str">
        <f t="shared" si="6"/>
        <v>A2</v>
      </c>
      <c r="CW109" t="s">
        <v>54</v>
      </c>
      <c r="CY109">
        <f>MATCH(Table611[[#This Row],[Indicator]],Material_Impacts[Look up],0)</f>
        <v>49</v>
      </c>
      <c r="CZ109" s="246" cm="1">
        <f t="array" aca="1" ref="CZ109"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09" s="165" cm="1">
        <f t="array" ref="DA109">(IFERROR(INDEX(Tert_Materials[],1,5)*INDEX(Tert_Materials[],1,6)*INDEX(Material_Impacts[],MATCH(Impacts_Additional[[#This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09" s="165" t="e">
        <f>Diesel_RawM_Tert*INDEX(Indicators,MATCH(Impacts_Additional[[#This Row],[Indicator]],Materials!$D:$D,0),MATCH("Diesel Combustion",Materials!$1:$1,0))*Diesel_density*Project_Area*Tert_Lays*Area_trans</f>
        <v>#DIV/0!</v>
      </c>
      <c r="DC109" s="35" t="e" cm="1">
        <f t="array" aca="1" ref="DC109"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09" s="35" t="e" cm="1">
        <f t="array" aca="1" ref="DD109"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09" t="e" cm="1">
        <f t="array" aca="1" ref="DE109"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09" s="35" t="e" cm="1">
        <f t="array" aca="1" ref="DF109"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09" s="35" t="e" cm="1">
        <f t="array" aca="1" ref="DG109"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09" t="e" cm="1">
        <f t="array" aca="1" ref="DH109"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09" s="35" t="e" cm="1">
        <f t="array" aca="1" ref="DI109"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09" s="35" t="e" cm="1">
        <f t="array" aca="1" ref="DJ109"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09" t="e" cm="1">
        <f t="array" aca="1" ref="DK109"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09" s="35" t="e" cm="1">
        <f t="array" aca="1" ref="DL109"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09" s="35" t="e" cm="1">
        <f t="array" aca="1" ref="DM109"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09" t="e" cm="1">
        <f t="array" aca="1" ref="DN109"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09" s="35" t="e" cm="1">
        <f t="array" aca="1" ref="DO109"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09" s="35" t="e" cm="1">
        <f t="array" aca="1" ref="DP109"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09" t="e" cm="1">
        <f t="array" aca="1" ref="DQ109"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09" s="35" t="e" cm="1">
        <f t="array" aca="1" ref="DR109"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09" s="35" t="e" cm="1">
        <f t="array" aca="1" ref="DS109"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09" t="e" cm="1">
        <f t="array" aca="1" ref="DT109"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09" s="35" t="e" cm="1">
        <f t="array" aca="1" ref="DU109"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09" s="35" t="e" cm="1">
        <f t="array" aca="1" ref="DV109"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09" t="e" cm="1">
        <f t="array" aca="1" ref="DW109"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09" s="35" t="e" cm="1">
        <f t="array" aca="1" ref="DX109"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09" s="35" t="e" cm="1">
        <f t="array" aca="1" ref="DY109"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09" t="e" cm="1">
        <f t="array" aca="1" ref="DZ109"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09" s="35" t="e" cm="1">
        <f t="array" aca="1" ref="EA109"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09" s="35" t="e" cm="1">
        <f t="array" aca="1" ref="EB109"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09" t="e" cm="1">
        <f t="array" aca="1" ref="EC109"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09" s="165" cm="1">
        <f t="array" aca="1" ref="ED109"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09" s="375" cm="1">
        <f t="array" aca="1" ref="EE109"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09" s="251" cm="1">
        <f t="array" aca="1" ref="EF109" ca="1">(SUMPRODUCT(Delay_emissions_table[Consumption of Diesel (kg) - Tertiary Scenario],IF(Delay_emissions_table[Form of Maintenance - Tertiary Scenario]="Life Extension",1,0))*INDEX(Indicators,MATCH('Additional Impact Indicators'!$A109,Materials!$D:$D,0),MATCH("diesel combustion",Materials!$1:$1,0))+SUMPRODUCT(Delay_emissions_table[Consumption of Petrol (kg) - Tertiary Scenario],IF(Delay_emissions_table[Form of Maintenance - Tertiary Scenario]="Life Extension",1,0))*INDEX(Indicators,MATCH('Additional Impact Indicators'!$A109,Materials!$D:$D,0),MATCH("petrol combustion",Materials!$1:$1,0))+IFERROR(SUMPRODUCT(TRANSPOSE(INDEX(elec_project_emissions,MATCH(Elec_scenario&amp;'Additional Impact Indicators'!$B109,INDEX(Electricity_projection,0,3),0)-1,0)),Delay_emissions_table[Consumption of electricity (MJ) - Tertiary Scenario],IF(Delay_emissions_table[Form of Maintenance - Tertiary Scenario]="Life Extension",1,0)),0))*Area_trans*Time_adj_Tert</f>
        <v>0</v>
      </c>
      <c r="EG109" s="251" cm="1">
        <f t="array" aca="1" ref="EG109" ca="1">(SUMPRODUCT(Delay_emissions_table[Consumption of Diesel (kg) - Tertiary Scenario],IF(Delay_emissions_table[Form of Maintenance - Tertiary Scenario]="Replacement",1,0))*INDEX(Indicators,MATCH('Additional Impact Indicators'!$A109,Materials!$D:$D,0),MATCH("diesel combustion",Materials!$1:$1,0))+SUMPRODUCT(Delay_emissions_table[Consumption of Petrol (kg) - Tertiary Scenario],IF(Delay_emissions_table[Form of Maintenance - Tertiary Scenario]="Replacement",1,0))*INDEX(Indicators,MATCH('Additional Impact Indicators'!$A109,Materials!$D:$D,0),MATCH("petrol combustion",Materials!$1:$1,0))+IFERROR(SUMPRODUCT(TRANSPOSE(INDEX(elec_project_emissions,MATCH(Elec_scenario&amp;'Additional Impact Indicators'!$B109,INDEX(Electricity_projection,0,3),0)-1,0)),Delay_emissions_table[Consumption of electricity (MJ) - Tertiary Scenario],IF(Delay_emissions_table[Form of Maintenance - Tertiary Scenario]="Replacement",1,0)),0))*Area_trans*Time_adj_Tert</f>
        <v>0</v>
      </c>
      <c r="EH109" s="252" t="e" cm="1">
        <f t="array" ref="EH109">(SUM(Tert_Materials[Thickness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09" s="252" t="e" cm="1">
        <f t="array" ref="EI109">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09" s="253" t="e" cm="1">
        <f t="array" ref="EJ109">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09" s="253" t="e" cm="1">
        <f t="array" ref="EK109">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09" t="e">
        <f ca="1">SUMIF(Table611[[#This Row],[Raw-Materials]:[Transport to recycling facility]],"&lt;&gt;#N/A")</f>
        <v>#DIV/0!</v>
      </c>
    </row>
    <row r="110" spans="1:142" x14ac:dyDescent="0.35">
      <c r="A110" t="s">
        <v>606</v>
      </c>
      <c r="B110" t="s">
        <v>553</v>
      </c>
      <c r="C110" t="str">
        <f t="shared" si="5"/>
        <v>A2</v>
      </c>
      <c r="D110" t="s">
        <v>54</v>
      </c>
      <c r="F110">
        <f>MATCH(Impacts_Additional[[#This Row],[Indicator]],Material_Impacts[Look up],0)</f>
        <v>50</v>
      </c>
      <c r="G110" s="246" cm="1">
        <f t="array" aca="1" ref="G110"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10" s="166" cm="1">
        <f t="array" ref="H110">(IFERROR(INDEX(Prim_Materials[],1,5)*INDEX(Prim_Materials[],1,6)*INDEX(Material_Impacts[],MATCH(Impacts_Additional[[#This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10" s="166" t="e">
        <f>Diesel_RawM_Prim*INDEX(Indicators,MATCH(Impacts_Additional[[#This Row],[Indicator]],Materials!$D:$D,0),MATCH("Diesel Combustion",Materials!$1:$1,0))*Diesel_density*Project_Area*Prim_Lays*Area_trans</f>
        <v>#DIV/0!</v>
      </c>
      <c r="J110" s="20" t="e" cm="1">
        <f t="array" aca="1" ref="J110"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10" s="20" t="e" cm="1">
        <f t="array" aca="1" ref="K110"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10" s="20" t="e" cm="1">
        <f t="array" aca="1" ref="L110"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10" s="20" t="e" cm="1">
        <f t="array" aca="1" ref="M110"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10" s="20" t="e" cm="1">
        <f t="array" aca="1" ref="N110"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10" s="20" t="e" cm="1">
        <f t="array" aca="1" ref="O110"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10" s="20" t="e" cm="1">
        <f t="array" aca="1" ref="P110"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10" s="20" t="e" cm="1">
        <f t="array" aca="1" ref="Q110"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10" s="20" t="e" cm="1">
        <f t="array" aca="1" ref="R110"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10" s="20" t="e" cm="1">
        <f t="array" aca="1" ref="S110"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10" s="20" t="e" cm="1">
        <f t="array" aca="1" ref="T110"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10" s="20" t="e" cm="1">
        <f t="array" aca="1" ref="U110"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10" s="20" t="e" cm="1">
        <f t="array" aca="1" ref="V110"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10" s="20" t="e" cm="1">
        <f t="array" aca="1" ref="W110"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10" s="20" t="e" cm="1">
        <f t="array" aca="1" ref="X110"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10" s="20" t="e" cm="1">
        <f t="array" aca="1" ref="Y110"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10" s="20" t="e" cm="1">
        <f t="array" aca="1" ref="Z110"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10" s="20" t="e" cm="1">
        <f t="array" aca="1" ref="AA110"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10" s="20" t="e" cm="1">
        <f t="array" aca="1" ref="AB110"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10" s="20" t="e" cm="1">
        <f t="array" aca="1" ref="AC110"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10" s="20" t="e" cm="1">
        <f t="array" aca="1" ref="AD110"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10" s="20" t="e" cm="1">
        <f t="array" aca="1" ref="AE110"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10" s="20" t="e" cm="1">
        <f t="array" aca="1" ref="AF110"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10" s="20" t="e" cm="1">
        <f t="array" aca="1" ref="AG110"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10" s="20" t="e" cm="1">
        <f t="array" aca="1" ref="AH110"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10" s="20" t="e" cm="1">
        <f t="array" aca="1" ref="AI110"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10" s="20" t="e" cm="1">
        <f t="array" aca="1" ref="AJ110"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10" s="166" cm="1">
        <f t="array" aca="1" ref="AK110"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10" s="1" cm="1">
        <f t="array" aca="1" ref="AL110"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10" s="247" cm="1">
        <f t="array" aca="1" ref="AM110" ca="1">(SUMPRODUCT(Delay_emissions_table[Consumption of Diesel (kg) - Primary Scenario],IF(Delay_emissions_table[Form of Maintenance - Primary Scenario]="Life Extension",1,0))*INDEX(Indicators,MATCH('Additional Impact Indicators'!$A110,Materials!$D:$D,0),MATCH("diesel combustion",Materials!$1:$1,0))+SUMPRODUCT(Delay_emissions_table[Consumption of Petrol (kg) - Primary Scenario],IF(Delay_emissions_table[Form of Maintenance - Primary Scenario]="Life Extension",1,0))*INDEX(Indicators,MATCH('Additional Impact Indicators'!$A110,Materials!$D:$D,0),MATCH("petrol combustion",Materials!$1:$1,0))+IFERROR(SUMPRODUCT(TRANSPOSE(INDEX(elec_project_emissions,MATCH(Elec_scenario&amp;'Additional Impact Indicators'!$B110,INDEX(Electricity_projection,0,3),0)-1,0)),Delay_emissions_table[Consumption of electricity (MJ) - Primary Scenario],IF(Delay_emissions_table[Form of Maintenance - Primary Scenario]="Life Extension",1,0)),0))*Area_trans*Time_adj_Prim</f>
        <v>0</v>
      </c>
      <c r="AN110" s="247" cm="1">
        <f t="array" aca="1" ref="AN110" ca="1">(SUMPRODUCT(Delay_emissions_table[Consumption of Diesel (kg) - Primary Scenario],IF(Delay_emissions_table[Form of Maintenance - Primary Scenario]="Replacement",1,0))*INDEX(Indicators,MATCH('Additional Impact Indicators'!$A110,Materials!$D:$D,0),MATCH("diesel combustion",Materials!$1:$1,0))+SUMPRODUCT(Delay_emissions_table[Consumption of Petrol (kg) - Primary Scenario],IF(Delay_emissions_table[Form of Maintenance - Primary Scenario]="Replacement",1,0))*INDEX(Indicators,MATCH('Additional Impact Indicators'!$A110,Materials!$D:$D,0),MATCH("petrol combustion",Materials!$1:$1,0))+IFERROR(SUMPRODUCT(TRANSPOSE(INDEX(elec_project_emissions,MATCH(Elec_scenario&amp;'Additional Impact Indicators'!$B110,INDEX(Electricity_projection,0,3),0)-1,0)),Delay_emissions_table[Consumption of electricity (MJ) - Primary Scenario],IF(Delay_emissions_table[Form of Maintenance - Primary Scenario]="Replacement",1,0)),0))*Area_trans*Time_adj_Prim</f>
        <v>0</v>
      </c>
      <c r="AO110" s="248" t="e" cm="1">
        <f t="array" ref="AO110">(SUM(Prim_Materials[Thickness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10" s="248" t="e" cm="1">
        <f t="array" ref="AP110">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10" s="249" t="e" cm="1">
        <f t="array" ref="AQ110">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10" s="386" t="e" cm="1">
        <f t="array" ref="AR110">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10" t="e">
        <f ca="1">SUMIF('Additional Impact Indicators'!$G110:$AQ110,"&lt;&gt;#N/A")</f>
        <v>#DIV/0!</v>
      </c>
      <c r="AW110" t="s">
        <v>606</v>
      </c>
      <c r="AX110" t="s">
        <v>553</v>
      </c>
      <c r="AY110" t="str">
        <f t="shared" si="7"/>
        <v>A2</v>
      </c>
      <c r="AZ110" t="s">
        <v>54</v>
      </c>
      <c r="BB110">
        <f>MATCH(Table3[[#This Row],[Indicator]],Material_Impacts[Look up],0)</f>
        <v>50</v>
      </c>
      <c r="BC110" s="246" cm="1">
        <f t="array" aca="1" ref="BC110"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10" s="166" cm="1">
        <f t="array" ref="BD110">(IFERROR(INDEX(Sec_Materials[],1,5)*INDEX(Sec_Materials[],1,6)*INDEX(Material_Impacts[],MATCH(Impacts_Additional[[#This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10" s="166" t="e">
        <f>Diesel_RawM_Sec*INDEX(Indicators,MATCH(Impacts_Additional[[#This Row],[Indicator]],Materials!$D:$D,0),MATCH("Diesel Combustion",Materials!$1:$1,0))*Diesel_density*Project_Area*Sec_Lays*Area_trans</f>
        <v>#DIV/0!</v>
      </c>
      <c r="BF110" s="35" t="e" cm="1">
        <f t="array" aca="1" ref="BF110"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10" s="35" t="e" cm="1">
        <f t="array" aca="1" ref="BG110"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10" t="e" cm="1">
        <f t="array" aca="1" ref="BH110"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10" s="35" t="e" cm="1">
        <f t="array" aca="1" ref="BI110"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10" s="35" t="e" cm="1">
        <f t="array" aca="1" ref="BJ110"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10" t="e" cm="1">
        <f t="array" aca="1" ref="BK110"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10" s="35" t="e" cm="1">
        <f t="array" aca="1" ref="BL110"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10" s="35" t="e" cm="1">
        <f t="array" aca="1" ref="BM110"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10" t="e" cm="1">
        <f t="array" aca="1" ref="BN110"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10" s="35" t="e" cm="1">
        <f t="array" aca="1" ref="BO110"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10" s="35" t="e" cm="1">
        <f t="array" aca="1" ref="BP110"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10" t="e" cm="1">
        <f t="array" aca="1" ref="BQ110"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10" s="35" t="e" cm="1">
        <f t="array" aca="1" ref="BR110"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10" s="35" t="e" cm="1">
        <f t="array" aca="1" ref="BS110"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10" t="e" cm="1">
        <f t="array" aca="1" ref="BT110"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10" s="35" t="e" cm="1">
        <f t="array" aca="1" ref="BU110"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10" s="35" t="e" cm="1">
        <f t="array" aca="1" ref="BV110"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10" t="e" cm="1">
        <f t="array" aca="1" ref="BW110"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10" s="35" t="e" cm="1">
        <f t="array" aca="1" ref="BX110"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10" s="35" t="e" cm="1">
        <f t="array" aca="1" ref="BY110"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10" t="e" cm="1">
        <f t="array" aca="1" ref="BZ110"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10" s="35" t="e" cm="1">
        <f t="array" aca="1" ref="CA110"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10" s="35" t="e" cm="1">
        <f t="array" aca="1" ref="CB110"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10" t="e" cm="1">
        <f t="array" aca="1" ref="CC110"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10" s="35" t="e" cm="1">
        <f t="array" aca="1" ref="CD110"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10" s="35" t="e" cm="1">
        <f t="array" aca="1" ref="CE110"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10" t="e" cm="1">
        <f t="array" aca="1" ref="CF110"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10" s="166" cm="1">
        <f t="array" aca="1" ref="CG110"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10" s="375" cm="1">
        <f t="array" aca="1" ref="CH110"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10" s="247" cm="1">
        <f t="array" aca="1" ref="CI110" ca="1">(SUMPRODUCT(Delay_emissions_table[Consumption of Diesel (kg) - Secondary Scenario],IF(Delay_emissions_table[Form of Maintenance - Secondary Scenario]="Life Extension",1,0))*INDEX(Indicators,MATCH('Additional Impact Indicators'!$A110,Materials!$D:$D,0),MATCH("diesel combustion",Materials!$1:$1,0))+SUMPRODUCT(Delay_emissions_table[Consumption of Petrol (kg) - Secondary Scenario],IF(Delay_emissions_table[Form of Maintenance - Secondary Scenario]="Life Extension",1,0))*INDEX(Indicators,MATCH('Additional Impact Indicators'!$A110,Materials!$D:$D,0),MATCH("petrol combustion",Materials!$1:$1,0))+IFERROR(SUMPRODUCT(TRANSPOSE(INDEX(elec_project_emissions,MATCH(Elec_scenario&amp;'Additional Impact Indicators'!$B110,INDEX(Electricity_projection,0,3),0)-1,0)),Delay_emissions_table[Consumption of electricity (MJ) - Secondary Scenario],IF(Delay_emissions_table[Form of Maintenance - Secondary Scenario]="Life Extension",1,0)),0))*Area_trans*time_adj_Sec</f>
        <v>0</v>
      </c>
      <c r="CJ110" s="247" cm="1">
        <f t="array" aca="1" ref="CJ110" ca="1">(SUMPRODUCT(Delay_emissions_table[Consumption of Diesel (kg) - Secondary Scenario],IF(Delay_emissions_table[Form of Maintenance - Secondary Scenario]="Replacement",1,0))*INDEX(Indicators,MATCH('Additional Impact Indicators'!$A110,Materials!$D:$D,0),MATCH("diesel combustion",Materials!$1:$1,0))+SUMPRODUCT(Delay_emissions_table[Consumption of Petrol (kg) - Secondary Scenario],IF(Delay_emissions_table[Form of Maintenance - Secondary Scenario]="Replacement",1,0))*INDEX(Indicators,MATCH('Additional Impact Indicators'!$A110,Materials!$D:$D,0),MATCH("petrol combustion",Materials!$1:$1,0))+IFERROR(SUMPRODUCT(TRANSPOSE(INDEX(elec_project_emissions,MATCH(Elec_scenario&amp;'Additional Impact Indicators'!$B110,INDEX(Electricity_projection,0,3),0)-1,0)),Delay_emissions_table[Consumption of electricity (MJ) - Secondary Scenario],IF(Delay_emissions_table[Form of Maintenance - Secondary Scenario]="Replacement",1,0)),0))*Area_trans*time_adj_Sec</f>
        <v>0</v>
      </c>
      <c r="CK110" s="248" t="e" cm="1">
        <f t="array" ref="CK110">(SUM(Sec_Materials[Thickness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10" s="248" t="e" cm="1">
        <f t="array" ref="CL110">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10" s="249" t="e" cm="1">
        <f t="array" ref="CM110">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10" s="387" t="e" cm="1">
        <f t="array" ref="CN110">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10" s="51" t="e">
        <f ca="1">SUMIF(Table3[[#This Row],[Raw-Materials]:[Transport to recycling facility]],"&lt;&gt;#N/A")</f>
        <v>#DIV/0!</v>
      </c>
      <c r="CT110" t="s">
        <v>606</v>
      </c>
      <c r="CU110" t="s">
        <v>553</v>
      </c>
      <c r="CV110" t="str">
        <f t="shared" si="6"/>
        <v>A2</v>
      </c>
      <c r="CW110" t="s">
        <v>54</v>
      </c>
      <c r="CY110">
        <f>MATCH(Table611[[#This Row],[Indicator]],Material_Impacts[Look up],0)</f>
        <v>50</v>
      </c>
      <c r="CZ110" s="246" cm="1">
        <f t="array" aca="1" ref="CZ110"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10" s="166" cm="1">
        <f t="array" ref="DA110">(IFERROR(INDEX(Tert_Materials[],1,5)*INDEX(Tert_Materials[],1,6)*INDEX(Material_Impacts[],MATCH(Impacts_Additional[[#This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10" s="166" t="e">
        <f>Diesel_RawM_Tert*INDEX(Indicators,MATCH(Impacts_Additional[[#This Row],[Indicator]],Materials!$D:$D,0),MATCH("Diesel Combustion",Materials!$1:$1,0))*Diesel_density*Project_Area*Tert_Lays*Area_trans</f>
        <v>#DIV/0!</v>
      </c>
      <c r="DC110" s="35" t="e" cm="1">
        <f t="array" aca="1" ref="DC110"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10" s="35" t="e" cm="1">
        <f t="array" aca="1" ref="DD110"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10" t="e" cm="1">
        <f t="array" aca="1" ref="DE110"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10" s="35" t="e" cm="1">
        <f t="array" aca="1" ref="DF110"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10" s="35" t="e" cm="1">
        <f t="array" aca="1" ref="DG110"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10" t="e" cm="1">
        <f t="array" aca="1" ref="DH110"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10" s="35" t="e" cm="1">
        <f t="array" aca="1" ref="DI110"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10" s="35" t="e" cm="1">
        <f t="array" aca="1" ref="DJ110"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10" t="e" cm="1">
        <f t="array" aca="1" ref="DK110"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10" s="35" t="e" cm="1">
        <f t="array" aca="1" ref="DL110"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10" s="35" t="e" cm="1">
        <f t="array" aca="1" ref="DM110"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10" t="e" cm="1">
        <f t="array" aca="1" ref="DN110"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10" s="35" t="e" cm="1">
        <f t="array" aca="1" ref="DO110"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10" s="35" t="e" cm="1">
        <f t="array" aca="1" ref="DP110"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10" t="e" cm="1">
        <f t="array" aca="1" ref="DQ110"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10" s="35" t="e" cm="1">
        <f t="array" aca="1" ref="DR110"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10" s="35" t="e" cm="1">
        <f t="array" aca="1" ref="DS110"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10" t="e" cm="1">
        <f t="array" aca="1" ref="DT110"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10" s="35" t="e" cm="1">
        <f t="array" aca="1" ref="DU110"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10" s="35" t="e" cm="1">
        <f t="array" aca="1" ref="DV110"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10" t="e" cm="1">
        <f t="array" aca="1" ref="DW110"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10" s="35" t="e" cm="1">
        <f t="array" aca="1" ref="DX110"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10" s="35" t="e" cm="1">
        <f t="array" aca="1" ref="DY110"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10" t="e" cm="1">
        <f t="array" aca="1" ref="DZ110"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10" s="35" t="e" cm="1">
        <f t="array" aca="1" ref="EA110"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10" s="35" t="e" cm="1">
        <f t="array" aca="1" ref="EB110"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10" t="e" cm="1">
        <f t="array" aca="1" ref="EC110"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10" s="166" cm="1">
        <f t="array" aca="1" ref="ED110"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10" s="375" cm="1">
        <f t="array" aca="1" ref="EE110"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10" s="247" cm="1">
        <f t="array" aca="1" ref="EF110" ca="1">(SUMPRODUCT(Delay_emissions_table[Consumption of Diesel (kg) - Tertiary Scenario],IF(Delay_emissions_table[Form of Maintenance - Tertiary Scenario]="Life Extension",1,0))*INDEX(Indicators,MATCH('Additional Impact Indicators'!$A110,Materials!$D:$D,0),MATCH("diesel combustion",Materials!$1:$1,0))+SUMPRODUCT(Delay_emissions_table[Consumption of Petrol (kg) - Tertiary Scenario],IF(Delay_emissions_table[Form of Maintenance - Tertiary Scenario]="Life Extension",1,0))*INDEX(Indicators,MATCH('Additional Impact Indicators'!$A110,Materials!$D:$D,0),MATCH("petrol combustion",Materials!$1:$1,0))+IFERROR(SUMPRODUCT(TRANSPOSE(INDEX(elec_project_emissions,MATCH(Elec_scenario&amp;'Additional Impact Indicators'!$B110,INDEX(Electricity_projection,0,3),0)-1,0)),Delay_emissions_table[Consumption of electricity (MJ) - Tertiary Scenario],IF(Delay_emissions_table[Form of Maintenance - Tertiary Scenario]="Life Extension",1,0)),0))*Area_trans*Time_adj_Tert</f>
        <v>0</v>
      </c>
      <c r="EG110" s="247" cm="1">
        <f t="array" aca="1" ref="EG110" ca="1">(SUMPRODUCT(Delay_emissions_table[Consumption of Diesel (kg) - Tertiary Scenario],IF(Delay_emissions_table[Form of Maintenance - Tertiary Scenario]="Replacement",1,0))*INDEX(Indicators,MATCH('Additional Impact Indicators'!$A110,Materials!$D:$D,0),MATCH("diesel combustion",Materials!$1:$1,0))+SUMPRODUCT(Delay_emissions_table[Consumption of Petrol (kg) - Tertiary Scenario],IF(Delay_emissions_table[Form of Maintenance - Tertiary Scenario]="Replacement",1,0))*INDEX(Indicators,MATCH('Additional Impact Indicators'!$A110,Materials!$D:$D,0),MATCH("petrol combustion",Materials!$1:$1,0))+IFERROR(SUMPRODUCT(TRANSPOSE(INDEX(elec_project_emissions,MATCH(Elec_scenario&amp;'Additional Impact Indicators'!$B110,INDEX(Electricity_projection,0,3),0)-1,0)),Delay_emissions_table[Consumption of electricity (MJ) - Tertiary Scenario],IF(Delay_emissions_table[Form of Maintenance - Tertiary Scenario]="Replacement",1,0)),0))*Area_trans*Time_adj_Tert</f>
        <v>0</v>
      </c>
      <c r="EH110" s="248" t="e" cm="1">
        <f t="array" ref="EH110">(SUM(Tert_Materials[Thickness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10" s="248" t="e" cm="1">
        <f t="array" ref="EI110">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10" s="249" t="e" cm="1">
        <f t="array" ref="EJ110">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10" s="249" t="e" cm="1">
        <f t="array" ref="EK110">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10" t="e">
        <f ca="1">SUMIF(Table611[[#This Row],[Raw-Materials]:[Transport to recycling facility]],"&lt;&gt;#N/A")</f>
        <v>#DIV/0!</v>
      </c>
    </row>
    <row r="111" spans="1:142" x14ac:dyDescent="0.35">
      <c r="A111" s="155" t="s">
        <v>607</v>
      </c>
      <c r="B111" s="155" t="s">
        <v>424</v>
      </c>
      <c r="C111" s="155" t="str">
        <f t="shared" si="5"/>
        <v>A2</v>
      </c>
      <c r="D111" s="155" t="s">
        <v>54</v>
      </c>
      <c r="E111" s="155"/>
      <c r="F111">
        <f>MATCH(Impacts_Additional[[#This Row],[Indicator]],Material_Impacts[Look up],0)</f>
        <v>51</v>
      </c>
      <c r="G111" s="246" cm="1">
        <f t="array" aca="1" ref="G111"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11" s="165" cm="1">
        <f t="array" ref="H111">(IFERROR(INDEX(Prim_Materials[],1,5)*INDEX(Prim_Materials[],1,6)*INDEX(Material_Impacts[],MATCH(Impacts_Additional[[#This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11" s="165" t="e">
        <f>Diesel_RawM_Prim*INDEX(Indicators,MATCH(Impacts_Additional[[#This Row],[Indicator]],Materials!$D:$D,0),MATCH("Diesel Combustion",Materials!$1:$1,0))*Diesel_density*Project_Area*Prim_Lays*Area_trans</f>
        <v>#DIV/0!</v>
      </c>
      <c r="J111" s="250" t="e" cm="1">
        <f t="array" aca="1" ref="J111"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11" s="250" t="e" cm="1">
        <f t="array" aca="1" ref="K111"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11" s="250" t="e" cm="1">
        <f t="array" aca="1" ref="L111"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11" s="250" t="e" cm="1">
        <f t="array" aca="1" ref="M111"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11" s="250" t="e" cm="1">
        <f t="array" aca="1" ref="N111"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11" s="250" t="e" cm="1">
        <f t="array" aca="1" ref="O111"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11" s="250" t="e" cm="1">
        <f t="array" aca="1" ref="P111"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11" s="250" t="e" cm="1">
        <f t="array" aca="1" ref="Q111"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11" s="250" t="e" cm="1">
        <f t="array" aca="1" ref="R111"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11" s="250" t="e" cm="1">
        <f t="array" aca="1" ref="S111"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11" s="250" t="e" cm="1">
        <f t="array" aca="1" ref="T111"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11" s="250" t="e" cm="1">
        <f t="array" aca="1" ref="U111"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11" s="250" t="e" cm="1">
        <f t="array" aca="1" ref="V111"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11" s="250" t="e" cm="1">
        <f t="array" aca="1" ref="W111"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11" s="250" t="e" cm="1">
        <f t="array" aca="1" ref="X111"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11" s="250" t="e" cm="1">
        <f t="array" aca="1" ref="Y111"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11" s="250" t="e" cm="1">
        <f t="array" aca="1" ref="Z111"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11" s="250" t="e" cm="1">
        <f t="array" aca="1" ref="AA111"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11" s="250" t="e" cm="1">
        <f t="array" aca="1" ref="AB111"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11" s="250" t="e" cm="1">
        <f t="array" aca="1" ref="AC111"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11" s="250" t="e" cm="1">
        <f t="array" aca="1" ref="AD111"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11" s="250" t="e" cm="1">
        <f t="array" aca="1" ref="AE111"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11" s="250" t="e" cm="1">
        <f t="array" aca="1" ref="AF111"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11" s="250" t="e" cm="1">
        <f t="array" aca="1" ref="AG111"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11" s="250" t="e" cm="1">
        <f t="array" aca="1" ref="AH111"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11" s="250" t="e" cm="1">
        <f t="array" aca="1" ref="AI111"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11" s="250" t="e" cm="1">
        <f t="array" aca="1" ref="AJ111"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11" s="165" cm="1">
        <f t="array" aca="1" ref="AK111"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11" s="254" cm="1">
        <f t="array" aca="1" ref="AL111"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11" s="251" cm="1">
        <f t="array" aca="1" ref="AM111" ca="1">(SUMPRODUCT(Delay_emissions_table[Consumption of Diesel (kg) - Primary Scenario],IF(Delay_emissions_table[Form of Maintenance - Primary Scenario]="Life Extension",1,0))*INDEX(Indicators,MATCH('Additional Impact Indicators'!$A111,Materials!$D:$D,0),MATCH("diesel combustion",Materials!$1:$1,0))+SUMPRODUCT(Delay_emissions_table[Consumption of Petrol (kg) - Primary Scenario],IF(Delay_emissions_table[Form of Maintenance - Primary Scenario]="Life Extension",1,0))*INDEX(Indicators,MATCH('Additional Impact Indicators'!$A111,Materials!$D:$D,0),MATCH("petrol combustion",Materials!$1:$1,0))+IFERROR(SUMPRODUCT(TRANSPOSE(INDEX(elec_project_emissions,MATCH(Elec_scenario&amp;'Additional Impact Indicators'!$B111,INDEX(Electricity_projection,0,3),0)-1,0)),Delay_emissions_table[Consumption of electricity (MJ) - Primary Scenario],IF(Delay_emissions_table[Form of Maintenance - Primary Scenario]="Life Extension",1,0)),0))*Area_trans*Time_adj_Prim</f>
        <v>0</v>
      </c>
      <c r="AN111" s="251" cm="1">
        <f t="array" aca="1" ref="AN111" ca="1">(SUMPRODUCT(Delay_emissions_table[Consumption of Diesel (kg) - Primary Scenario],IF(Delay_emissions_table[Form of Maintenance - Primary Scenario]="Replacement",1,0))*INDEX(Indicators,MATCH('Additional Impact Indicators'!$A111,Materials!$D:$D,0),MATCH("diesel combustion",Materials!$1:$1,0))+SUMPRODUCT(Delay_emissions_table[Consumption of Petrol (kg) - Primary Scenario],IF(Delay_emissions_table[Form of Maintenance - Primary Scenario]="Replacement",1,0))*INDEX(Indicators,MATCH('Additional Impact Indicators'!$A111,Materials!$D:$D,0),MATCH("petrol combustion",Materials!$1:$1,0))+IFERROR(SUMPRODUCT(TRANSPOSE(INDEX(elec_project_emissions,MATCH(Elec_scenario&amp;'Additional Impact Indicators'!$B111,INDEX(Electricity_projection,0,3),0)-1,0)),Delay_emissions_table[Consumption of electricity (MJ) - Primary Scenario],IF(Delay_emissions_table[Form of Maintenance - Primary Scenario]="Replacement",1,0)),0))*Area_trans*Time_adj_Prim</f>
        <v>0</v>
      </c>
      <c r="AO111" s="252" t="e" cm="1">
        <f t="array" ref="AO111">(SUM(Prim_Materials[Thickness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11" s="252" t="e" cm="1">
        <f t="array" ref="AP111">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11" s="253" t="e" cm="1">
        <f t="array" ref="AQ111">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11" s="385" t="e" cm="1">
        <f t="array" ref="AR111">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11" t="e">
        <f ca="1">SUMIF('Additional Impact Indicators'!$G111:$AQ111,"&lt;&gt;#N/A")</f>
        <v>#DIV/0!</v>
      </c>
      <c r="AW111" s="155" t="s">
        <v>607</v>
      </c>
      <c r="AX111" s="155" t="s">
        <v>424</v>
      </c>
      <c r="AY111" t="str">
        <f t="shared" si="7"/>
        <v>A2</v>
      </c>
      <c r="AZ111" s="155" t="s">
        <v>54</v>
      </c>
      <c r="BB111">
        <f>MATCH(Table3[[#This Row],[Indicator]],Material_Impacts[Look up],0)</f>
        <v>51</v>
      </c>
      <c r="BC111" s="246" cm="1">
        <f t="array" aca="1" ref="BC111"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11" s="165" cm="1">
        <f t="array" ref="BD111">(IFERROR(INDEX(Sec_Materials[],1,5)*INDEX(Sec_Materials[],1,6)*INDEX(Material_Impacts[],MATCH(Impacts_Additional[[#This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11" s="165" t="e">
        <f>Diesel_RawM_Sec*INDEX(Indicators,MATCH(Impacts_Additional[[#This Row],[Indicator]],Materials!$D:$D,0),MATCH("Diesel Combustion",Materials!$1:$1,0))*Diesel_density*Project_Area*Sec_Lays*Area_trans</f>
        <v>#DIV/0!</v>
      </c>
      <c r="BF111" s="35" t="e" cm="1">
        <f t="array" aca="1" ref="BF111"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11" s="35" t="e" cm="1">
        <f t="array" aca="1" ref="BG111"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11" t="e" cm="1">
        <f t="array" aca="1" ref="BH111"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11" s="35" t="e" cm="1">
        <f t="array" aca="1" ref="BI111"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11" s="35" t="e" cm="1">
        <f t="array" aca="1" ref="BJ111"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11" t="e" cm="1">
        <f t="array" aca="1" ref="BK111"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11" s="35" t="e" cm="1">
        <f t="array" aca="1" ref="BL111"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11" s="35" t="e" cm="1">
        <f t="array" aca="1" ref="BM111"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11" t="e" cm="1">
        <f t="array" aca="1" ref="BN111"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11" s="35" t="e" cm="1">
        <f t="array" aca="1" ref="BO111"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11" s="35" t="e" cm="1">
        <f t="array" aca="1" ref="BP111"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11" t="e" cm="1">
        <f t="array" aca="1" ref="BQ111"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11" s="35" t="e" cm="1">
        <f t="array" aca="1" ref="BR111"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11" s="35" t="e" cm="1">
        <f t="array" aca="1" ref="BS111"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11" t="e" cm="1">
        <f t="array" aca="1" ref="BT111"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11" s="35" t="e" cm="1">
        <f t="array" aca="1" ref="BU111"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11" s="35" t="e" cm="1">
        <f t="array" aca="1" ref="BV111"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11" t="e" cm="1">
        <f t="array" aca="1" ref="BW111"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11" s="35" t="e" cm="1">
        <f t="array" aca="1" ref="BX111"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11" s="35" t="e" cm="1">
        <f t="array" aca="1" ref="BY111"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11" t="e" cm="1">
        <f t="array" aca="1" ref="BZ111"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11" s="35" t="e" cm="1">
        <f t="array" aca="1" ref="CA111"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11" s="35" t="e" cm="1">
        <f t="array" aca="1" ref="CB111"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11" t="e" cm="1">
        <f t="array" aca="1" ref="CC111"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11" s="35" t="e" cm="1">
        <f t="array" aca="1" ref="CD111"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11" s="35" t="e" cm="1">
        <f t="array" aca="1" ref="CE111"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11" t="e" cm="1">
        <f t="array" aca="1" ref="CF111"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11" s="165" cm="1">
        <f t="array" aca="1" ref="CG111"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11" s="375" cm="1">
        <f t="array" aca="1" ref="CH111"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11" s="251" cm="1">
        <f t="array" aca="1" ref="CI111" ca="1">(SUMPRODUCT(Delay_emissions_table[Consumption of Diesel (kg) - Secondary Scenario],IF(Delay_emissions_table[Form of Maintenance - Secondary Scenario]="Life Extension",1,0))*INDEX(Indicators,MATCH('Additional Impact Indicators'!$A111,Materials!$D:$D,0),MATCH("diesel combustion",Materials!$1:$1,0))+SUMPRODUCT(Delay_emissions_table[Consumption of Petrol (kg) - Secondary Scenario],IF(Delay_emissions_table[Form of Maintenance - Secondary Scenario]="Life Extension",1,0))*INDEX(Indicators,MATCH('Additional Impact Indicators'!$A111,Materials!$D:$D,0),MATCH("petrol combustion",Materials!$1:$1,0))+IFERROR(SUMPRODUCT(TRANSPOSE(INDEX(elec_project_emissions,MATCH(Elec_scenario&amp;'Additional Impact Indicators'!$B111,INDEX(Electricity_projection,0,3),0)-1,0)),Delay_emissions_table[Consumption of electricity (MJ) - Secondary Scenario],IF(Delay_emissions_table[Form of Maintenance - Secondary Scenario]="Life Extension",1,0)),0))*Area_trans*time_adj_Sec</f>
        <v>0</v>
      </c>
      <c r="CJ111" s="251" cm="1">
        <f t="array" aca="1" ref="CJ111" ca="1">(SUMPRODUCT(Delay_emissions_table[Consumption of Diesel (kg) - Secondary Scenario],IF(Delay_emissions_table[Form of Maintenance - Secondary Scenario]="Replacement",1,0))*INDEX(Indicators,MATCH('Additional Impact Indicators'!$A111,Materials!$D:$D,0),MATCH("diesel combustion",Materials!$1:$1,0))+SUMPRODUCT(Delay_emissions_table[Consumption of Petrol (kg) - Secondary Scenario],IF(Delay_emissions_table[Form of Maintenance - Secondary Scenario]="Replacement",1,0))*INDEX(Indicators,MATCH('Additional Impact Indicators'!$A111,Materials!$D:$D,0),MATCH("petrol combustion",Materials!$1:$1,0))+IFERROR(SUMPRODUCT(TRANSPOSE(INDEX(elec_project_emissions,MATCH(Elec_scenario&amp;'Additional Impact Indicators'!$B111,INDEX(Electricity_projection,0,3),0)-1,0)),Delay_emissions_table[Consumption of electricity (MJ) - Secondary Scenario],IF(Delay_emissions_table[Form of Maintenance - Secondary Scenario]="Replacement",1,0)),0))*Area_trans*time_adj_Sec</f>
        <v>0</v>
      </c>
      <c r="CK111" s="252" t="e" cm="1">
        <f t="array" ref="CK111">(SUM(Sec_Materials[Thickness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11" s="252" t="e" cm="1">
        <f t="array" ref="CL111">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11" s="253" t="e" cm="1">
        <f t="array" ref="CM111">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11" s="387" t="e" cm="1">
        <f t="array" ref="CN111">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11" s="51" t="e">
        <f ca="1">SUMIF(Table3[[#This Row],[Raw-Materials]:[Transport to recycling facility]],"&lt;&gt;#N/A")</f>
        <v>#DIV/0!</v>
      </c>
      <c r="CT111" t="s">
        <v>607</v>
      </c>
      <c r="CU111" t="s">
        <v>424</v>
      </c>
      <c r="CV111" t="str">
        <f t="shared" si="6"/>
        <v>A2</v>
      </c>
      <c r="CW111" t="s">
        <v>54</v>
      </c>
      <c r="CY111">
        <f>MATCH(Table611[[#This Row],[Indicator]],Material_Impacts[Look up],0)</f>
        <v>51</v>
      </c>
      <c r="CZ111" s="246" cm="1">
        <f t="array" aca="1" ref="CZ111"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11" s="165" cm="1">
        <f t="array" ref="DA111">(IFERROR(INDEX(Tert_Materials[],1,5)*INDEX(Tert_Materials[],1,6)*INDEX(Material_Impacts[],MATCH(Impacts_Additional[[#This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11" s="165" t="e">
        <f>Diesel_RawM_Tert*INDEX(Indicators,MATCH(Impacts_Additional[[#This Row],[Indicator]],Materials!$D:$D,0),MATCH("Diesel Combustion",Materials!$1:$1,0))*Diesel_density*Project_Area*Tert_Lays*Area_trans</f>
        <v>#DIV/0!</v>
      </c>
      <c r="DC111" s="35" t="e" cm="1">
        <f t="array" aca="1" ref="DC111"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11" s="35" t="e" cm="1">
        <f t="array" aca="1" ref="DD111"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11" t="e" cm="1">
        <f t="array" aca="1" ref="DE111"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11" s="35" t="e" cm="1">
        <f t="array" aca="1" ref="DF111"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11" s="35" t="e" cm="1">
        <f t="array" aca="1" ref="DG111"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11" t="e" cm="1">
        <f t="array" aca="1" ref="DH111"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11" s="35" t="e" cm="1">
        <f t="array" aca="1" ref="DI111"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11" s="35" t="e" cm="1">
        <f t="array" aca="1" ref="DJ111"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11" t="e" cm="1">
        <f t="array" aca="1" ref="DK111"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11" s="35" t="e" cm="1">
        <f t="array" aca="1" ref="DL111"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11" s="35" t="e" cm="1">
        <f t="array" aca="1" ref="DM111"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11" t="e" cm="1">
        <f t="array" aca="1" ref="DN111"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11" s="35" t="e" cm="1">
        <f t="array" aca="1" ref="DO111"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11" s="35" t="e" cm="1">
        <f t="array" aca="1" ref="DP111"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11" t="e" cm="1">
        <f t="array" aca="1" ref="DQ111"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11" s="35" t="e" cm="1">
        <f t="array" aca="1" ref="DR111"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11" s="35" t="e" cm="1">
        <f t="array" aca="1" ref="DS111"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11" t="e" cm="1">
        <f t="array" aca="1" ref="DT111"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11" s="35" t="e" cm="1">
        <f t="array" aca="1" ref="DU111"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11" s="35" t="e" cm="1">
        <f t="array" aca="1" ref="DV111"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11" t="e" cm="1">
        <f t="array" aca="1" ref="DW111"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11" s="35" t="e" cm="1">
        <f t="array" aca="1" ref="DX111"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11" s="35" t="e" cm="1">
        <f t="array" aca="1" ref="DY111"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11" t="e" cm="1">
        <f t="array" aca="1" ref="DZ111"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11" s="35" t="e" cm="1">
        <f t="array" aca="1" ref="EA111"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11" s="35" t="e" cm="1">
        <f t="array" aca="1" ref="EB111"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11" t="e" cm="1">
        <f t="array" aca="1" ref="EC111"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11" s="165" cm="1">
        <f t="array" aca="1" ref="ED111"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11" s="375" cm="1">
        <f t="array" aca="1" ref="EE111"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11" s="251" cm="1">
        <f t="array" aca="1" ref="EF111" ca="1">(SUMPRODUCT(Delay_emissions_table[Consumption of Diesel (kg) - Tertiary Scenario],IF(Delay_emissions_table[Form of Maintenance - Tertiary Scenario]="Life Extension",1,0))*INDEX(Indicators,MATCH('Additional Impact Indicators'!$A111,Materials!$D:$D,0),MATCH("diesel combustion",Materials!$1:$1,0))+SUMPRODUCT(Delay_emissions_table[Consumption of Petrol (kg) - Tertiary Scenario],IF(Delay_emissions_table[Form of Maintenance - Tertiary Scenario]="Life Extension",1,0))*INDEX(Indicators,MATCH('Additional Impact Indicators'!$A111,Materials!$D:$D,0),MATCH("petrol combustion",Materials!$1:$1,0))+IFERROR(SUMPRODUCT(TRANSPOSE(INDEX(elec_project_emissions,MATCH(Elec_scenario&amp;'Additional Impact Indicators'!$B111,INDEX(Electricity_projection,0,3),0)-1,0)),Delay_emissions_table[Consumption of electricity (MJ) - Tertiary Scenario],IF(Delay_emissions_table[Form of Maintenance - Tertiary Scenario]="Life Extension",1,0)),0))*Area_trans*Time_adj_Tert</f>
        <v>0</v>
      </c>
      <c r="EG111" s="251" cm="1">
        <f t="array" aca="1" ref="EG111" ca="1">(SUMPRODUCT(Delay_emissions_table[Consumption of Diesel (kg) - Tertiary Scenario],IF(Delay_emissions_table[Form of Maintenance - Tertiary Scenario]="Replacement",1,0))*INDEX(Indicators,MATCH('Additional Impact Indicators'!$A111,Materials!$D:$D,0),MATCH("diesel combustion",Materials!$1:$1,0))+SUMPRODUCT(Delay_emissions_table[Consumption of Petrol (kg) - Tertiary Scenario],IF(Delay_emissions_table[Form of Maintenance - Tertiary Scenario]="Replacement",1,0))*INDEX(Indicators,MATCH('Additional Impact Indicators'!$A111,Materials!$D:$D,0),MATCH("petrol combustion",Materials!$1:$1,0))+IFERROR(SUMPRODUCT(TRANSPOSE(INDEX(elec_project_emissions,MATCH(Elec_scenario&amp;'Additional Impact Indicators'!$B111,INDEX(Electricity_projection,0,3),0)-1,0)),Delay_emissions_table[Consumption of electricity (MJ) - Tertiary Scenario],IF(Delay_emissions_table[Form of Maintenance - Tertiary Scenario]="Replacement",1,0)),0))*Area_trans*Time_adj_Tert</f>
        <v>0</v>
      </c>
      <c r="EH111" s="252" t="e" cm="1">
        <f t="array" ref="EH111">(SUM(Tert_Materials[Thickness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11" s="252" t="e" cm="1">
        <f t="array" ref="EI111">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11" s="253" t="e" cm="1">
        <f t="array" ref="EJ111">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11" s="253" t="e" cm="1">
        <f t="array" ref="EK111">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11" t="e">
        <f ca="1">SUMIF(Table611[[#This Row],[Raw-Materials]:[Transport to recycling facility]],"&lt;&gt;#N/A")</f>
        <v>#DIV/0!</v>
      </c>
    </row>
    <row r="112" spans="1:142" x14ac:dyDescent="0.35">
      <c r="A112" s="240" t="s">
        <v>608</v>
      </c>
      <c r="B112" s="240" t="s">
        <v>556</v>
      </c>
      <c r="C112" s="240" t="str">
        <f t="shared" si="5"/>
        <v>A2</v>
      </c>
      <c r="D112" s="240" t="s">
        <v>54</v>
      </c>
      <c r="E112" s="240"/>
      <c r="F112">
        <f>MATCH(Impacts_Additional[[#This Row],[Indicator]],Material_Impacts[Look up],0)</f>
        <v>52</v>
      </c>
      <c r="G112" s="246" cm="1">
        <f t="array" aca="1" ref="G112"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12" s="166" cm="1">
        <f t="array" ref="H112">(IFERROR(INDEX(Prim_Materials[],1,5)*INDEX(Prim_Materials[],1,6)*INDEX(Material_Impacts[],MATCH(Impacts_Additional[[#This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12" s="255" t="e">
        <f>Diesel_RawM_Prim*INDEX(Indicators,MATCH(Impacts_Additional[[#This Row],[Indicator]],Materials!$D:$D,0),MATCH("Diesel Combustion",Materials!$1:$1,0))*Diesel_density*Project_Area*Prim_Lays*Area_trans</f>
        <v>#DIV/0!</v>
      </c>
      <c r="J112" s="256" t="e" cm="1">
        <f t="array" aca="1" ref="J112"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12" s="256" t="e" cm="1">
        <f t="array" aca="1" ref="K112"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12" s="256" t="e" cm="1">
        <f t="array" aca="1" ref="L112"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M112" s="256" t="e" cm="1">
        <f t="array" aca="1" ref="M112"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12" s="256" t="e" cm="1">
        <f t="array" aca="1" ref="N112"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12" s="256" t="e" cm="1">
        <f t="array" aca="1" ref="O112"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P112" s="256" t="e" cm="1">
        <f t="array" aca="1" ref="P112"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12" s="256" t="e" cm="1">
        <f t="array" aca="1" ref="Q112"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12" s="256" t="e" cm="1">
        <f t="array" aca="1" ref="R112"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S112" s="256" t="e" cm="1">
        <f t="array" aca="1" ref="S112"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12" s="256" t="e" cm="1">
        <f t="array" aca="1" ref="T112"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12" s="256" t="e" cm="1">
        <f t="array" aca="1" ref="U112"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V112" s="256" t="e" cm="1">
        <f t="array" aca="1" ref="V112"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12" s="256" t="e" cm="1">
        <f t="array" aca="1" ref="W112"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12" s="256" t="e" cm="1">
        <f t="array" aca="1" ref="X112"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Y112" s="256" t="e" cm="1">
        <f t="array" aca="1" ref="Y112"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12" s="256" t="e" cm="1">
        <f t="array" aca="1" ref="Z112"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12" s="256" t="e" cm="1">
        <f t="array" aca="1" ref="AA112"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AB112" s="256" t="e" cm="1">
        <f t="array" aca="1" ref="AB112"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12" s="256" t="e" cm="1">
        <f t="array" aca="1" ref="AC112"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12" s="256" t="e" cm="1">
        <f t="array" aca="1" ref="AD112"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AE112" s="256" t="e" cm="1">
        <f t="array" aca="1" ref="AE112"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12" s="256" t="e" cm="1">
        <f t="array" aca="1" ref="AF112"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12" s="256" t="e" cm="1">
        <f t="array" aca="1" ref="AG112"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AH112" s="257" t="e" cm="1">
        <f t="array" aca="1" ref="AH112"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12" s="257" t="e" cm="1">
        <f t="array" aca="1" ref="AI112"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12" s="257" t="e" cm="1">
        <f t="array" aca="1" ref="AJ112"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AK112" s="255" cm="1">
        <f t="array" aca="1" ref="AK112"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12" s="258" cm="1">
        <f t="array" aca="1" ref="AL112" ca="1">Traffic_flow*365*Area_trans*Roughness_switch*((epsi_1_light-epsi_0_light)*SUM(((INDEX(Indicators,MATCH(Impacts_Additional[[#This Row],[Indicator]],Materials!$D:$D,0),MATCH("diesel combustion",Materials!$1:$1,0))*((1-enviro_disc)^Handle_years)*Handle_electricity_emissions:OFFSET(Handle_electricity_emissions,0,Results_timespan-1)^0)/0.15)*OFFSET(Handle_traffic_fleet,0,0):OFFSET(Handle_traffic_fleet,0,Results_timespan-1),((INDEX(Indicators,MATCH(Impacts_Additional[[#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Impacts_Additional[[#This Row],[Indicator]],Materials!$D:$D,0),MATCH("diesel combustion",Materials!$1:$1,0))*((1-enviro_disc)^Handle_years)*Handle_electricity_emissions:OFFSET(Handle_electricity_emissions,0,Results_timespan-1)^0)/0.15)*OFFSET(Handle_traffic_fleet,3,0):OFFSET(Handle_traffic_fleet,3,Results_timespan-1),((INDEX(Indicators,MATCH(Impacts_Additional[[#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Impacts_Additional[[#This Row],[Indicator]],Materials!$D:$D,0),MATCH("bio-diesel combustion",Materials!$1:$1,0))*((1-enviro_disc)^Handle_years)*Handle_electricity_emissions:OFFSET(Handle_electricity_emissions,0,Results_timespan-1)^0)/0.15)*OFFSET(Handle_traffic_fleet,6,0):OFFSET(Handle_traffic_fleet,6,Results_timespan-1)))</f>
        <v>0</v>
      </c>
      <c r="AM112" s="259" cm="1">
        <f t="array" aca="1" ref="AM112" ca="1">(SUMPRODUCT(Delay_emissions_table[Consumption of Diesel (kg) - Primary Scenario],IF(Delay_emissions_table[Form of Maintenance - Primary Scenario]="Life Extension",1,0))*INDEX(Indicators,MATCH('Additional Impact Indicators'!$A112,Materials!$D:$D,0),MATCH("diesel combustion",Materials!$1:$1,0))+SUMPRODUCT(Delay_emissions_table[Consumption of Petrol (kg) - Primary Scenario],IF(Delay_emissions_table[Form of Maintenance - Primary Scenario]="Life Extension",1,0))*INDEX(Indicators,MATCH('Additional Impact Indicators'!$A112,Materials!$D:$D,0),MATCH("petrol combustion",Materials!$1:$1,0))+IFERROR(SUMPRODUCT(TRANSPOSE(INDEX(elec_project_emissions,MATCH(Elec_scenario&amp;'Additional Impact Indicators'!$B112,INDEX(Electricity_projection,0,3),0)-1,0)),Delay_emissions_table[Consumption of electricity (MJ) - Primary Scenario],IF(Delay_emissions_table[Form of Maintenance - Primary Scenario]="Life Extension",1,0)),0))*Area_trans*Time_adj_Prim</f>
        <v>0</v>
      </c>
      <c r="AN112" s="259" cm="1">
        <f t="array" aca="1" ref="AN112" ca="1">(SUMPRODUCT(Delay_emissions_table[Consumption of Diesel (kg) - Primary Scenario],IF(Delay_emissions_table[Form of Maintenance - Primary Scenario]="Replacement",1,0))*INDEX(Indicators,MATCH('Additional Impact Indicators'!$A112,Materials!$D:$D,0),MATCH("diesel combustion",Materials!$1:$1,0))+SUMPRODUCT(Delay_emissions_table[Consumption of Petrol (kg) - Primary Scenario],IF(Delay_emissions_table[Form of Maintenance - Primary Scenario]="Replacement",1,0))*INDEX(Indicators,MATCH('Additional Impact Indicators'!$A112,Materials!$D:$D,0),MATCH("petrol combustion",Materials!$1:$1,0))+IFERROR(SUMPRODUCT(TRANSPOSE(INDEX(elec_project_emissions,MATCH(Elec_scenario&amp;'Additional Impact Indicators'!$B112,INDEX(Electricity_projection,0,3),0)-1,0)),Delay_emissions_table[Consumption of electricity (MJ) - Primary Scenario],IF(Delay_emissions_table[Form of Maintenance - Primary Scenario]="Replacement",1,0)),0))*Area_trans*Time_adj_Prim</f>
        <v>0</v>
      </c>
      <c r="AO112" s="260" t="e" cm="1">
        <f t="array" ref="AO112">(SUM(Prim_Materials[Thickness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12" s="260" t="e" cm="1">
        <f t="array" ref="AP112">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12" s="261" t="e" cm="1">
        <f t="array" ref="AQ112">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12" s="386" t="e" cm="1">
        <f t="array" ref="AR112">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12" t="e">
        <f ca="1">SUMIF('Additional Impact Indicators'!$G112:$AQ112,"&lt;&gt;#N/A")</f>
        <v>#DIV/0!</v>
      </c>
      <c r="AW112" s="240" t="s">
        <v>608</v>
      </c>
      <c r="AX112" s="240" t="s">
        <v>556</v>
      </c>
      <c r="AY112" t="str">
        <f t="shared" si="7"/>
        <v>A2</v>
      </c>
      <c r="AZ112" s="240" t="s">
        <v>54</v>
      </c>
      <c r="BB112">
        <f>MATCH(Table3[[#This Row],[Indicator]],Material_Impacts[Look up],0)</f>
        <v>52</v>
      </c>
      <c r="BC112" s="246" cm="1">
        <f t="array" aca="1" ref="BC112" ca="1">(IFERROR(INDEX(INDIRECT("Material_Impacts["&amp;INDEX(Sec_Materials[],1,2)&amp;"]"),Impacts_Additional[[#This Row],[Impact Row]])*INDEX(Sec_Materials[],1,6)*(1+IF(Sec_Lays&gt;1,INDEX(--(Sec_EoL="Removed"),1,1),0)+IF(Sec_Lays&gt;2,INDEX(--(Sec_EoL="Removed"),1,2),0)+IF(Sec_Lays&gt;=3,--(INDEX(Sec_EoL,1,3)="Removed")*(Sec_Lays-3),0)),0)
+IFERROR(INDEX(INDIRECT("Material_Impacts["&amp;INDEX(Sec_Materials[],2,2)&amp;"]"),Impacts_Additional[[#This Row],[Impact Row]])*INDEX(Sec_Materials[],2,6)*(1+IF(Sec_Lays&gt;1,INDEX(--(Sec_EoL="Removed"),2,1),0)+IF(Sec_Lays&gt;2,INDEX(--(Sec_EoL="Removed"),2,2),0)+IF(Sec_Lays&gt;=3,--(INDEX(Sec_EoL,2,3)="Removed")*(Sec_Lays-3),0)),0)
+IFERROR(INDEX(INDIRECT("Material_Impacts["&amp;INDEX(Sec_Materials[],3,2)&amp;"]"),Impacts_Additional[[#This Row],[Impact Row]])*INDEX(Sec_Materials[],3,6)*(1+IF(Sec_Lays&gt;1,INDEX(--(Sec_EoL="Removed"),3,1),0)+IF(Sec_Lays&gt;2,INDEX(--(Sec_EoL="Removed"),3,2),0)+IF(Sec_Lays&gt;=3,--(INDEX(Sec_EoL,3,3)="Removed")*(Sec_Lays-3),0)),0)
+IFERROR(INDEX(INDIRECT("Material_Impacts["&amp;INDEX(Sec_Materials[],4,2)&amp;"]"),Impacts_Additional[[#This Row],[Impact Row]])*INDEX(Sec_Materials[],4,6)*(1+IF(Sec_Lays&gt;1,INDEX(--(Sec_EoL="Removed"),4,1),0)+IF(Sec_Lays&gt;2,INDEX(--(Sec_EoL="Removed"),4,2),0)+IF(Sec_Lays&gt;=3,--(INDEX(Sec_EoL,4,3)="Removed")*(Sec_Lays-3),0)),0)
+IFERROR(INDEX(INDIRECT("Material_Impacts["&amp;INDEX(Sec_Materials[],5,2)&amp;"]"),Impacts_Additional[[#This Row],[Impact Row]])*INDEX(Sec_Materials[],5,6)*(1+IF(Sec_Lays&gt;1,INDEX(--(Sec_EoL="Removed"),5,1),0)+IF(Sec_Lays&gt;2,INDEX(--(Sec_EoL="Removed"),5,2),0)+IF(Sec_Lays&gt;=3,--(INDEX(Sec_EoL,5,3)="Removed")*(Sec_Lays-3),0)),0)
+IFERROR(INDEX(INDIRECT("Material_Impacts["&amp;INDEX(Sec_Materials[],6,2)&amp;"]"),Impacts_Additional[[#This Row],[Impact Row]])*INDEX(Sec_Materials[],6,6)*(1+IF(Sec_Lays&gt;1,INDEX(--(Sec_EoL="Removed"),6,1),0)+IF(Sec_Lays&gt;2,INDEX(--(Sec_EoL="Removed"),6,2),0)+IF(Sec_Lays&gt;=3,--(INDEX(Sec_EoL,6,3)="Removed")*(Sec_Lays-3),0)),0))
*Area_trans</f>
        <v>0</v>
      </c>
      <c r="BD112" s="255" cm="1">
        <f t="array" ref="BD112">(IFERROR(INDEX(Sec_Materials[],1,5)*INDEX(Sec_Materials[],1,6)*INDEX(Material_Impacts[],MATCH(Impacts_Additional[[#This Row],[Indicator]],Material_Impacts[Look up],0),MATCH(INDEX(Sec_Materials[],1,4),Materials!$1:$1,0))*(1+IF(Sec_Lays&gt;1,INDEX(--(Sec_EoL="Removed"),1,1),0)+IF(Sec_Lays&gt;2,INDEX(--(Sec_EoL="Removed"),1,2),0)+IF(Sec_Lays&gt;=3,--(INDEX(Sec_EoL,1,3)="Removed")*(Sec_Lays-3),0)),0)
+IFERROR(INDEX(Sec_Materials[],2,5)*INDEX(Sec_Materials[],2,6)*INDEX(Material_Impacts[],MATCH(Impacts_Additional[[#This Row],[Indicator]],Material_Impacts[Look up],0),MATCH(INDEX(Sec_Materials[],2,4),Materials!$1:$1,0))*(1+IF(Sec_Lays&gt;1,INDEX(--(Sec_EoL="Removed"),2,1),0)+IF(Sec_Lays&gt;2,INDEX(--(Sec_EoL="Removed"),2,2),0)+IF(Sec_Lays&gt;=3,--(INDEX(Sec_EoL,2,3)="Removed")*(Sec_Lays-3),0)),0)
+IFERROR(INDEX(Sec_Materials[],3,5)*INDEX(Sec_Materials[],3,6)*INDEX(Material_Impacts[],MATCH(Impacts_Additional[[#This Row],[Indicator]],Material_Impacts[Look up],0),MATCH(INDEX(Sec_Materials[],3,4),Materials!$1:$1,0))*(1+IF(Sec_Lays&gt;1,INDEX(--(Sec_EoL="Removed"),3,1),0)+IF(Sec_Lays&gt;2,INDEX(--(Sec_EoL="Removed"),3,2),0)+IF(Sec_Lays&gt;=3,--(INDEX(Sec_EoL,3,3)="Removed")*(Sec_Lays-3),0)),0)
+IFERROR(INDEX(Sec_Materials[],4,5)*INDEX(Sec_Materials[],4,6)*INDEX(Material_Impacts[],MATCH(Impacts_Additional[[#This Row],[Indicator]],Material_Impacts[Look up],0),MATCH(INDEX(Sec_Materials[],4,4),Materials!$1:$1,0))*(1+IF(Sec_Lays&gt;1,INDEX(--(Sec_EoL="Removed"),4,1),0)+IF(Sec_Lays&gt;2,INDEX(--(Sec_EoL="Removed"),4,2),0)+IF(Sec_Lays&gt;=3,--(INDEX(Sec_EoL,4,3)="Removed")*(Sec_Lays-3),0)),0)
+IFERROR(INDEX(Sec_Materials[],5,5)*INDEX(Sec_Materials[],5,6)*INDEX(Material_Impacts[],MATCH(Impacts_Additional[[#This Row],[Indicator]],Material_Impacts[Look up],0),MATCH(INDEX(Sec_Materials[],5,4),Materials!$1:$1,0))*(1+IF(Sec_Lays&gt;1,INDEX(--(Sec_EoL="Removed"),5,1),0)+IF(Sec_Lays&gt;2,INDEX(--(Sec_EoL="Removed"),5,2),0)+IF(Sec_Lays&gt;=3,--(INDEX(Sec_EoL,5,3)="Removed")*(Sec_Lays-3),0)),0)
+IFERROR(INDEX(Sec_Materials[],6,5)*INDEX(Sec_Materials[],6,6)*INDEX(Material_Impacts[],MATCH(Impacts_Additional[[#This Row],[Indicator]],Material_Impacts[Look up],0),MATCH(INDEX(Sec_Materials[],6,4),Materials!$1:$1,0))*(1+IF(Sec_Lays&gt;1,INDEX(--(Sec_EoL="Removed"),6,1),0)+IF(Sec_Lays&gt;2,INDEX(--(Sec_EoL="Removed"),6,2),0)+IF(Sec_Lays&gt;=3,--(INDEX(Sec_EoL,6,3)="Removed")*(Sec_Lays-3),0)),0))
*Area_trans</f>
        <v>0</v>
      </c>
      <c r="BE112" s="255" t="e">
        <f>Diesel_RawM_Sec*INDEX(Indicators,MATCH(Impacts_Additional[[#This Row],[Indicator]],Materials!$D:$D,0),MATCH("Diesel Combustion",Materials!$1:$1,0))*Diesel_density*Project_Area*Sec_Lays*Area_trans</f>
        <v>#DIV/0!</v>
      </c>
      <c r="BF112" s="335" t="e" cm="1">
        <f t="array" aca="1" ref="BF112"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BG112" s="335" t="e" cm="1">
        <f t="array" aca="1" ref="BG112"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BH112" s="9" t="e" cm="1">
        <f t="array" aca="1" ref="BH112"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BI112" s="335" t="e" cm="1">
        <f t="array" aca="1" ref="BI112"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BJ112" s="335" t="e" cm="1">
        <f t="array" aca="1" ref="BJ112"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BK112" s="9" t="e" cm="1">
        <f t="array" aca="1" ref="BK112"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BL112" s="335" t="e" cm="1">
        <f t="array" aca="1" ref="BL112"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BM112" s="335" t="e" cm="1">
        <f t="array" aca="1" ref="BM112"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BN112" s="9" t="e" cm="1">
        <f t="array" aca="1" ref="BN112"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BO112" s="335" t="e" cm="1">
        <f t="array" aca="1" ref="BO112"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BP112" s="335" t="e" cm="1">
        <f t="array" aca="1" ref="BP112"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BQ112" s="9" t="e" cm="1">
        <f t="array" aca="1" ref="BQ112"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BR112" s="335" t="e" cm="1">
        <f t="array" aca="1" ref="BR112"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BS112" s="335" t="e" cm="1">
        <f t="array" aca="1" ref="BS112"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BT112" s="9" t="e" cm="1">
        <f t="array" aca="1" ref="BT112"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BU112" s="335" t="e" cm="1">
        <f t="array" aca="1" ref="BU112"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BV112" s="335" t="e" cm="1">
        <f t="array" aca="1" ref="BV112"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BW112" s="9" t="e" cm="1">
        <f t="array" aca="1" ref="BW112"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BX112" s="335" t="e" cm="1">
        <f t="array" aca="1" ref="BX112"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BY112" s="335" t="e" cm="1">
        <f t="array" aca="1" ref="BY112"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BZ112" s="9" t="e" cm="1">
        <f t="array" aca="1" ref="BZ112"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CA112" s="335" t="e" cm="1">
        <f t="array" aca="1" ref="CA112"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CB112" s="335" t="e" cm="1">
        <f t="array" aca="1" ref="CB112"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CC112" s="9" t="e" cm="1">
        <f t="array" aca="1" ref="CC112"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CD112" s="335" t="e" cm="1">
        <f t="array" aca="1" ref="CD112"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CE112" s="335" t="e" cm="1">
        <f t="array" aca="1" ref="CE112"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CF112" s="9" t="e" cm="1">
        <f t="array" aca="1" ref="CF112"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CG112" s="255" cm="1">
        <f t="array" aca="1" ref="CG112" ca="1">((E_modulus_Sec/40114)^-0.25)*((Subgrade_stiffness_Sec/35)^-0.25)*((Surface_thickness_Sec/0.22)^-0.75)*Area_trans*delflec_switch*SUM((INDEX(PVI_vehicle_EFC,1,1)/INDEX(PVI_fuel_energy_density,1,1))*(INDEX(Indicators,MATCH(EPD_version&amp;"GWP",Materials!$D:$D,0),MATCH("diesel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CH112" s="377" cm="1">
        <f t="array" aca="1" ref="CH112" ca="1">Traffic_flow*365*Area_trans*Roughness_switch*((epsi_2_light-epsi_0_light)*SUM(((INDEX(Indicators,MATCH(Table3[[#This Row],[Indicator]],Materials!$D:$D,0),MATCH("diesel combustion",Materials!$1:$1,0))*((1-enviro_disc)^Handle_years)*Handle_electricity_emissions:OFFSET(Handle_electricity_emissions,0,Results_timespan-1)^0)/0.15)*OFFSET(Handle_traffic_fleet,0,0):OFFSET(Handle_traffic_fleet,0,Results_timespan-1),((INDEX(Indicators,MATCH(Table3[[#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Table3[[#This Row],[Indicator]],Materials!$D:$D,0),MATCH("diesel combustion",Materials!$1:$1,0))*((1-enviro_disc)^Handle_years)*Handle_electricity_emissions:OFFSET(Handle_electricity_emissions,0,Results_timespan-1)^0)/0.15)*OFFSET(Handle_traffic_fleet,3,0):OFFSET(Handle_traffic_fleet,3,Results_timespan-1),((INDEX(Indicators,MATCH(Table3[[#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3[[#This Row],[Indicator]],Materials!$D:$D,0),MATCH("bio-diesel combustion",Materials!$1:$1,0))*((1-enviro_disc)^Handle_years)*Handle_electricity_emissions:OFFSET(Handle_electricity_emissions,0,Results_timespan-1)^0)/0.15)*OFFSET(Handle_traffic_fleet,6,0):OFFSET(Handle_traffic_fleet,6,Results_timespan-1)))</f>
        <v>0</v>
      </c>
      <c r="CI112" s="259" cm="1">
        <f t="array" aca="1" ref="CI112" ca="1">(SUMPRODUCT(Delay_emissions_table[Consumption of Diesel (kg) - Secondary Scenario],IF(Delay_emissions_table[Form of Maintenance - Secondary Scenario]="Life Extension",1,0))*INDEX(Indicators,MATCH('Additional Impact Indicators'!$A112,Materials!$D:$D,0),MATCH("diesel combustion",Materials!$1:$1,0))+SUMPRODUCT(Delay_emissions_table[Consumption of Petrol (kg) - Secondary Scenario],IF(Delay_emissions_table[Form of Maintenance - Secondary Scenario]="Life Extension",1,0))*INDEX(Indicators,MATCH('Additional Impact Indicators'!$A112,Materials!$D:$D,0),MATCH("petrol combustion",Materials!$1:$1,0))+IFERROR(SUMPRODUCT(TRANSPOSE(INDEX(elec_project_emissions,MATCH(Elec_scenario&amp;'Additional Impact Indicators'!$B112,INDEX(Electricity_projection,0,3),0)-1,0)),Delay_emissions_table[Consumption of electricity (MJ) - Secondary Scenario],IF(Delay_emissions_table[Form of Maintenance - Secondary Scenario]="Life Extension",1,0)),0))*Area_trans*time_adj_Sec</f>
        <v>0</v>
      </c>
      <c r="CJ112" s="259" cm="1">
        <f t="array" aca="1" ref="CJ112" ca="1">(SUMPRODUCT(Delay_emissions_table[Consumption of Diesel (kg) - Secondary Scenario],IF(Delay_emissions_table[Form of Maintenance - Secondary Scenario]="Replacement",1,0))*INDEX(Indicators,MATCH('Additional Impact Indicators'!$A112,Materials!$D:$D,0),MATCH("diesel combustion",Materials!$1:$1,0))+SUMPRODUCT(Delay_emissions_table[Consumption of Petrol (kg) - Secondary Scenario],IF(Delay_emissions_table[Form of Maintenance - Secondary Scenario]="Replacement",1,0))*INDEX(Indicators,MATCH('Additional Impact Indicators'!$A112,Materials!$D:$D,0),MATCH("petrol combustion",Materials!$1:$1,0))+IFERROR(SUMPRODUCT(TRANSPOSE(INDEX(elec_project_emissions,MATCH(Elec_scenario&amp;'Additional Impact Indicators'!$B112,INDEX(Electricity_projection,0,3),0)-1,0)),Delay_emissions_table[Consumption of electricity (MJ) - Secondary Scenario],IF(Delay_emissions_table[Form of Maintenance - Secondary Scenario]="Replacement",1,0)),0))*Area_trans*time_adj_Sec</f>
        <v>0</v>
      </c>
      <c r="CK112" s="260" t="e" cm="1">
        <f t="array" ref="CK112">(SUM(Sec_Materials[Thickness of Layer (mm)]*(INDEX(--(Sec_EoL="Removed"),0,1)+IF(Sec_Lays&gt;1,INDEX(--(Sec_EoL="Removed"),0,2),0)+IF(Sec_Lays&gt;=3,--(INDEX(Sec_EoL,0,3)="Removed")*(Sec_Lays-2),0)))/1000)*Project_Area*EoL_diesel_combustion*Diesel_density*INDEX(Indicators,MATCH(EPD_version&amp;Impacts_Additional[[#This Row],[Acronym]],Materials!$D:$D,0),MATCH("Diesel Combustion",Materials!$1:$1,0))*((1-enviro_disc)^(Sec_Life))*Area_trans</f>
        <v>#DIV/0!</v>
      </c>
      <c r="CL112" s="260" t="e" cm="1">
        <f t="array" ref="CL112">SUM(INDEX(Sec_Materials[],0,6)*(INDEX(--(Sec_EoL="Removed"),0,1)+IF(Sec_Lays&gt;1,INDEX(--(Sec_EoL="Removed"),0,2),0)+IF(Sec_Lays&gt;=3,--(INDEX(Sec_EoL,0,3)="Removed")*(Sec_Lays-2),0)))
*Area_trans*EoL_Landfill_distance_Sec*(1-EoL_recycl_rate_Sec)*INDEX(Indicators,MATCH(EPD_version&amp;Impacts_Additional[[#This Row],[Acronym]],Materials!$D:$D,0),MATCH(EoL_Treatment_Sec,Materials!$1:$1,0))</f>
        <v>#DIV/0!</v>
      </c>
      <c r="CM112" s="261" t="e" cm="1">
        <f t="array" ref="CM112">SUM(INDEX(Sec_Materials[],0,6)*(INDEX(--(Sec_EoL="Removed"),0,1)+IF(Sec_Lays&gt;1,INDEX(--(Sec_EoL="Removed"),0,2),0)+IF(Sec_Lays&gt;=3,--(INDEX(Sec_EoL,0,3)="Removed")*(Sec_Lays-2),0)))
*Area_trans*EoL_Recyc_distance_Sec*(EoL_recycl_rate_Sec)*INDEX(Indicators,MATCH(EPD_version&amp;Impacts_Additional[[#This Row],[Acronym]],Materials!$D:$D,0),MATCH(EoL_Treatment_Sec,Materials!$1:$1,0))</f>
        <v>#DIV/0!</v>
      </c>
      <c r="CN112" s="387" t="e" cm="1">
        <f t="array" ref="CN112">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12" s="51" t="e">
        <f ca="1">SUMIF(Table3[[#This Row],[Raw-Materials]:[Transport to recycling facility]],"&lt;&gt;#N/A")</f>
        <v>#DIV/0!</v>
      </c>
      <c r="CT112" t="s">
        <v>608</v>
      </c>
      <c r="CU112" t="s">
        <v>556</v>
      </c>
      <c r="CV112" t="str">
        <f t="shared" si="6"/>
        <v>A2</v>
      </c>
      <c r="CW112" t="s">
        <v>54</v>
      </c>
      <c r="CY112">
        <f>MATCH(Table611[[#This Row],[Indicator]],Material_Impacts[Look up],0)</f>
        <v>52</v>
      </c>
      <c r="CZ112" s="246" cm="1">
        <f t="array" aca="1" ref="CZ112" ca="1">(IFERROR(INDEX(INDIRECT("Material_Impacts["&amp;INDEX(Tert_Materials[],1,2)&amp;"]"),Impacts_Additional[[#This Row],[Impact Row]])*INDEX(Tert_Materials[],1,6)*(1+IF(Tert_Lays&gt;1,INDEX(--(Tert_EoL="Removed"),1,1),0)+IF(Tert_Lays&gt;2,INDEX(--(Tert_EoL="Removed"),1,2),0)+IF(Tert_Lays&gt;=3,--(INDEX(Tert_EoL,1,3)="Removed")*(Tert_Lays-3),0)),0)
+IFERROR(INDEX(INDIRECT("Material_Impacts["&amp;INDEX(Tert_Materials[],2,2)&amp;"]"),Impacts_Additional[[#This Row],[Impact Row]])*INDEX(Tert_Materials[],2,6)*(1+IF(Tert_Lays&gt;1,INDEX(--(Tert_EoL="Removed"),2,1),0)+IF(Tert_Lays&gt;2,INDEX(--(Tert_EoL="Removed"),2,2),0)+IF(Tert_Lays&gt;=3,--(INDEX(Tert_EoL,2,3)="Removed")*(Tert_Lays-3),0)),0)
+IFERROR(INDEX(INDIRECT("Material_Impacts["&amp;INDEX(Tert_Materials[],3,2)&amp;"]"),Impacts_Additional[[#This Row],[Impact Row]])*INDEX(Tert_Materials[],3,6)*(1+IF(Tert_Lays&gt;1,INDEX(--(Tert_EoL="Removed"),3,1),0)+IF(Tert_Lays&gt;2,INDEX(--(Tert_EoL="Removed"),3,2),0)+IF(Tert_Lays&gt;=3,--(INDEX(Tert_EoL,3,3)="Removed")*(Tert_Lays-3),0)),0)
+IFERROR(INDEX(INDIRECT("Material_Impacts["&amp;INDEX(Tert_Materials[],4,2)&amp;"]"),Impacts_Additional[[#This Row],[Impact Row]])*INDEX(Tert_Materials[],4,6)*(1+IF(Tert_Lays&gt;1,INDEX(--(Tert_EoL="Removed"),4,1),0)+IF(Tert_Lays&gt;2,INDEX(--(Tert_EoL="Removed"),4,2),0)+IF(Tert_Lays&gt;=3,--(INDEX(Tert_EoL,4,3)="Removed")*(Tert_Lays-3),0)),0)
+IFERROR(INDEX(INDIRECT("Material_Impacts["&amp;INDEX(Tert_Materials[],5,2)&amp;"]"),Impacts_Additional[[#This Row],[Impact Row]])*INDEX(Tert_Materials[],5,6)*(1+IF(Tert_Lays&gt;1,INDEX(--(Tert_EoL="Removed"),5,1),0)+IF(Tert_Lays&gt;2,INDEX(--(Tert_EoL="Removed"),5,2),0)+IF(Tert_Lays&gt;=3,--(INDEX(Tert_EoL,5,3)="Removed")*(Tert_Lays-3),0)),0)
+IFERROR(INDEX(INDIRECT("Material_Impacts["&amp;INDEX(Tert_Materials[],6,2)&amp;"]"),Impacts_Additional[[#This Row],[Impact Row]])*INDEX(Tert_Materials[],6,6)*(1+IF(Tert_Lays&gt;1,INDEX(--(Tert_EoL="Removed"),6,1),0)+IF(Tert_Lays&gt;2,INDEX(--(Tert_EoL="Removed"),6,2),0)+IF(Tert_Lays&gt;=3,--(INDEX(Tert_EoL,6,3)="Removed")*(Tert_Lays-3),0)),0))
*Area_trans</f>
        <v>0</v>
      </c>
      <c r="DA112" s="255" cm="1">
        <f t="array" ref="DA112">(IFERROR(INDEX(Tert_Materials[],1,5)*INDEX(Tert_Materials[],1,6)*INDEX(Material_Impacts[],MATCH(Impacts_Additional[[#This Row],[Indicator]],Material_Impacts[Look up],0),MATCH(INDEX(Tert_Materials[],1,4),Materials!$1:$1,0))*(1+IF(Tert_Lays&gt;1,INDEX(--(Tert_EoL="Removed"),1,1),0)+IF(Tert_Lays&gt;2,INDEX(--(Tert_EoL="Removed"),1,2),0)+IF(Tert_Lays&gt;=3,--(INDEX(Tert_EoL,1,3)="Removed")*(Tert_Lays-3),0)),0)
+IFERROR(INDEX(Tert_Materials[],2,5)*INDEX(Tert_Materials[],2,6)*INDEX(Material_Impacts[],MATCH(Impacts_Additional[[#This Row],[Indicator]],Material_Impacts[Look up],0),MATCH(INDEX(Tert_Materials[],2,4),Materials!$1:$1,0))*(1+IF(Tert_Lays&gt;1,INDEX(--(Tert_EoL="Removed"),2,1),0)+IF(Tert_Lays&gt;2,INDEX(--(Tert_EoL="Removed"),2,2),0)+IF(Tert_Lays&gt;=3,--(INDEX(Tert_EoL,2,3)="Removed")*(Tert_Lays-3),0)),0)
+IFERROR(INDEX(Tert_Materials[],3,5)*INDEX(Tert_Materials[],3,6)*INDEX(Material_Impacts[],MATCH(Impacts_Additional[[#This Row],[Indicator]],Material_Impacts[Look up],0),MATCH(INDEX(Tert_Materials[],3,4),Materials!$1:$1,0))*(1+IF(Tert_Lays&gt;1,INDEX(--(Tert_EoL="Removed"),3,1),0)+IF(Tert_Lays&gt;2,INDEX(--(Tert_EoL="Removed"),3,2),0)+IF(Tert_Lays&gt;=3,--(INDEX(Tert_EoL,3,3)="Removed")*(Tert_Lays-3),0)),0)
+IFERROR(INDEX(Tert_Materials[],4,5)*INDEX(Tert_Materials[],4,6)*INDEX(Material_Impacts[],MATCH(Impacts_Additional[[#This Row],[Indicator]],Material_Impacts[Look up],0),MATCH(INDEX(Tert_Materials[],4,4),Materials!$1:$1,0))*(1+IF(Tert_Lays&gt;1,INDEX(--(Tert_EoL="Removed"),4,1),0)+IF(Tert_Lays&gt;2,INDEX(--(Tert_EoL="Removed"),4,2),0)+IF(Tert_Lays&gt;=3,--(INDEX(Tert_EoL,4,3)="Removed")*(Tert_Lays-3),0)),0)
+IFERROR(INDEX(Tert_Materials[],5,5)*INDEX(Tert_Materials[],5,6)*INDEX(Material_Impacts[],MATCH(Impacts_Additional[[#This Row],[Indicator]],Material_Impacts[Look up],0),MATCH(INDEX(Tert_Materials[],5,4),Materials!$1:$1,0))*(1+IF(Tert_Lays&gt;1,INDEX(--(Tert_EoL="Removed"),5,1),0)+IF(Tert_Lays&gt;2,INDEX(--(Tert_EoL="Removed"),5,2),0)+IF(Tert_Lays&gt;=3,--(INDEX(Tert_EoL,5,3)="Removed")*(Tert_Lays-3),0)),0)
+IFERROR(INDEX(Tert_Materials[],6,5)*INDEX(Tert_Materials[],6,6)*INDEX(Material_Impacts[],MATCH(Impacts_Additional[[#This Row],[Indicator]],Material_Impacts[Look up],0),MATCH(INDEX(Tert_Materials[],6,4),Materials!$1:$1,0))*(1+IF(Tert_Lays&gt;1,INDEX(--(Tert_EoL="Removed"),6,1),0)+IF(Tert_Lays&gt;2,INDEX(--(Tert_EoL="Removed"),6,2),0)+IF(Tert_Lays&gt;=3,--(INDEX(Tert_EoL,6,3)="Removed")*(Tert_Lays-3),0)),0))
*Area_trans</f>
        <v>0</v>
      </c>
      <c r="DB112" s="255" t="e">
        <f>Diesel_RawM_Tert*INDEX(Indicators,MATCH(Impacts_Additional[[#This Row],[Indicator]],Materials!$D:$D,0),MATCH("Diesel Combustion",Materials!$1:$1,0))*Diesel_density*Project_Area*Tert_Lays*Area_trans</f>
        <v>#DIV/0!</v>
      </c>
      <c r="DC112" s="335" t="e" cm="1">
        <f t="array" aca="1" ref="DC112" ca="1">SUM((INDEX(Indicators,MATCH(Impacts_Additional[[#This Row],[Indicator]],Materials!$D:$D,0),MATCH(INDEX(Main_crack_Prim,1,0),Materials!$1:$1,0))*INDEX(Main_crack_Prim,2,0)/1000)*INDEX(Materials!$1:$2,2,MATCH(INDEX(Main_crack_Prim,1,0),Materials!$1:$1,0)))*SUM(--(Delay_emissions_table[Works Description - Tertiary Scenario]="Crack Sealing")*Delay_emissions_table[Area of Works (m2) - Tertiary Scenario]*Delay_emissions_table[Environmental Discount (%)])*Area_trans*Prim_Lays</f>
        <v>#DIV/0!</v>
      </c>
      <c r="DD112" s="335" t="e" cm="1">
        <f t="array" aca="1" ref="DD112" ca="1">INDEX(Indicators,MATCH(Impacts_Additional[[#This Row],[Indicator]],Materials!$D:$D,0),MATCH(Main_truck_crack_Prim,Materials!$1:$1,0))*SUM((INDEX(Main_crack_Prim,2,0)/1000)*INDEX(Materials!$1:$2,2,MATCH(INDEX(Main_crack_Prim,1,0),Materials!$1:$1,0)))*Main_crack_dist_Prim*SUM(--(Delay_emissions_table[Works Description - Tertiary Scenario]="Crack Sealing")*Delay_emissions_table[Area of Works (m2) - Tertiary Scenario]*Delay_emissions_table[Environmental Discount (%)])*Area_trans*Prim_Lays</f>
        <v>#DIV/0!</v>
      </c>
      <c r="DE112" s="9" t="e" cm="1">
        <f t="array" aca="1" ref="DE112" ca="1">(Main_crack_diesel_Prim*Diesel_density)*(SUM(--(Delay_emissions_table[Works Description - Tertiary Scenario]="Crack Sealing")*Delay_emissions_table[Area of Works (m2) - Tertiary Scenario]*Delay_emissions_table[Environmental Discount (%)]))*INDEX(Indicators,MATCH(Impacts_Additional[[#This Row],[Indicator]],Materials!$D:$D,0),MATCH("Diesel Combustion",Materials!$1:$1,0))*Area_trans*Prim_Lays</f>
        <v>#DIV/0!</v>
      </c>
      <c r="DF112" s="335" t="e" cm="1">
        <f t="array" aca="1" ref="DF112" ca="1">SUM((INDEX(Indicators,MATCH(Impacts_Additional[[#This Row],[Indicator]],Materials!$D:$D,0),MATCH(INDEX(Main_Pothole_Prim,1,0),Materials!$1:$1,0))*INDEX(Main_Pothole_Prim,2,0)/1000)*INDEX(Materials!$1:$2,2,MATCH(INDEX(Main_Pothole_Prim,1,0),Materials!$1:$1,0)))*SUM(--(Delay_emissions_table[Works Description - Tertiary Scenario]="Fill Cracks (Potholes)")*Delay_emissions_table[Area of Works (m2) - Tertiary Scenario]*Delay_emissions_table[Environmental Discount (%)])*Area_trans*Prim_Lays</f>
        <v>#DIV/0!</v>
      </c>
      <c r="DG112" s="335" t="e" cm="1">
        <f t="array" aca="1" ref="DG112" ca="1">INDEX(Indicators,MATCH(Impacts_Additional[[#This Row],[Indicator]],Materials!$D:$D,0),MATCH(Main_truck_pothole_prim,Materials!$1:$1,0))*SUM((INDEX(Main_Pothole_Prim,2,0)/1000)*INDEX(Materials!$1:$2,2,MATCH(INDEX(Main_Pothole_Prim,1,0),Materials!$1:$1,0)))*Main_Pothole_dist_Prim*SUM(--(Delay_emissions_table[Works Description - Tertiary Scenario]="Fill Cracks (Potholes)")*Delay_emissions_table[Area of Works (m2) - Tertiary Scenario]*Delay_emissions_table[Environmental Discount (%)])*Area_trans*Prim_Lays</f>
        <v>#DIV/0!</v>
      </c>
      <c r="DH112" s="9" t="e" cm="1">
        <f t="array" aca="1" ref="DH112" ca="1">(Main_crack_diesel_Prim*Diesel_density)*(SUM(--(Delay_emissions_table[Works Description - Tertiary Scenario]="Fill Cracks (Potholes)")*Delay_emissions_table[Area of Works (m2) - Tertiary Scenario]*Delay_emissions_table[Environmental Discount (%)]))*INDEX(Indicators,MATCH(Impacts_Additional[[#This Row],[Indicator]],Materials!$D:$D,0),MATCH("Diesel Combustion",Materials!$1:$1,0))*Area_trans*Prim_Lays</f>
        <v>#DIV/0!</v>
      </c>
      <c r="DI112" s="335" t="e" cm="1">
        <f t="array" aca="1" ref="DI112" ca="1">SUM((INDEX(Indicators,MATCH(Impacts_Additional[[#This Row],[Indicator]],Materials!$D:$D,0),MATCH(INDEX(Main_Surface_Prim,1,0),Materials!$1:$1,0))*INDEX(Main_Surface_Prim,2,0)/1000)*INDEX(Materials!$1:$2,2,MATCH(INDEX(Main_Surface_Prim,1,0),Materials!$1:$1,0)))*SUM(--(Delay_emissions_table[Works Description - Tertiary Scenario]="Surface Defect Repair")*Delay_emissions_table[Area of Works (m2) - Tertiary Scenario]*Delay_emissions_table[Environmental Discount (%)])*Area_trans*Prim_Lays</f>
        <v>#DIV/0!</v>
      </c>
      <c r="DJ112" s="335" t="e" cm="1">
        <f t="array" aca="1" ref="DJ112" ca="1">INDEX(Indicators,MATCH(Impacts_Additional[[#This Row],[Indicator]],Materials!$D:$D,0),MATCH(Main_truck_Surface_Prim,Materials!$1:$1,0))*SUM((INDEX(Main_Surface_Prim,2,0)/1000)*INDEX(Materials!$1:$2,2,MATCH(INDEX(Main_Surface_Prim,1,0),Materials!$1:$1,0)))*Main_Surface_dist_Prim*SUM(--(Delay_emissions_table[Works Description - Tertiary Scenario]="Surface Defect Repair")*Delay_emissions_table[Area of Works (m2) - Tertiary Scenario]*Delay_emissions_table[Environmental Discount (%)])*Area_trans*Prim_Lays</f>
        <v>#DIV/0!</v>
      </c>
      <c r="DK112" s="9" t="e" cm="1">
        <f t="array" aca="1" ref="DK112" ca="1">(Main_crack_diesel_Prim*Diesel_density)*(SUM(--(Delay_emissions_table[Works Description - Tertiary Scenario]="Surface Defect Repair")*Delay_emissions_table[Area of Works (m2) - Tertiary Scenario]*Delay_emissions_table[Environmental Discount (%)]))*INDEX(Indicators,MATCH(Impacts_Additional[[#This Row],[Indicator]],Materials!$D:$D,0),MATCH("Diesel Combustion",Materials!$1:$1,0))*Area_trans*Prim_Lays</f>
        <v>#DIV/0!</v>
      </c>
      <c r="DL112" s="335" t="e" cm="1">
        <f t="array" aca="1" ref="DL112" ca="1">SUM((INDEX(Indicators,MATCH(Impacts_Additional[[#This Row],[Indicator]],Materials!$D:$D,0),MATCH(INDEX(Main_crack_Prim,1,0),Materials!$1:$1,0))*INDEX(Main_crack_Prim,2,0)/1000)*INDEX(Materials!$1:$2,2,MATCH(INDEX(Main_crack_Prim,1,0),Materials!$1:$1,0)))*SUM(--(Delay_emissions_table[Works Description - Tertiary Scenario]="Shoulder Maintenance")*Delay_emissions_table[Area of Works (m2) - Tertiary Scenario]*Delay_emissions_table[Environmental Discount (%)])*Area_trans*Prim_Lays</f>
        <v>#DIV/0!</v>
      </c>
      <c r="DM112" s="335" t="e" cm="1">
        <f t="array" aca="1" ref="DM112" ca="1">INDEX(Indicators,MATCH(Impacts_Additional[[#This Row],[Indicator]],Materials!$D:$D,0),MATCH(Main_truck_crack_Prim,Materials!$1:$1,0))*SUM((INDEX(Main_crack_Prim,2,0)/1000)*INDEX(Materials!$1:$2,2,MATCH(INDEX(Main_crack_Prim,1,0),Materials!$1:$1,0)))*Main_crack_dist_Prim*SUM(--(Delay_emissions_table[Works Description - Tertiary Scenario]="Shoulder Maintenance")*Delay_emissions_table[Area of Works (m2) - Tertiary Scenario]*Delay_emissions_table[Environmental Discount (%)])*Area_trans*Prim_Lays</f>
        <v>#DIV/0!</v>
      </c>
      <c r="DN112" s="9" t="e" cm="1">
        <f t="array" aca="1" ref="DN112" ca="1">(Main_crack_diesel_Prim*Diesel_density)*(SUM(--(Delay_emissions_table[Works Description - Tertiary Scenario]="Shoulder Maintenance")*Delay_emissions_table[Area of Works (m2) - Tertiary Scenario]*Delay_emissions_table[Environmental Discount (%)]))*INDEX(Indicators,MATCH(Impacts_Additional[[#This Row],[Indicator]],Materials!$D:$D,0),MATCH("Diesel Combustion",Materials!$1:$1,0))*Area_trans*Prim_Lays</f>
        <v>#DIV/0!</v>
      </c>
      <c r="DO112" s="335" t="e" cm="1">
        <f t="array" aca="1" ref="DO112" ca="1">SUM((INDEX(Indicators,MATCH(Impacts_Additional[[#This Row],[Indicator]],Materials!$D:$D,0),MATCH(INDEX(Main_Patch_Prim,1,0),Materials!$1:$1,0))*INDEX(Main_Patch_Prim,2,0)/1000)*INDEX(Materials!$1:$2,2,MATCH(INDEX(Main_Patch_Prim,1,0),Materials!$1:$1,0)))*SUM(--(Delay_emissions_table[Works Description - Tertiary Scenario]="Patch Stabilisation")*Delay_emissions_table[Area of Works (m2) - Tertiary Scenario]*Delay_emissions_table[Environmental Discount (%)])*Area_trans*Prim_Lays</f>
        <v>#DIV/0!</v>
      </c>
      <c r="DP112" s="335" t="e" cm="1">
        <f t="array" aca="1" ref="DP112" ca="1">INDEX(Indicators,MATCH(Impacts_Additional[[#This Row],[Indicator]],Materials!$D:$D,0),MATCH(Main_truck_Patch_Prim,Materials!$1:$1,0))*SUM((INDEX(Main_Patch_Prim,2,0)/1000)*INDEX(Materials!$1:$2,2,MATCH(INDEX(Main_Patch_Prim,1,0),Materials!$1:$1,0)))*Main_Patch_dist_Prim*SUM(--(Delay_emissions_table[Works Description - Tertiary Scenario]="Patch Stabilisation")*Delay_emissions_table[Area of Works (m2) - Tertiary Scenario]*Delay_emissions_table[Environmental Discount (%)])*Area_trans*Prim_Lays</f>
        <v>#DIV/0!</v>
      </c>
      <c r="DQ112" s="9" t="e" cm="1">
        <f t="array" aca="1" ref="DQ112" ca="1">(Main_crack_diesel_Prim*Diesel_density)*(SUM(--(Delay_emissions_table[Works Description - Tertiary Scenario]="Patch Stabilisation")*Delay_emissions_table[Area of Works (m2) - Tertiary Scenario]*Delay_emissions_table[Environmental Discount (%)]))*INDEX(Indicators,MATCH(Impacts_Additional[[#This Row],[Indicator]],Materials!$D:$D,0),MATCH("Diesel Combustion",Materials!$1:$1,0))*Area_trans*Prim_Lays</f>
        <v>#DIV/0!</v>
      </c>
      <c r="DR112" s="335" t="e" cm="1">
        <f t="array" aca="1" ref="DR112" ca="1">SUM((INDEX(Indicators,MATCH(Impacts_Additional[[#This Row],[Indicator]],Materials!$D:$D,0),MATCH(INDEX(Main_Mill_Prim,1,0),Materials!$1:$1,0))*INDEX(Main_Mill_Prim,2,0)/1000)*INDEX(Materials!$1:$2,2,MATCH(INDEX(Main_Mill_Prim,1,0),Materials!$1:$1,0)))*SUM(--(Delay_emissions_table[Works Description - Tertiary Scenario]="Mill and Fill")*Delay_emissions_table[Area of Works (m2) - Tertiary Scenario]*Delay_emissions_table[Environmental Discount (%)])*Area_trans*Prim_Lays</f>
        <v>#DIV/0!</v>
      </c>
      <c r="DS112" s="335" t="e" cm="1">
        <f t="array" aca="1" ref="DS112" ca="1">INDEX(Indicators,MATCH(Impacts_Additional[[#This Row],[Indicator]],Materials!$D:$D,0),MATCH(Main_truck_Mill_Prim,Materials!$1:$1,0))*SUM((INDEX(Main_Mill_Prim,2,0)/1000)*INDEX(Materials!$1:$2,2,MATCH(INDEX(Main_Mill_Prim,1,0),Materials!$1:$1,0)))*Main_Mill_dist_Prim*SUM(--(Delay_emissions_table[Works Description - Tertiary Scenario]="Mill and Fill")*Delay_emissions_table[Area of Works (m2) - Tertiary Scenario]*Delay_emissions_table[Environmental Discount (%)])*Area_trans*Prim_Lays</f>
        <v>#DIV/0!</v>
      </c>
      <c r="DT112" s="9" t="e" cm="1">
        <f t="array" aca="1" ref="DT112" ca="1">(Main_crack_diesel_Prim*Diesel_density)*(SUM(--(Delay_emissions_table[Works Description - Tertiary Scenario]="Mill and Fill")*Delay_emissions_table[Area of Works (m2) - Tertiary Scenario]*Delay_emissions_table[Environmental Discount (%)]))*INDEX(Indicators,MATCH(Impacts_Additional[[#This Row],[Indicator]],Materials!$D:$D,0),MATCH("Diesel Combustion",Materials!$1:$1,0))*Area_trans*Prim_Lays</f>
        <v>#DIV/0!</v>
      </c>
      <c r="DU112" s="335" t="e" cm="1">
        <f t="array" aca="1" ref="DU112" ca="1">SUM((INDEX(Indicators,MATCH(Impacts_Additional[[#This Row],[Indicator]],Materials!$D:$D,0),MATCH(INDEX(Main_Rip_Prim,1,0),Materials!$1:$1,0))*INDEX(Main_Rip_Prim,2,0)/1000)*INDEX(Materials!$1:$2,2,MATCH(INDEX(Main_Rip_Prim,1,0),Materials!$1:$1,0)))*SUM(--(Delay_emissions_table[Works Description - Tertiary Scenario]="Rip and Remake")*Delay_emissions_table[Area of Works (m2) - Tertiary Scenario]*Delay_emissions_table[Environmental Discount (%)])*Area_trans*Prim_Lays</f>
        <v>#DIV/0!</v>
      </c>
      <c r="DV112" s="335" t="e" cm="1">
        <f t="array" aca="1" ref="DV112" ca="1">INDEX(Indicators,MATCH(Impacts_Additional[[#This Row],[Indicator]],Materials!$D:$D,0),MATCH(Main_truck_Rip_Prim,Materials!$1:$1,0))*SUM((INDEX(Main_Rip_Prim,2,0)/1000)*INDEX(Materials!$1:$2,2,MATCH(INDEX(Main_Rip_Prim,1,0),Materials!$1:$1,0)))*Main_Rip_dist_Prim*SUM(--(Delay_emissions_table[Works Description - Tertiary Scenario]="Rip and Remake")*Delay_emissions_table[Area of Works (m2) - Tertiary Scenario]*Delay_emissions_table[Environmental Discount (%)])*Area_trans*Prim_Lays</f>
        <v>#DIV/0!</v>
      </c>
      <c r="DW112" s="9" t="e" cm="1">
        <f t="array" aca="1" ref="DW112" ca="1">(Main_crack_diesel_Prim*Diesel_density)*(SUM(--(Delay_emissions_table[Works Description - Tertiary Scenario]="Rip and Remake")*Delay_emissions_table[Area of Works (m2) - Tertiary Scenario]*Delay_emissions_table[Environmental Discount (%)]))*INDEX(Indicators,MATCH(Impacts_Additional[[#This Row],[Indicator]],Materials!$D:$D,0),MATCH("Diesel Combustion",Materials!$1:$1,0))*Area_trans*Prim_Lays</f>
        <v>#DIV/0!</v>
      </c>
      <c r="DX112" s="335" t="e" cm="1">
        <f t="array" aca="1" ref="DX112" ca="1">SUM((INDEX(Indicators,MATCH(Impacts_Additional[[#This Row],[Indicator]],Materials!$D:$D,0),MATCH(INDEX(Main_Dig_Prim,1,0),Materials!$1:$1,0))*INDEX(Main_Dig_Prim,2,0)/1000)*INDEX(Materials!$1:$2,2,MATCH(INDEX(Main_Dig_Prim,1,0),Materials!$1:$1,0)))*SUM(--(Delay_emissions_table[Works Description - Tertiary Scenario]="Dig Out")*Delay_emissions_table[Area of Works (m2) - Tertiary Scenario]*Delay_emissions_table[Environmental Discount (%)])*Area_trans*Prim_Lays</f>
        <v>#DIV/0!</v>
      </c>
      <c r="DY112" s="335" t="e" cm="1">
        <f t="array" aca="1" ref="DY112" ca="1">INDEX(Indicators,MATCH(Impacts_Additional[[#This Row],[Indicator]],Materials!$D:$D,0),MATCH(Main_truck_Dig_Prim,Materials!$1:$1,0))*SUM((INDEX(Main_Dig_Prim,2,0)/1000)*INDEX(Materials!$1:$2,2,MATCH(INDEX(Main_Dig_Prim,1,0),Materials!$1:$1,0)))*Main_Dig_dist_Prim*SUM(--(Delay_emissions_table[Works Description - Tertiary Scenario]="Dig Out")*Delay_emissions_table[Area of Works (m2) - Tertiary Scenario]*Delay_emissions_table[Environmental Discount (%)])*Area_trans*Prim_Lays</f>
        <v>#DIV/0!</v>
      </c>
      <c r="DZ112" s="9" t="e" cm="1">
        <f t="array" aca="1" ref="DZ112" ca="1">(Main_crack_diesel_Prim*Diesel_density)*(SUM(--(Delay_emissions_table[Works Description - Tertiary Scenario]="Dig Out")*Delay_emissions_table[Area of Works (m2) - Tertiary Scenario]*Delay_emissions_table[Environmental Discount (%)]))*INDEX(Indicators,MATCH(Impacts_Additional[[#This Row],[Indicator]],Materials!$D:$D,0),MATCH("Diesel Combustion",Materials!$1:$1,0))*Area_trans*Prim_Lays</f>
        <v>#DIV/0!</v>
      </c>
      <c r="EA112" s="335" t="e" cm="1">
        <f t="array" aca="1" ref="EA112" ca="1">SUM((INDEX(Indicators,MATCH(Impacts_Additional[[#This Row],[Indicator]],Materials!$D:$D,0),MATCH(INDEX(Main_Lay_Prim,1,0),Materials!$1:$1,0))*INDEX(Main_Lay_Prim,2,0)/1000)*INDEX(Materials!$1:$2,2,MATCH(INDEX(Main_Lay_Prim,1,0),Materials!$1:$1,0)))*SUM(--(Delay_emissions_table[Works Description - Tertiary Scenario]="Lay Over")*Delay_emissions_table[Area of Works (m2) - Tertiary Scenario]*Delay_emissions_table[Environmental Discount (%)])*Area_trans*Prim_Lays</f>
        <v>#DIV/0!</v>
      </c>
      <c r="EB112" s="335" t="e" cm="1">
        <f t="array" aca="1" ref="EB112" ca="1">INDEX(Indicators,MATCH(Impacts_Additional[[#This Row],[Indicator]],Materials!$D:$D,0),MATCH(Main_truck_Lay_Prim,Materials!$1:$1,0))*SUM((INDEX(Main_Lay_Prim,2,0)/1000)*INDEX(Materials!$1:$2,2,MATCH(INDEX(Main_Lay_Prim,1,0),Materials!$1:$1,0)))*Main_Lay_dist_Prim*SUM(--(Delay_emissions_table[Works Description - Tertiary Scenario]="Lay Over")*Delay_emissions_table[Area of Works (m2) - Tertiary Scenario]*Delay_emissions_table[Environmental Discount (%)])*Area_trans*Prim_Lays</f>
        <v>#DIV/0!</v>
      </c>
      <c r="EC112" s="9" t="e" cm="1">
        <f t="array" aca="1" ref="EC112" ca="1">(Main_crack_diesel_Prim*Diesel_density)*(SUM(--(Delay_emissions_table[Works Description - Tertiary Scenario]="Lay over")*Delay_emissions_table[Area of Works (m2) - Tertiary Scenario]*Delay_emissions_table[Environmental Discount (%)]))*INDEX(Indicators,MATCH(Impacts_Additional[[#This Row],[Indicator]],Materials!$D:$D,0),MATCH("Diesel Combustion",Materials!$1:$1,0))*Area_trans*Prim_Lays</f>
        <v>#DIV/0!</v>
      </c>
      <c r="ED112" s="255" cm="1">
        <f t="array" aca="1" ref="ED112" ca="1">((E_modulus_Tert/40114)^-0.25)*((Subgrade_stiffness_Tert/35)^-0.25)*((Surface_thickness_Tert/0.22)^-0.75)*Area_trans*delflec_switch*SUM((INDEX(PVI_vehicle_EFC,1,1)/INDEX(PVI_fuel_energy_density,1,1))*(INDEX(Indicators,MATCH(EPD_version&amp;"GWP",Materials!$D:$D,0),MATCH("diesel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EE112" s="377" cm="1">
        <f t="array" aca="1" ref="EE112" ca="1">Traffic_flow*365*Area_trans*Roughness_switch*((epsi_3_light-epsi_0_light)*SUM(((INDEX(Indicators,MATCH(Table611[[#This Row],[Indicator]],Materials!$D:$D,0),MATCH("diesel combustion",Materials!$1:$1,0))*((1-enviro_disc)^Handle_years)*Handle_electricity_emissions:OFFSET(Handle_electricity_emissions,0,Results_timespan-1)^0)/0.15)*OFFSET(Handle_traffic_fleet,0,0):OFFSET(Handle_traffic_fleet,0,Results_timespan-1),((INDEX(Indicators,MATCH(Table611[[#This Row],[Indicator]],Materials!$D:$D,0),MATCH("petrol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Table611[[#This Row],[Indicator]],Materials!$D:$D,0),MATCH("diesel combustion",Materials!$1:$1,0))*((1-enviro_disc)^Handle_years)*Handle_electricity_emissions:OFFSET(Handle_electricity_emissions,0,Results_timespan-1)^0)/0.15)*OFFSET(Handle_traffic_fleet,3,0):OFFSET(Handle_traffic_fleet,3,Results_timespan-1),((INDEX(Indicators,MATCH(Table611[[#This Row],[Indicator]],Materials!$D:$D,0),MATCH("petrol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Table611[[#This Row],[Indicator]],Materials!$D:$D,0),MATCH("bio-diesel combustion",Materials!$1:$1,0))*((1-enviro_disc)^Handle_years)*Handle_electricity_emissions:OFFSET(Handle_electricity_emissions,0,Results_timespan-1)^0)/0.15)*OFFSET(Handle_traffic_fleet,6,0):OFFSET(Handle_traffic_fleet,6,Results_timespan-1)))</f>
        <v>0</v>
      </c>
      <c r="EF112" s="259" cm="1">
        <f t="array" aca="1" ref="EF112" ca="1">(SUMPRODUCT(Delay_emissions_table[Consumption of Diesel (kg) - Tertiary Scenario],IF(Delay_emissions_table[Form of Maintenance - Tertiary Scenario]="Life Extension",1,0))*INDEX(Indicators,MATCH('Additional Impact Indicators'!$A112,Materials!$D:$D,0),MATCH("diesel combustion",Materials!$1:$1,0))+SUMPRODUCT(Delay_emissions_table[Consumption of Petrol (kg) - Tertiary Scenario],IF(Delay_emissions_table[Form of Maintenance - Tertiary Scenario]="Life Extension",1,0))*INDEX(Indicators,MATCH('Additional Impact Indicators'!$A112,Materials!$D:$D,0),MATCH("petrol combustion",Materials!$1:$1,0))+IFERROR(SUMPRODUCT(TRANSPOSE(INDEX(elec_project_emissions,MATCH(Elec_scenario&amp;'Additional Impact Indicators'!$B112,INDEX(Electricity_projection,0,3),0)-1,0)),Delay_emissions_table[Consumption of electricity (MJ) - Tertiary Scenario],IF(Delay_emissions_table[Form of Maintenance - Tertiary Scenario]="Life Extension",1,0)),0))*Area_trans*Time_adj_Tert</f>
        <v>0</v>
      </c>
      <c r="EG112" s="259" cm="1">
        <f t="array" aca="1" ref="EG112" ca="1">(SUMPRODUCT(Delay_emissions_table[Consumption of Diesel (kg) - Tertiary Scenario],IF(Delay_emissions_table[Form of Maintenance - Tertiary Scenario]="Replacement",1,0))*INDEX(Indicators,MATCH('Additional Impact Indicators'!$A112,Materials!$D:$D,0),MATCH("diesel combustion",Materials!$1:$1,0))+SUMPRODUCT(Delay_emissions_table[Consumption of Petrol (kg) - Tertiary Scenario],IF(Delay_emissions_table[Form of Maintenance - Tertiary Scenario]="Replacement",1,0))*INDEX(Indicators,MATCH('Additional Impact Indicators'!$A112,Materials!$D:$D,0),MATCH("petrol combustion",Materials!$1:$1,0))+IFERROR(SUMPRODUCT(TRANSPOSE(INDEX(elec_project_emissions,MATCH(Elec_scenario&amp;'Additional Impact Indicators'!$B112,INDEX(Electricity_projection,0,3),0)-1,0)),Delay_emissions_table[Consumption of electricity (MJ) - Tertiary Scenario],IF(Delay_emissions_table[Form of Maintenance - Tertiary Scenario]="Replacement",1,0)),0))*Area_trans*Time_adj_Tert</f>
        <v>0</v>
      </c>
      <c r="EH112" s="260" t="e" cm="1">
        <f t="array" ref="EH112">(SUM(Tert_Materials[Thickness of Layer (mm)]*(INDEX(--(Tert_EoL="Removed"),0,1)+IF(Tert_Lays&gt;1,INDEX(--(Tert_EoL="Removed"),0,2),0)+IF(Tert_Lays&gt;=3,--(INDEX(Tert_EoL,0,3)="Removed")*(Tert_Lays-2),0)))/1000)*Project_Area*EoL_diesel_combustion*Diesel_density*INDEX(Indicators,MATCH(EPD_version&amp;Impacts_Additional[[#This Row],[Acronym]],Materials!$D:$D,0),MATCH("Diesel Combustion",Materials!$1:$1,0))*((1-enviro_disc)^(Tert_life))*Area_trans</f>
        <v>#DIV/0!</v>
      </c>
      <c r="EI112" s="260" t="e" cm="1">
        <f t="array" ref="EI112">SUM(INDEX(Tert_Materials[],0,6)*(INDEX(--(Tert_EoL="Removed"),0,1)+IF(Tert_Lays&gt;1,INDEX(--(Tert_EoL="Removed"),0,2),0)+IF(Tert_Lays&gt;=3,--(INDEX(Tert_EoL,0,3)="Removed")*(Tert_Lays-2),0)))
*Area_trans*EoL_Landfill_distance_Tert*(1-EoL_recycl_rate_Tert)*INDEX(Indicators,MATCH(EPD_version&amp;Impacts_Additional[[#This Row],[Acronym]],Materials!$D:$D,0),MATCH(EoL_Treatment_Tert,Materials!$1:$1,0))</f>
        <v>#DIV/0!</v>
      </c>
      <c r="EJ112" s="261" t="e" cm="1">
        <f t="array" ref="EJ112">SUM(INDEX(Tert_Materials[],0,6)*(INDEX(--(Tert_EoL="Removed"),0,1)+IF(Tert_Lays&gt;1,INDEX(--(Tert_EoL="Removed"),0,2),0)+IF(Tert_Lays&gt;=3,--(INDEX(Tert_EoL,0,3)="Removed")*(Tert_Lays-2),0)))
*Area_trans*EoL_Recyc_distance_Tert*(EoL_recycl_rate_Tert)*INDEX(Indicators,MATCH(EPD_version&amp;Impacts_Additional[[#This Row],[Acronym]],Materials!$D:$D,0),MATCH(EoL_Treatment_Tert,Materials!$1:$1,0))</f>
        <v>#DIV/0!</v>
      </c>
      <c r="EK112" s="249" t="e" cm="1">
        <f t="array" ref="EK112">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12" t="e">
        <f ca="1">SUMIF(Table611[[#This Row],[Raw-Materials]:[Transport to recycling facility]],"&lt;&gt;#N/A")</f>
        <v>#DIV/0!</v>
      </c>
    </row>
    <row r="113" spans="1:142" x14ac:dyDescent="0.35">
      <c r="A113" t="s">
        <v>609</v>
      </c>
      <c r="B113" t="s">
        <v>367</v>
      </c>
      <c r="C113" t="str">
        <f>IF(ISNUMBER(SEARCH("A1",A113)),"A1","A2")</f>
        <v>A2</v>
      </c>
      <c r="D113" t="s">
        <v>54</v>
      </c>
      <c r="F113" s="5">
        <f>MATCH(Impacts_Additional[[#This Row],[Indicator]],Material_Impacts[Look up],0)</f>
        <v>105</v>
      </c>
      <c r="G113" s="228" cm="1">
        <f t="array" aca="1" ref="G11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13" s="228" cm="1">
        <f t="array" ref="H11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13" s="166" t="e">
        <f>Diesel_RawM_Prim*INDEX(Indicators,MATCH(Impacts_Additional[[#This Row],[Indicator]],Materials!$D:$D,0),MATCH("Diesel Combustion",Materials!$1:$1,0))*Diesel_density*Project_Area*Prim_Lays*Area_trans</f>
        <v>#DIV/0!</v>
      </c>
      <c r="J113" s="35" t="e" cm="1">
        <f t="array" aca="1" ref="J113" ca="1">SUM((INDEX(Indicators,MATCH(EPD_version&amp;"GWP",Materials!$D:$D,0),MATCH(INDEX(Main_crack_Prim,1,0),Materials!$1:$1,0))*INDEX(Main_crack_Prim,2,0)/1000)*INDEX(Materials!$1:$2,2,MATCH(INDEX(Main_crack_Prim,1,0),Materials!$1:$1,0)))*SUM(--(Delay_emissions_table[Works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13" s="35" t="e" cm="1">
        <f t="array" aca="1" ref="K113" ca="1">INDEX(Indicators,MATCH(EPD_version&amp;"GWP",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13" t="e" cm="1">
        <f t="array" aca="1" ref="L113" ca="1">(Main_crack_diesel_Prim*Diesel_density)*(SUM(--(Delay_emissions_table[Works Description - Primary Scenario]="Crack Sealing")*Delay_emissions_table[Area of Works (m2) - Primary Scenario]*Delay_emissions_table[Environmental Discount (%)]))*INDEX(Indicators,MATCH(EPD_version&amp;"GWP",Materials!$D:$D,0),MATCH("Diesel Combustion",Materials!$1:$1,0))*Area_trans*Prim_Lays</f>
        <v>#DIV/0!</v>
      </c>
      <c r="M113" s="35" t="e" cm="1">
        <f t="array" aca="1" ref="M113" ca="1">SUM((INDEX(Indicators,MATCH(EPD_version&amp;"GWP",Materials!$D:$D,0),MATCH(INDEX(Main_Pothole_Prim,1,0),Materials!$1:$1,0))*INDEX(Main_Pothole_Prim,2,0)/1000)*INDEX(Materials!$1:$2,2,MATCH(INDEX(Main_Pothole_Prim,1,0),Materials!$1:$1,0)))*SUM(--(Delay_emissions_table[Works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13" s="35" t="e" cm="1">
        <f t="array" aca="1" ref="N113" ca="1">INDEX(Indicators,MATCH(EPD_version&amp;"GWP",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13" t="e" cm="1">
        <f t="array" aca="1" ref="O113" ca="1">(Main_crack_diesel_Prim*Diesel_density)*(SUM(--(Delay_emissions_table[Works Description - Primary Scenario]="Fill Cracks (Potholes)")*Delay_emissions_table[Area of Works (m2) - Primary Scenario]*Delay_emissions_table[Environmental Discount (%)]))*INDEX(Indicators,MATCH(EPD_version&amp;"GWP",Materials!$D:$D,0),MATCH("Diesel Combustion",Materials!$1:$1,0))*Area_trans*Prim_Lays</f>
        <v>#DIV/0!</v>
      </c>
      <c r="P113" s="35" t="e" cm="1">
        <f t="array" aca="1" ref="P113" ca="1">SUM((INDEX(Indicators,MATCH(EPD_version&amp;"GWP",Materials!$D:$D,0),MATCH(INDEX(Main_Surface_Prim,1,0),Materials!$1:$1,0))*INDEX(Main_Surface_Prim,2,0)/1000)*INDEX(Materials!$1:$2,2,MATCH(INDEX(Main_Surface_Prim,1,0),Materials!$1:$1,0)))*SUM(--(Delay_emissions_table[Works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13" s="35" t="e" cm="1">
        <f t="array" aca="1" ref="Q113" ca="1">INDEX(Indicators,MATCH(EPD_version&amp;"GWP",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13" t="e" cm="1">
        <f t="array" aca="1" ref="R113" ca="1">(Main_crack_diesel_Prim*Diesel_density)*(SUM(--(Delay_emissions_table[Works Description - Primary Scenario]="Surface Defect Repair")*Delay_emissions_table[Area of Works (m2) - Primary Scenario]*Delay_emissions_table[Environmental Discount (%)]))*INDEX(Indicators,MATCH(EPD_version&amp;"GWP",Materials!$D:$D,0),MATCH("Diesel Combustion",Materials!$1:$1,0))*Area_trans*Prim_Lays</f>
        <v>#DIV/0!</v>
      </c>
      <c r="S113" s="35" t="e" cm="1">
        <f t="array" aca="1" ref="S113" ca="1">SUM((INDEX(Indicators,MATCH(EPD_version&amp;"GWP",Materials!$D:$D,0),MATCH(INDEX(Main_crack_Prim,1,0),Materials!$1:$1,0))*INDEX(Main_crack_Prim,2,0)/1000)*INDEX(Materials!$1:$2,2,MATCH(INDEX(Main_crack_Prim,1,0),Materials!$1:$1,0)))*SUM(--(Delay_emissions_table[Works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13" s="35" t="e" cm="1">
        <f t="array" aca="1" ref="T113" ca="1">INDEX(Indicators,MATCH(EPD_version&amp;"GWP",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13" t="e" cm="1">
        <f t="array" aca="1" ref="U113" ca="1">(Main_crack_diesel_Prim*Diesel_density)*(SUM(--(Delay_emissions_table[Works Description - Primary Scenario]="Shoulder Maintenance")*Delay_emissions_table[Area of Works (m2) - Primary Scenario]*Delay_emissions_table[Environmental Discount (%)]))*INDEX(Indicators,MATCH(EPD_version&amp;"GWP",Materials!$D:$D,0),MATCH("Diesel Combustion",Materials!$1:$1,0))*Area_trans*Prim_Lays</f>
        <v>#DIV/0!</v>
      </c>
      <c r="V113" s="35" t="e" cm="1">
        <f t="array" aca="1" ref="V113" ca="1">SUM((INDEX(Indicators,MATCH(EPD_version&amp;"GWP",Materials!$D:$D,0),MATCH(INDEX(Main_Patch_Prim,1,0),Materials!$1:$1,0))*INDEX(Main_Patch_Prim,2,0)/1000)*INDEX(Materials!$1:$2,2,MATCH(INDEX(Main_Patch_Prim,1,0),Materials!$1:$1,0)))*SUM(--(Delay_emissions_table[Works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13" s="35" t="e" cm="1">
        <f t="array" aca="1" ref="W113" ca="1">INDEX(Indicators,MATCH(EPD_version&amp;"GWP",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13" t="e" cm="1">
        <f t="array" aca="1" ref="X113" ca="1">(Main_crack_diesel_Prim*Diesel_density)*(SUM(--(Delay_emissions_table[Works Description - Primary Scenario]="Patch Stabilisation")*Delay_emissions_table[Area of Works (m2) - Primary Scenario]*Delay_emissions_table[Environmental Discount (%)]))*INDEX(Indicators,MATCH(EPD_version&amp;"GWP",Materials!$D:$D,0),MATCH("Diesel Combustion",Materials!$1:$1,0))*Area_trans*Prim_Lays</f>
        <v>#DIV/0!</v>
      </c>
      <c r="Y113" s="35" t="e" cm="1">
        <f t="array" aca="1" ref="Y113" ca="1">SUM((INDEX(Indicators,MATCH(EPD_version&amp;"GWP",Materials!$D:$D,0),MATCH(INDEX(Main_Mill_Prim,1,0),Materials!$1:$1,0))*INDEX(Main_Mill_Prim,2,0)/1000)*INDEX(Materials!$1:$2,2,MATCH(INDEX(Main_Mill_Prim,1,0),Materials!$1:$1,0)))*SUM(--(Delay_emissions_table[Works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13" s="35" t="e" cm="1">
        <f t="array" aca="1" ref="Z113" ca="1">INDEX(Indicators,MATCH(EPD_version&amp;"GWP",Materials!$D:$D,0),MATCH(Main_truck_Mill_Prim,Materials!$1:$1,0))*SUM((INDEX(Main_Mill_Prim,2,0)/1000)*INDEX(Materials!$1:$2,2,MATCH(INDEX(Main_Mill_Prim,1,0),Materials!$1:$1,0)))*Main_Mill_dist_Prim*SUM(--(Delay_emissions_table[Works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13" t="e" cm="1">
        <f t="array" aca="1" ref="AA113" ca="1">(Main_crack_diesel_Prim*Diesel_density)*(SUM(--(Delay_emissions_table[Works Description - Primary Scenario]="Mill and Fill")*Delay_emissions_table[Area of Works (m2) - Primary Scenario]*Delay_emissions_table[Environmental Discount (%)]))*INDEX(Indicators,MATCH(EPD_version&amp;"GWP",Materials!$D:$D,0),MATCH("Diesel Combustion",Materials!$1:$1,0))*Area_trans*Prim_Lays</f>
        <v>#DIV/0!</v>
      </c>
      <c r="AB113" s="35" t="e" cm="1">
        <f t="array" aca="1" ref="AB113" ca="1">SUM((INDEX(Indicators,MATCH(EPD_version&amp;"GWP",Materials!$D:$D,0),MATCH(INDEX(Main_Rip_Prim,1,0),Materials!$1:$1,0))*INDEX(Main_Rip_Prim,2,0)/1000)*INDEX(Materials!$1:$2,2,MATCH(INDEX(Main_Rip_Prim,1,0),Materials!$1:$1,0)))*SUM(--(Delay_emissions_table[Works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13" s="35" t="e" cm="1">
        <f t="array" aca="1" ref="AC113" ca="1">INDEX(Indicators,MATCH(EPD_version&amp;"GWP",Materials!$D:$D,0),MATCH(Main_truck_Rip_Prim,Materials!$1:$1,0))*SUM((INDEX(Main_Rip_Prim,2,0)/1000)*INDEX(Materials!$1:$2,2,MATCH(INDEX(Main_Rip_Prim,1,0),Materials!$1:$1,0)))*Main_Rip_dist_Prim*SUM(--(Delay_emissions_table[Works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13" t="e" cm="1">
        <f t="array" aca="1" ref="AD113" ca="1">(Main_crack_diesel_Prim*Diesel_density)*(SUM(--(Delay_emissions_table[Works Description - Primary Scenario]="Rip and Remake")*Delay_emissions_table[Area of Works (m2) - Primary Scenario]*Delay_emissions_table[Environmental Discount (%)]))*INDEX(Indicators,MATCH(EPD_version&amp;"GWP",Materials!$D:$D,0),MATCH("Diesel Combustion",Materials!$1:$1,0))*Area_trans*Prim_Lays</f>
        <v>#DIV/0!</v>
      </c>
      <c r="AE113" s="35" t="e" cm="1">
        <f t="array" aca="1" ref="AE113" ca="1">SUM((INDEX(Indicators,MATCH(EPD_version&amp;"GWP",Materials!$D:$D,0),MATCH(INDEX(Main_Dig_Prim,1,0),Materials!$1:$1,0))*INDEX(Main_Dig_Prim,2,0)/1000)*INDEX(Materials!$1:$2,2,MATCH(INDEX(Main_Dig_Prim,1,0),Materials!$1:$1,0)))*SUM(--(Delay_emissions_table[Works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13" s="35" t="e" cm="1">
        <f t="array" aca="1" ref="AF113" ca="1">INDEX(Indicators,MATCH(EPD_version&amp;"GWP",Materials!$D:$D,0),MATCH(Main_truck_Dig_Prim,Materials!$1:$1,0))*SUM((INDEX(Main_Dig_Prim,2,0)/1000)*INDEX(Materials!$1:$2,2,MATCH(INDEX(Main_Dig_Prim,1,0),Materials!$1:$1,0)))*Main_Dig_dist_Prim*SUM(--(Delay_emissions_table[Works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13" t="e" cm="1">
        <f t="array" aca="1" ref="AG113" ca="1">(Main_crack_diesel_Prim*Diesel_density)*(SUM(--(Delay_emissions_table[Works Description - Primary Scenario]="Dig Out")*Delay_emissions_table[Area of Works (m2) - Primary Scenario]*Delay_emissions_table[Environmental Discount (%)]))*INDEX(Indicators,MATCH(EPD_version&amp;"GWP",Materials!$D:$D,0),MATCH("Diesel Combustion",Materials!$1:$1,0))*Area_trans*Prim_Lays</f>
        <v>#DIV/0!</v>
      </c>
      <c r="AH113" s="35" t="e" cm="1">
        <f t="array" aca="1" ref="AH113" ca="1">SUM((INDEX(Indicators,MATCH(EPD_version&amp;"GWP",Materials!$D:$D,0),MATCH(INDEX(Main_Lay_Prim,1,0),Materials!$1:$1,0))*INDEX(Main_Lay_Prim,2,0)/1000)*INDEX(Materials!$1:$2,2,MATCH(INDEX(Main_Lay_Prim,1,0),Materials!$1:$1,0)))*SUM(--(Delay_emissions_table[Works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13" s="35" t="e" cm="1">
        <f t="array" aca="1" ref="AI113" ca="1">INDEX(Indicators,MATCH(EPD_version&amp;"GWP",Materials!$D:$D,0),MATCH(Main_truck_Lay_Prim,Materials!$1:$1,0))*SUM((INDEX(Main_Lay_Prim,2,0)/1000)*INDEX(Materials!$1:$2,2,MATCH(INDEX(Main_Lay_Prim,1,0),Materials!$1:$1,0)))*Main_Lay_dist_Prim*SUM(--(Delay_emissions_table[Works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13" t="e" cm="1">
        <f t="array" aca="1" ref="AJ113" ca="1">(Main_crack_diesel_Prim*Diesel_density)*(SUM(--(Delay_emissions_table[Works Description - Primary Scenario]="Lay over")*Delay_emissions_table[Area of Works (m2) - Primary Scenario]*Delay_emissions_table[Environmental Discount (%)]))*INDEX(Indicators,MATCH(EPD_version&amp;"GWP",Materials!$D:$D,0),MATCH("Diesel Combustion",Materials!$1:$1,0))*Area_trans*Prim_Lays</f>
        <v>#DIV/0!</v>
      </c>
      <c r="AK113" s="166" cm="1">
        <f t="array" aca="1" ref="AK113"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13" s="51" cm="1">
        <f t="array" aca="1" ref="AL113" ca="1">Traffic_flow*365*Area_trans*Roughness_switch*((epsi_1_light-epsi_0_light)*SUM(((INDEX(Indicators,MATCH(EPD_version&amp;"GWP",Materials!$D:$D,0),MATCH("diesel combustion",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EPD_version&amp;"GWP",Materials!$D:$D,0),MATCH("diesel combustion",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c r="AM113" s="247" cm="1">
        <f t="array" aca="1" ref="AM113" ca="1">(SUMPRODUCT(Delay_emissions_table[Consumption of Diesel (kg) - Primary Scenario],IF(Delay_emissions_table[Form of Maintenance - Primary Scenario]="Life Extension",1,0))*INDEX(Indicators,MATCH('Additional Impact Indicators'!$A113,Materials!$D:$D,0),MATCH("diesel combustion",Materials!$1:$1,0))+SUMPRODUCT(Delay_emissions_table[Consumption of Petrol (kg) - Primary Scenario],IF(Delay_emissions_table[Form of Maintenance - Primary Scenario]="Life Extension",1,0))*INDEX(Indicators,MATCH('Additional Impact Indicators'!$A113,Materials!$D:$D,0),MATCH("petrol combustion",Materials!$1:$1,0))+IFERROR(SUMPRODUCT(TRANSPOSE(INDEX(elec_project_emissions,MATCH(Elec_scenario&amp;'Additional Impact Indicators'!$B113,INDEX(Electricity_projection,0,3),0)-1,0)),Delay_emissions_table[Consumption of electricity (MJ) - Primary Scenario],IF(Delay_emissions_table[Form of Maintenance - Primary Scenario]="Life Extension",1,0)),0))*Area_trans*Time_adj_Prim</f>
        <v>0</v>
      </c>
      <c r="AN113" s="247" cm="1">
        <f t="array" aca="1" ref="AN113" ca="1">(SUMPRODUCT(Delay_emissions_table[Consumption of Diesel (kg) - Primary Scenario],IF(Delay_emissions_table[Form of Maintenance - Primary Scenario]="Replacement",1,0))*INDEX(Indicators,MATCH('Additional Impact Indicators'!$A113,Materials!$D:$D,0),MATCH("diesel combustion",Materials!$1:$1,0))+SUMPRODUCT(Delay_emissions_table[Consumption of Petrol (kg) - Primary Scenario],IF(Delay_emissions_table[Form of Maintenance - Primary Scenario]="Replacement",1,0))*INDEX(Indicators,MATCH('Additional Impact Indicators'!$A113,Materials!$D:$D,0),MATCH("petrol combustion",Materials!$1:$1,0))+IFERROR(SUMPRODUCT(TRANSPOSE(INDEX(elec_project_emissions,MATCH(Elec_scenario&amp;'Additional Impact Indicators'!$B113,INDEX(Electricity_projection,0,3),0)-1,0)),Delay_emissions_table[Consumption of electricity (MJ) - Primary Scenario],IF(Delay_emissions_table[Form of Maintenance - Primary Scenario]="Replacement",1,0)),0))*Area_trans*Time_adj_Prim</f>
        <v>0</v>
      </c>
      <c r="AO113" s="248" t="e" cm="1">
        <f t="array" ref="AO11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13" s="248" t="e" cm="1">
        <f t="array" ref="AP11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13" s="249" t="e" cm="1">
        <f t="array" ref="AQ11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13" s="386" t="e" cm="1">
        <f t="array" ref="AR113">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13" t="e">
        <f ca="1">SUMIF('Additional Impact Indicators'!$G113:$AQ113,"&lt;&gt;#N/A")</f>
        <v>#DIV/0!</v>
      </c>
      <c r="AT113" t="e">
        <f ca="1">SUMIF('Additional Impact Indicators'!$A9:$AQ114,"&lt;&gt;#N/A")</f>
        <v>#DIV/0!</v>
      </c>
      <c r="AW113" t="s">
        <v>609</v>
      </c>
      <c r="AX113" t="s">
        <v>367</v>
      </c>
      <c r="AY113" t="str">
        <f t="shared" ref="AY113:AY114" si="8">IF(ISNUMBER(SEARCH("A1",AW113)),"A1","A2")</f>
        <v>A2</v>
      </c>
      <c r="AZ113" t="s">
        <v>54</v>
      </c>
      <c r="BB113">
        <f>MATCH(Table3[[#This Row],[Indicator]],Material_Impacts[Look up],0)</f>
        <v>105</v>
      </c>
      <c r="BC113" s="398" cm="1">
        <f t="array" aca="1" ref="BC11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BD113" s="360" cm="1">
        <f t="array" ref="BD11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BE113" s="399" t="e">
        <f>Diesel_RawM_Prim*INDEX(Indicators,MATCH(Impacts_Additional[[#This Row],[Indicator]],Materials!$D:$D,0),MATCH("Diesel Combustion",Materials!$1:$1,0))*Diesel_density*Project_Area*Prim_Lays*Area_trans</f>
        <v>#DIV/0!</v>
      </c>
      <c r="BF113" s="20" t="e" cm="1">
        <f t="array" aca="1" ref="BF113"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BG113" s="20" t="e" cm="1">
        <f t="array" aca="1" ref="BG113"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BH113" s="20" t="e" cm="1">
        <f t="array" aca="1" ref="BH113"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BI113" s="20" t="e" cm="1">
        <f t="array" aca="1" ref="BI113"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BJ113" s="20" t="e" cm="1">
        <f t="array" aca="1" ref="BJ113"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BK113" s="20" t="e" cm="1">
        <f t="array" aca="1" ref="BK113"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BL113" s="35" t="e" cm="1">
        <f t="array" aca="1" ref="BL113"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BM113" s="35" t="e" cm="1">
        <f t="array" aca="1" ref="BM113"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BN113" t="e" cm="1">
        <f t="array" aca="1" ref="BN113"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BO113" s="35" t="e" cm="1">
        <f t="array" aca="1" ref="BO113"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BP113" s="35" t="e" cm="1">
        <f t="array" aca="1" ref="BP113"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BQ113" t="e" cm="1">
        <f t="array" aca="1" ref="BQ113"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BR113" s="20" t="e" cm="1">
        <f t="array" aca="1" ref="BR113"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BS113" s="20" t="e" cm="1">
        <f t="array" aca="1" ref="BS113"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BT113" s="20" t="e" cm="1">
        <f t="array" aca="1" ref="BT113"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BU113" s="35" t="e" cm="1">
        <f t="array" aca="1" ref="BU113"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BV113" s="35" t="e" cm="1">
        <f t="array" aca="1" ref="BV113"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BW113" t="e" cm="1">
        <f t="array" aca="1" ref="BW113"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BX113" s="35" t="e" cm="1">
        <f t="array" aca="1" ref="BX113"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BY113" s="35" t="e" cm="1">
        <f t="array" aca="1" ref="BY113"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BZ113" t="e" cm="1">
        <f t="array" aca="1" ref="BZ113"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CA113" s="20" t="e" cm="1">
        <f t="array" aca="1" ref="CA113"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CB113" s="20" t="e" cm="1">
        <f t="array" aca="1" ref="CB113"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CC113" s="20" t="e" cm="1">
        <f t="array" aca="1" ref="CC113"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CD113" s="20" t="e" cm="1">
        <f t="array" aca="1" ref="CD113"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CE113" s="20" t="e" cm="1">
        <f t="array" aca="1" ref="CE113"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CF113" s="20" t="e" cm="1">
        <f t="array" aca="1" ref="CF113"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CG113" s="360"/>
      <c r="CH113" s="400" cm="1">
        <f t="array" aca="1" ref="CH113" ca="1">Traffic_flow*365*Area_trans*Roughness_switch*((epsi_2_light-epsi_0_light)*SUM(((INDEX(Indicators,MATCH(EPD_version&amp;"GWP",Materials!$D:$D,0),MATCH("diesel combustion",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EPD_version&amp;"GWP",Materials!$D:$D,0),MATCH("diesel combustion",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c r="CI113" s="401" cm="1">
        <f t="array" aca="1" ref="CI113" ca="1">(SUMPRODUCT(Delay_emissions_table[Consumption of Diesel (kg) - Primary Scenario],IF(Delay_emissions_table[Form of Maintenance - Primary Scenario]="Life Extension",1,0))*INDEX(Indicators,MATCH('Additional Impact Indicators'!$A113,Materials!$D:$D,0),MATCH("diesel combustion",Materials!$1:$1,0))+SUMPRODUCT(Delay_emissions_table[Consumption of Petrol (kg) - Primary Scenario],IF(Delay_emissions_table[Form of Maintenance - Primary Scenario]="Life Extension",1,0))*INDEX(Indicators,MATCH('Additional Impact Indicators'!$A113,Materials!$D:$D,0),MATCH("petrol combustion",Materials!$1:$1,0))+IFERROR(SUMPRODUCT(TRANSPOSE(INDEX(elec_project_emissions,MATCH(Elec_scenario&amp;'Additional Impact Indicators'!$B113,INDEX(Electricity_projection,0,3),0)-1,0)),Delay_emissions_table[Consumption of electricity (MJ) - Primary Scenario],IF(Delay_emissions_table[Form of Maintenance - Primary Scenario]="Life Extension",1,0)),0))*Area_trans*Time_adj_Prim</f>
        <v>0</v>
      </c>
      <c r="CJ113" s="401" cm="1">
        <f t="array" aca="1" ref="CJ113" ca="1">(SUMPRODUCT(Delay_emissions_table[Consumption of Diesel (kg) - Primary Scenario],IF(Delay_emissions_table[Form of Maintenance - Primary Scenario]="Replacement",1,0))*INDEX(Indicators,MATCH('Additional Impact Indicators'!$A113,Materials!$D:$D,0),MATCH("diesel combustion",Materials!$1:$1,0))+SUMPRODUCT(Delay_emissions_table[Consumption of Petrol (kg) - Primary Scenario],IF(Delay_emissions_table[Form of Maintenance - Primary Scenario]="Replacement",1,0))*INDEX(Indicators,MATCH('Additional Impact Indicators'!$A113,Materials!$D:$D,0),MATCH("petrol combustion",Materials!$1:$1,0))+IFERROR(SUMPRODUCT(TRANSPOSE(INDEX(elec_project_emissions,MATCH(Elec_scenario&amp;'Additional Impact Indicators'!$B113,INDEX(Electricity_projection,0,3),0)-1,0)),Delay_emissions_table[Consumption of electricity (MJ) - Primary Scenario],IF(Delay_emissions_table[Form of Maintenance - Primary Scenario]="Replacement",1,0)),0))*Area_trans*Time_adj_Prim</f>
        <v>0</v>
      </c>
      <c r="CK113" s="400" t="e" cm="1">
        <f t="array" ref="CK11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CL113" s="400" t="e" cm="1">
        <f t="array" ref="CL11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CM113" s="402" t="e" cm="1">
        <f t="array" ref="CM11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CN113" s="403" t="e" cm="1">
        <f t="array" ref="CN113">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13" s="51" t="e">
        <f ca="1">SUMIF(Table3[[#This Row],[Raw-Materials]:[Transport to recycling facility]],"&lt;&gt;#N/A")</f>
        <v>#DIV/0!</v>
      </c>
      <c r="CP113" s="51" t="e">
        <f ca="1">SUMIF(Table3[[#This Row],[Raw-Materials]:[Transport to recycling facility]],"&lt;&gt;#N/A")</f>
        <v>#DIV/0!</v>
      </c>
      <c r="CT113" t="s">
        <v>609</v>
      </c>
      <c r="CU113" t="s">
        <v>367</v>
      </c>
      <c r="CV113" t="str">
        <f t="shared" ref="CV113:CV114" si="9">IF(ISNUMBER(SEARCH("A1",CT113)),"A1","A2")</f>
        <v>A2</v>
      </c>
      <c r="CW113" t="s">
        <v>54</v>
      </c>
      <c r="CY113">
        <f>MATCH(Table611[[#This Row],[Indicator]],Material_Impacts[Look up],0)</f>
        <v>105</v>
      </c>
      <c r="CZ113" s="398" cm="1">
        <f t="array" aca="1" ref="CZ113"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DA113" s="360" cm="1">
        <f t="array" ref="DA113">(IFERROR(INDEX(Prim_Materials[],1,5)*INDEX(Prim_Materials[],1,6)*INDEX(Material_Impacts[],MATCH(Impacts_Additional[[#This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DB113" s="360" t="e">
        <f>Diesel_RawM_Prim*INDEX(Indicators,MATCH(Impacts_Additional[[#This Row],[Indicator]],Materials!$D:$D,0),MATCH("Diesel Combustion",Materials!$1:$1,0))*Diesel_density*Project_Area*Prim_Lays*Area_trans</f>
        <v>#DIV/0!</v>
      </c>
      <c r="DC113" s="20" t="e" cm="1">
        <f t="array" aca="1" ref="DC113"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DD113" s="20" t="e" cm="1">
        <f t="array" aca="1" ref="DD113"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DE113" s="20" t="e" cm="1">
        <f t="array" aca="1" ref="DE113"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DF113" s="20" t="e" cm="1">
        <f t="array" aca="1" ref="DF113"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DG113" s="20" t="e" cm="1">
        <f t="array" aca="1" ref="DG113"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DH113" s="20" t="e" cm="1">
        <f t="array" aca="1" ref="DH113"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DI113" s="35" t="e" cm="1">
        <f t="array" aca="1" ref="DI113"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DJ113" s="35" t="e" cm="1">
        <f t="array" aca="1" ref="DJ113"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DK113" t="e" cm="1">
        <f t="array" aca="1" ref="DK113"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DL113" s="35" t="e" cm="1">
        <f t="array" aca="1" ref="DL113"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DM113" s="35" t="e" cm="1">
        <f t="array" aca="1" ref="DM113"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DN113" t="e" cm="1">
        <f t="array" aca="1" ref="DN113"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DO113" s="20" t="e" cm="1">
        <f t="array" aca="1" ref="DO113"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DP113" s="20" t="e" cm="1">
        <f t="array" aca="1" ref="DP113"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DQ113" s="20" t="e" cm="1">
        <f t="array" aca="1" ref="DQ113"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DR113" s="35" t="e" cm="1">
        <f t="array" aca="1" ref="DR113"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DS113" s="35" t="e" cm="1">
        <f t="array" aca="1" ref="DS113"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DT113" t="e" cm="1">
        <f t="array" aca="1" ref="DT113"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DU113" s="35" t="e" cm="1">
        <f t="array" aca="1" ref="DU113"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DV113" s="35" t="e" cm="1">
        <f t="array" aca="1" ref="DV113"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DW113" t="e" cm="1">
        <f t="array" aca="1" ref="DW113"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DX113" s="20" t="e" cm="1">
        <f t="array" aca="1" ref="DX113"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DY113" s="20" t="e" cm="1">
        <f t="array" aca="1" ref="DY113"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DZ113" s="20" t="e" cm="1">
        <f t="array" aca="1" ref="DZ113"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EA113" s="20" t="e" cm="1">
        <f t="array" aca="1" ref="EA113"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EB113" s="20" t="e" cm="1">
        <f t="array" aca="1" ref="EB113"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EC113" s="20" t="e" cm="1">
        <f t="array" aca="1" ref="EC113"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ED113" s="360"/>
      <c r="EE113" s="1" cm="1">
        <f t="array" aca="1" ref="EE113" ca="1">Traffic_flow*365*Area_trans*Roughness_switch*((epsi_3_light-epsi_0_light)*SUM(((INDEX(Indicators,MATCH(EPD_version&amp;"GWP",Materials!$D:$D,0),MATCH("diesel combustion",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EPD_version&amp;"GWP",Materials!$D:$D,0),MATCH("diesel combustion",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c r="EF113" s="401" cm="1">
        <f t="array" aca="1" ref="EF113" ca="1">(SUMPRODUCT(Delay_emissions_table[Consumption of Diesel (kg) - Primary Scenario],IF(Delay_emissions_table[Form of Maintenance - Primary Scenario]="Life Extension",1,0))*INDEX(Indicators,MATCH('Additional Impact Indicators'!$A113,Materials!$D:$D,0),MATCH("diesel combustion",Materials!$1:$1,0))+SUMPRODUCT(Delay_emissions_table[Consumption of Petrol (kg) - Primary Scenario],IF(Delay_emissions_table[Form of Maintenance - Primary Scenario]="Life Extension",1,0))*INDEX(Indicators,MATCH('Additional Impact Indicators'!$A113,Materials!$D:$D,0),MATCH("petrol combustion",Materials!$1:$1,0))+IFERROR(SUMPRODUCT(TRANSPOSE(INDEX(elec_project_emissions,MATCH(Elec_scenario&amp;'Additional Impact Indicators'!$B113,INDEX(Electricity_projection,0,3),0)-1,0)),Delay_emissions_table[Consumption of electricity (MJ) - Primary Scenario],IF(Delay_emissions_table[Form of Maintenance - Primary Scenario]="Life Extension",1,0)),0))*Area_trans*Time_adj_Prim</f>
        <v>0</v>
      </c>
      <c r="EG113" s="401" cm="1">
        <f t="array" aca="1" ref="EG113" ca="1">(SUMPRODUCT(Delay_emissions_table[Consumption of Diesel (kg) - Primary Scenario],IF(Delay_emissions_table[Form of Maintenance - Primary Scenario]="Replacement",1,0))*INDEX(Indicators,MATCH('Additional Impact Indicators'!$A113,Materials!$D:$D,0),MATCH("diesel combustion",Materials!$1:$1,0))+SUMPRODUCT(Delay_emissions_table[Consumption of Petrol (kg) - Primary Scenario],IF(Delay_emissions_table[Form of Maintenance - Primary Scenario]="Replacement",1,0))*INDEX(Indicators,MATCH('Additional Impact Indicators'!$A113,Materials!$D:$D,0),MATCH("petrol combustion",Materials!$1:$1,0))+IFERROR(SUMPRODUCT(TRANSPOSE(INDEX(elec_project_emissions,MATCH(Elec_scenario&amp;'Additional Impact Indicators'!$B113,INDEX(Electricity_projection,0,3),0)-1,0)),Delay_emissions_table[Consumption of electricity (MJ) - Primary Scenario],IF(Delay_emissions_table[Form of Maintenance - Primary Scenario]="Replacement",1,0)),0))*Area_trans*Time_adj_Prim</f>
        <v>0</v>
      </c>
      <c r="EH113" s="400" t="e" cm="1">
        <f t="array" ref="EH113">(SUM(Prim_Materials[Thickness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EI113" s="400" t="e" cm="1">
        <f t="array" ref="EI113">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EJ113" s="402" t="e" cm="1">
        <f t="array" ref="EJ113">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EK113" s="404" t="e" cm="1">
        <f t="array" ref="EK113">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13" t="e">
        <f ca="1">SUMIF(Table611[[#This Row],[Raw-Materials]:[Transport to recycling facility]],"&lt;&gt;#N/A")</f>
        <v>#DIV/0!</v>
      </c>
    </row>
    <row r="114" spans="1:142" s="1" customFormat="1" x14ac:dyDescent="0.35">
      <c r="A114" t="s">
        <v>610</v>
      </c>
      <c r="B114" t="s">
        <v>367</v>
      </c>
      <c r="C114" t="str">
        <f>IF(ISNUMBER(SEARCH("A1",A114)),"A1","A2")</f>
        <v>A2</v>
      </c>
      <c r="D114" t="s">
        <v>485</v>
      </c>
      <c r="E114"/>
      <c r="F114">
        <f>MATCH(Impacts_Additional[[#This Row],[Indicator]],Material_Impacts[Look up],0)</f>
        <v>106</v>
      </c>
      <c r="G114" s="166" cm="1">
        <f t="array" aca="1" ref="G11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H114" s="166" cm="1">
        <f t="array" ref="H11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I114" s="166" t="e">
        <f>Diesel_RawM_Prim*INDEX(Indicators,MATCH(Impacts_Additional[[#This Row],[Indicator]],Materials!$D:$D,0),MATCH("Diesel Combustion",Materials!$1:$1,0))*Diesel_density*Project_Area*Prim_Lays*Area_trans</f>
        <v>#DIV/0!</v>
      </c>
      <c r="J114" s="35" t="e" cm="1">
        <f t="array" aca="1" ref="J114" ca="1">SUM((INDEX(Indicators,MATCH(EPD_version&amp;"GWP",Materials!$D:$D,0),MATCH(INDEX(Main_crack_Prim,1,0),Materials!$1:$1,0))*INDEX(Main_crack_Prim,2,0)/1000)*INDEX(Materials!$1:$2,2,MATCH(INDEX(Main_crack_Prim,1,0),Materials!$1:$1,0)))*SUM(--(Delay_emissions_table[Works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K114" s="35" t="e" cm="1">
        <f t="array" aca="1" ref="K114" ca="1">INDEX(Indicators,MATCH(EPD_version&amp;"GWP",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L114" t="e" cm="1">
        <f t="array" aca="1" ref="L114" ca="1">(Main_crack_diesel_Prim*Diesel_density)*(SUM(--(Delay_emissions_table[Works Description - Primary Scenario]="Crack Sealing")*Delay_emissions_table[Area of Works (m2) - Primary Scenario]*Delay_emissions_table[Environmental Discount (%)]))*INDEX(Indicators,MATCH(EPD_version&amp;"GWP",Materials!$D:$D,0),MATCH("Diesel Combustion",Materials!$1:$1,0))*Area_trans*Prim_Lays</f>
        <v>#DIV/0!</v>
      </c>
      <c r="M114" s="35" t="e" cm="1">
        <f t="array" aca="1" ref="M114" ca="1">SUM((INDEX(Indicators,MATCH(EPD_version&amp;"GWP",Materials!$D:$D,0),MATCH(INDEX(Main_Pothole_Prim,1,0),Materials!$1:$1,0))*INDEX(Main_Pothole_Prim,2,0)/1000)*INDEX(Materials!$1:$2,2,MATCH(INDEX(Main_Pothole_Prim,1,0),Materials!$1:$1,0)))*SUM(--(Delay_emissions_table[Works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N114" s="35" t="e" cm="1">
        <f t="array" aca="1" ref="N114" ca="1">INDEX(Indicators,MATCH(EPD_version&amp;"GWP",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O114" t="e" cm="1">
        <f t="array" aca="1" ref="O114" ca="1">(Main_crack_diesel_Prim*Diesel_density)*(SUM(--(Delay_emissions_table[Works Description - Primary Scenario]="Fill Cracks (Potholes)")*Delay_emissions_table[Area of Works (m2) - Primary Scenario]*Delay_emissions_table[Environmental Discount (%)]))*INDEX(Indicators,MATCH(EPD_version&amp;"GWP",Materials!$D:$D,0),MATCH("Diesel Combustion",Materials!$1:$1,0))*Area_trans*Prim_Lays</f>
        <v>#DIV/0!</v>
      </c>
      <c r="P114" s="35" t="e" cm="1">
        <f t="array" aca="1" ref="P114" ca="1">SUM((INDEX(Indicators,MATCH(EPD_version&amp;"GWP",Materials!$D:$D,0),MATCH(INDEX(Main_Surface_Prim,1,0),Materials!$1:$1,0))*INDEX(Main_Surface_Prim,2,0)/1000)*INDEX(Materials!$1:$2,2,MATCH(INDEX(Main_Surface_Prim,1,0),Materials!$1:$1,0)))*SUM(--(Delay_emissions_table[Works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Q114" s="35" t="e" cm="1">
        <f t="array" aca="1" ref="Q114" ca="1">INDEX(Indicators,MATCH(EPD_version&amp;"GWP",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R114" t="e" cm="1">
        <f t="array" aca="1" ref="R114" ca="1">(Main_crack_diesel_Prim*Diesel_density)*(SUM(--(Delay_emissions_table[Works Description - Primary Scenario]="Surface Defect Repair")*Delay_emissions_table[Area of Works (m2) - Primary Scenario]*Delay_emissions_table[Environmental Discount (%)]))*INDEX(Indicators,MATCH(EPD_version&amp;"GWP",Materials!$D:$D,0),MATCH("Diesel Combustion",Materials!$1:$1,0))*Area_trans*Prim_Lays</f>
        <v>#DIV/0!</v>
      </c>
      <c r="S114" s="35" t="e" cm="1">
        <f t="array" aca="1" ref="S114" ca="1">SUM((INDEX(Indicators,MATCH(EPD_version&amp;"GWP",Materials!$D:$D,0),MATCH(INDEX(Main_crack_Prim,1,0),Materials!$1:$1,0))*INDEX(Main_crack_Prim,2,0)/1000)*INDEX(Materials!$1:$2,2,MATCH(INDEX(Main_crack_Prim,1,0),Materials!$1:$1,0)))*SUM(--(Delay_emissions_table[Works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T114" s="35" t="e" cm="1">
        <f t="array" aca="1" ref="T114" ca="1">INDEX(Indicators,MATCH(EPD_version&amp;"GWP",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U114" t="e" cm="1">
        <f t="array" aca="1" ref="U114" ca="1">(Main_crack_diesel_Prim*Diesel_density)*(SUM(--(Delay_emissions_table[Works Description - Primary Scenario]="Shoulder Maintenance")*Delay_emissions_table[Area of Works (m2) - Primary Scenario]*Delay_emissions_table[Environmental Discount (%)]))*INDEX(Indicators,MATCH(EPD_version&amp;"GWP",Materials!$D:$D,0),MATCH("Diesel Combustion",Materials!$1:$1,0))*Area_trans*Prim_Lays</f>
        <v>#DIV/0!</v>
      </c>
      <c r="V114" s="35" t="e" cm="1">
        <f t="array" aca="1" ref="V114" ca="1">SUM((INDEX(Indicators,MATCH(EPD_version&amp;"GWP",Materials!$D:$D,0),MATCH(INDEX(Main_Patch_Prim,1,0),Materials!$1:$1,0))*INDEX(Main_Patch_Prim,2,0)/1000)*INDEX(Materials!$1:$2,2,MATCH(INDEX(Main_Patch_Prim,1,0),Materials!$1:$1,0)))*SUM(--(Delay_emissions_table[Works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W114" s="35" t="e" cm="1">
        <f t="array" aca="1" ref="W114" ca="1">INDEX(Indicators,MATCH(EPD_version&amp;"GWP",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X114" t="e" cm="1">
        <f t="array" aca="1" ref="X114" ca="1">(Main_crack_diesel_Prim*Diesel_density)*(SUM(--(Delay_emissions_table[Works Description - Primary Scenario]="Patch Stabilisation")*Delay_emissions_table[Area of Works (m2) - Primary Scenario]*Delay_emissions_table[Environmental Discount (%)]))*INDEX(Indicators,MATCH(EPD_version&amp;"GWP",Materials!$D:$D,0),MATCH("Diesel Combustion",Materials!$1:$1,0))*Area_trans*Prim_Lays</f>
        <v>#DIV/0!</v>
      </c>
      <c r="Y114" s="35" t="e" cm="1">
        <f t="array" aca="1" ref="Y114" ca="1">SUM((INDEX(Indicators,MATCH(EPD_version&amp;"GWP",Materials!$D:$D,0),MATCH(INDEX(Main_Mill_Prim,1,0),Materials!$1:$1,0))*INDEX(Main_Mill_Prim,2,0)/1000)*INDEX(Materials!$1:$2,2,MATCH(INDEX(Main_Mill_Prim,1,0),Materials!$1:$1,0)))*SUM(--(Delay_emissions_table[Works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Z114" s="35" t="e" cm="1">
        <f t="array" aca="1" ref="Z114" ca="1">INDEX(Indicators,MATCH(EPD_version&amp;"GWP",Materials!$D:$D,0),MATCH(Main_truck_Mill_Prim,Materials!$1:$1,0))*SUM((INDEX(Main_Mill_Prim,2,0)/1000)*INDEX(Materials!$1:$2,2,MATCH(INDEX(Main_Mill_Prim,1,0),Materials!$1:$1,0)))*Main_Mill_dist_Prim*SUM(--(Delay_emissions_table[Works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AA114" t="e" cm="1">
        <f t="array" aca="1" ref="AA114" ca="1">(Main_crack_diesel_Prim*Diesel_density)*(SUM(--(Delay_emissions_table[Works Description - Primary Scenario]="Mill and Fill")*Delay_emissions_table[Area of Works (m2) - Primary Scenario]*Delay_emissions_table[Environmental Discount (%)]))*INDEX(Indicators,MATCH(EPD_version&amp;"GWP",Materials!$D:$D,0),MATCH("Diesel Combustion",Materials!$1:$1,0))*Area_trans*Prim_Lays</f>
        <v>#DIV/0!</v>
      </c>
      <c r="AB114" s="35" t="e" cm="1">
        <f t="array" aca="1" ref="AB114" ca="1">SUM((INDEX(Indicators,MATCH(EPD_version&amp;"GWP",Materials!$D:$D,0),MATCH(INDEX(Main_Rip_Prim,1,0),Materials!$1:$1,0))*INDEX(Main_Rip_Prim,2,0)/1000)*INDEX(Materials!$1:$2,2,MATCH(INDEX(Main_Rip_Prim,1,0),Materials!$1:$1,0)))*SUM(--(Delay_emissions_table[Works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AC114" s="35" t="e" cm="1">
        <f t="array" aca="1" ref="AC114" ca="1">INDEX(Indicators,MATCH(EPD_version&amp;"GWP",Materials!$D:$D,0),MATCH(Main_truck_Rip_Prim,Materials!$1:$1,0))*SUM((INDEX(Main_Rip_Prim,2,0)/1000)*INDEX(Materials!$1:$2,2,MATCH(INDEX(Main_Rip_Prim,1,0),Materials!$1:$1,0)))*Main_Rip_dist_Prim*SUM(--(Delay_emissions_table[Works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AD114" t="e" cm="1">
        <f t="array" aca="1" ref="AD114" ca="1">(Main_crack_diesel_Prim*Diesel_density)*(SUM(--(Delay_emissions_table[Works Description - Primary Scenario]="Rip and Remake")*Delay_emissions_table[Area of Works (m2) - Primary Scenario]*Delay_emissions_table[Environmental Discount (%)]))*INDEX(Indicators,MATCH(EPD_version&amp;"GWP",Materials!$D:$D,0),MATCH("Diesel Combustion",Materials!$1:$1,0))*Area_trans*Prim_Lays</f>
        <v>#DIV/0!</v>
      </c>
      <c r="AE114" s="35" t="e" cm="1">
        <f t="array" aca="1" ref="AE114" ca="1">SUM((INDEX(Indicators,MATCH(EPD_version&amp;"GWP",Materials!$D:$D,0),MATCH(INDEX(Main_Dig_Prim,1,0),Materials!$1:$1,0))*INDEX(Main_Dig_Prim,2,0)/1000)*INDEX(Materials!$1:$2,2,MATCH(INDEX(Main_Dig_Prim,1,0),Materials!$1:$1,0)))*SUM(--(Delay_emissions_table[Works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AF114" s="35" t="e" cm="1">
        <f t="array" aca="1" ref="AF114" ca="1">INDEX(Indicators,MATCH(EPD_version&amp;"GWP",Materials!$D:$D,0),MATCH(Main_truck_Dig_Prim,Materials!$1:$1,0))*SUM((INDEX(Main_Dig_Prim,2,0)/1000)*INDEX(Materials!$1:$2,2,MATCH(INDEX(Main_Dig_Prim,1,0),Materials!$1:$1,0)))*Main_Dig_dist_Prim*SUM(--(Delay_emissions_table[Works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AG114" t="e" cm="1">
        <f t="array" aca="1" ref="AG114" ca="1">(Main_crack_diesel_Prim*Diesel_density)*(SUM(--(Delay_emissions_table[Works Description - Primary Scenario]="Dig Out")*Delay_emissions_table[Area of Works (m2) - Primary Scenario]*Delay_emissions_table[Environmental Discount (%)]))*INDEX(Indicators,MATCH(EPD_version&amp;"GWP",Materials!$D:$D,0),MATCH("Diesel Combustion",Materials!$1:$1,0))*Area_trans*Prim_Lays</f>
        <v>#DIV/0!</v>
      </c>
      <c r="AH114" s="35" t="e" cm="1">
        <f t="array" aca="1" ref="AH114" ca="1">SUM((INDEX(Indicators,MATCH(EPD_version&amp;"GWP",Materials!$D:$D,0),MATCH(INDEX(Main_Lay_Prim,1,0),Materials!$1:$1,0))*INDEX(Main_Lay_Prim,2,0)/1000)*INDEX(Materials!$1:$2,2,MATCH(INDEX(Main_Lay_Prim,1,0),Materials!$1:$1,0)))*SUM(--(Delay_emissions_table[Works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AI114" s="35" t="e" cm="1">
        <f t="array" aca="1" ref="AI114" ca="1">INDEX(Indicators,MATCH(EPD_version&amp;"GWP",Materials!$D:$D,0),MATCH(Main_truck_Lay_Prim,Materials!$1:$1,0))*SUM((INDEX(Main_Lay_Prim,2,0)/1000)*INDEX(Materials!$1:$2,2,MATCH(INDEX(Main_Lay_Prim,1,0),Materials!$1:$1,0)))*Main_Lay_dist_Prim*SUM(--(Delay_emissions_table[Works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AJ114" t="e" cm="1">
        <f t="array" aca="1" ref="AJ114" ca="1">(Main_crack_diesel_Prim*Diesel_density)*(SUM(--(Delay_emissions_table[Works Description - Primary Scenario]="Lay over")*Delay_emissions_table[Area of Works (m2) - Primary Scenario]*Delay_emissions_table[Environmental Discount (%)]))*INDEX(Indicators,MATCH(EPD_version&amp;"GWP",Materials!$D:$D,0),MATCH("Diesel Combustion",Materials!$1:$1,0))*Area_trans*Prim_Lays</f>
        <v>#DIV/0!</v>
      </c>
      <c r="AK114" s="166" cm="1">
        <f t="array" aca="1" ref="AK114" ca="1">((E_modulus_Prim/40114)^-0.25)*((Subgrade_stiffness_Prim/35)^-0.25)*((Surface_thickness_Prim/0.22)^-0.75)*Area_trans*delflec_switch*SUM((INDEX(PVI_vehicle_EFC,1,1)/INDEX(PVI_fuel_energy_density,1,1))*(INDEX(Indicators,MATCH(EPD_version&amp;"GWP",Materials!$D:$D,0),MATCH("diesel combustion",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AL114" s="51" cm="1">
        <f t="array" aca="1" ref="AL114" ca="1">Traffic_flow*365*Area_trans*Roughness_switch*((epsi_1_light-epsi_0_light)*SUM(((INDEX(Indicators,MATCH(EPD_version&amp;"GWP",Materials!$D:$D,0),MATCH("diesel combustion",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EPD_version&amp;"GWP",Materials!$D:$D,0),MATCH("diesel combustion",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c r="AM114" s="247" cm="1">
        <f t="array" aca="1" ref="AM114" ca="1">(SUMPRODUCT(Delay_emissions_table[Consumption of Diesel (kg) - Primary Scenario],IF(Delay_emissions_table[Form of Maintenance - Primary Scenario]="Life Extension",1,0))*INDEX(Indicators,MATCH('Additional Impact Indicators'!$A114,Materials!$D:$D,0),MATCH("diesel combustion",Materials!$1:$1,0))+SUMPRODUCT(Delay_emissions_table[Consumption of Petrol (kg) - Primary Scenario],IF(Delay_emissions_table[Form of Maintenance - Primary Scenario]="Life Extension",1,0))*INDEX(Indicators,MATCH('Additional Impact Indicators'!$A114,Materials!$D:$D,0),MATCH("petrol combustion",Materials!$1:$1,0))+IFERROR(SUMPRODUCT(TRANSPOSE(INDEX(elec_project_emissions,MATCH(Elec_scenario&amp;'Additional Impact Indicators'!$B114,INDEX(Electricity_projection,0,3),0)-1,0)),Delay_emissions_table[Consumption of electricity (MJ) - Primary Scenario],IF(Delay_emissions_table[Form of Maintenance - Primary Scenario]="Life Extension",1,0)),0))*Area_trans*Time_adj_Prim</f>
        <v>0</v>
      </c>
      <c r="AN114" s="247" cm="1">
        <f t="array" aca="1" ref="AN114" ca="1">(SUMPRODUCT(Delay_emissions_table[Consumption of Diesel (kg) - Primary Scenario],IF(Delay_emissions_table[Form of Maintenance - Primary Scenario]="Replacement",1,0))*INDEX(Indicators,MATCH('Additional Impact Indicators'!$A114,Materials!$D:$D,0),MATCH("diesel combustion",Materials!$1:$1,0))+SUMPRODUCT(Delay_emissions_table[Consumption of Petrol (kg) - Primary Scenario],IF(Delay_emissions_table[Form of Maintenance - Primary Scenario]="Replacement",1,0))*INDEX(Indicators,MATCH('Additional Impact Indicators'!$A114,Materials!$D:$D,0),MATCH("petrol combustion",Materials!$1:$1,0))+IFERROR(SUMPRODUCT(TRANSPOSE(INDEX(elec_project_emissions,MATCH(Elec_scenario&amp;'Additional Impact Indicators'!$B114,INDEX(Electricity_projection,0,3),0)-1,0)),Delay_emissions_table[Consumption of electricity (MJ) - Primary Scenario],IF(Delay_emissions_table[Form of Maintenance - Primary Scenario]="Replacement",1,0)),0))*Area_trans*Time_adj_Prim</f>
        <v>0</v>
      </c>
      <c r="AO114" s="248" t="e" cm="1">
        <f t="array" ref="AO11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AP114" s="248" t="e" cm="1">
        <f t="array" ref="AP11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AQ114" s="249" t="e" cm="1">
        <f t="array" ref="AQ11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AR114" s="386" t="e" cm="1">
        <f t="array" ref="AR114">SUM(((Prim_Materials[Thickness of Layer (mm)]*(INDEX(--(Prim_EoL="Removed"),0,1)+IF(Prim_Lays&gt;1,INDEX(--(Prim_EoL="Removed"),0,2),0)+IF(Prim_Lays&gt;=3,--(INDEX(Prim_EoL,0,3)="Removed")*(Prim_Lays-2),0))/1000)*INDEX(Materials!$1:$2,2,MATCH(Prim_Materials[Material],Materials!$1:$1,0)))*IF(RCC_switch_Prim=TRUE,INDEX(Prim_Materials[],0,2)="Concrete",1))*INDEX(Indicators,MATCH(Impacts_Additional[[#This Row],[Indicator]],Materials!$D:$D,0),MATCH("Diesel Combustion",Materials!$1:$1,0))*Diesel_density*0.5</f>
        <v>#DIV/0!</v>
      </c>
      <c r="AS114" t="e">
        <f ca="1">SUMIF('Additional Impact Indicators'!$G114:$AQ114,"&lt;&gt;#N/A")</f>
        <v>#DIV/0!</v>
      </c>
      <c r="AT114" t="e">
        <f ca="1">SUMIF('Additional Impact Indicators'!$A9:$AQ114,"&lt;&gt;#N/A")</f>
        <v>#DIV/0!</v>
      </c>
      <c r="AW114" t="s">
        <v>610</v>
      </c>
      <c r="AX114" t="s">
        <v>367</v>
      </c>
      <c r="AY114" s="1" t="str">
        <f t="shared" si="8"/>
        <v>A2</v>
      </c>
      <c r="AZ114" t="s">
        <v>485</v>
      </c>
      <c r="BB114">
        <f>MATCH(Table3[[#This Row],[Indicator]],Material_Impacts[Look up],0)</f>
        <v>106</v>
      </c>
      <c r="BC114" s="398" cm="1">
        <f t="array" aca="1" ref="BC11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BD114" s="360" cm="1">
        <f t="array" ref="BD11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BE114" s="399" t="e">
        <f>Diesel_RawM_Prim*INDEX(Indicators,MATCH(Impacts_Additional[[#This Row],[Indicator]],Materials!$D:$D,0),MATCH("Diesel Combustion",Materials!$1:$1,0))*Diesel_density*Project_Area*Prim_Lays*Area_trans</f>
        <v>#DIV/0!</v>
      </c>
      <c r="BF114" s="20" t="e" cm="1">
        <f t="array" aca="1" ref="BF114" ca="1">SUM((INDEX(Indicators,MATCH(Impacts_Additional[[#This Row],[Indicator]],Materials!$D:$D,0),MATCH(INDEX(Main_crack_Prim,1,0),Materials!$1:$1,0))*INDEX(Main_crack_Prim,2,0)/1000)*INDEX(Materials!$1:$2,2,MATCH(INDEX(Main_crack_Prim,1,0),Materials!$1:$1,0)))*SUM(--(Delay_emissions_table[Works Description - Primary Scenario]="Crack Sealing")*Delay_emissions_table[Area of Works (m2) - Primary Scenario]*Delay_emissions_table[Environmental Discount (%)])*Area_trans*Prim_Lays</f>
        <v>#DIV/0!</v>
      </c>
      <c r="BG114" s="20" t="e" cm="1">
        <f t="array" aca="1" ref="BG114" ca="1">INDEX(Indicators,MATCH(Impacts_Additional[[#This Row],[Indicator]],Materials!$D:$D,0),MATCH(Main_truck_crack_Prim,Materials!$1:$1,0))*SUM((INDEX(Main_crack_Prim,2,0)/1000)*INDEX(Materials!$1:$2,2,MATCH(INDEX(Main_crack_Prim,1,0),Materials!$1:$1,0)))*Main_crack_dist_Prim*SUM(--(Delay_emissions_table[Works Description - Primary Scenario]="Crack Sealing")*Delay_emissions_table[Area of Works (m2) - Primary Scenario]*Delay_emissions_table[Environmental Discount (%)])*Area_trans*Prim_Lays</f>
        <v>#DIV/0!</v>
      </c>
      <c r="BH114" s="20" t="e" cm="1">
        <f t="array" aca="1" ref="BH114" ca="1">(Main_crack_diesel_Prim*Diesel_density)*(SUM(--(Delay_emissions_table[Works Description - Primary Scenario]="Crack Sealing")*Delay_emissions_table[Area of Works (m2) - Primary Scenario]*Delay_emissions_table[Environmental Discount (%)]))*INDEX(Indicators,MATCH(Impacts_Additional[[#This Row],[Indicator]],Materials!$D:$D,0),MATCH("Diesel Combustion",Materials!$1:$1,0))*Area_trans*Prim_Lays</f>
        <v>#DIV/0!</v>
      </c>
      <c r="BI114" s="20" t="e" cm="1">
        <f t="array" aca="1" ref="BI114" ca="1">SUM((INDEX(Indicators,MATCH(Impacts_Additional[[#This Row],[Indicator]],Materials!$D:$D,0),MATCH(INDEX(Main_Pothole_Prim,1,0),Materials!$1:$1,0))*INDEX(Main_Pothole_Prim,2,0)/1000)*INDEX(Materials!$1:$2,2,MATCH(INDEX(Main_Pothole_Prim,1,0),Materials!$1:$1,0)))*SUM(--(Delay_emissions_table[Works Description - Primary Scenario]="Fill Cracks (Potholes)")*Delay_emissions_table[Area of Works (m2) - Primary Scenario]*Delay_emissions_table[Environmental Discount (%)])*Area_trans*Prim_Lays</f>
        <v>#DIV/0!</v>
      </c>
      <c r="BJ114" s="20" t="e" cm="1">
        <f t="array" aca="1" ref="BJ114" ca="1">INDEX(Indicators,MATCH(Impacts_Additional[[#This Row],[Indicator]],Materials!$D:$D,0),MATCH(Main_truck_pothole_prim,Materials!$1:$1,0))*SUM((INDEX(Main_Pothole_Prim,2,0)/1000)*INDEX(Materials!$1:$2,2,MATCH(INDEX(Main_Pothole_Prim,1,0),Materials!$1:$1,0)))*Main_Pothole_dist_Prim*SUM(--(Delay_emissions_table[Works Description - Primary Scenario]="Fill Cracks (Potholes)")*Delay_emissions_table[Area of Works (m2) - Primary Scenario]*Delay_emissions_table[Environmental Discount (%)])*Area_trans*Prim_Lays</f>
        <v>#DIV/0!</v>
      </c>
      <c r="BK114" s="20" t="e" cm="1">
        <f t="array" aca="1" ref="BK114" ca="1">(Main_crack_diesel_Prim*Diesel_density)*(SUM(--(Delay_emissions_table[Works Description - Primary Scenario]="Fill Cracks (Potholes)")*Delay_emissions_table[Area of Works (m2) - Primary Scenario]*Delay_emissions_table[Environmental Discount (%)]))*INDEX(Indicators,MATCH(Impacts_Additional[[#This Row],[Indicator]],Materials!$D:$D,0),MATCH("Diesel Combustion",Materials!$1:$1,0))*Area_trans*Prim_Lays</f>
        <v>#DIV/0!</v>
      </c>
      <c r="BL114" s="35" t="e" cm="1">
        <f t="array" aca="1" ref="BL114" ca="1">SUM((INDEX(Indicators,MATCH(Impacts_Additional[[#This Row],[Indicator]],Materials!$D:$D,0),MATCH(INDEX(Main_Surface_Prim,1,0),Materials!$1:$1,0))*INDEX(Main_Surface_Prim,2,0)/1000)*INDEX(Materials!$1:$2,2,MATCH(INDEX(Main_Surface_Prim,1,0),Materials!$1:$1,0)))*SUM(--(Delay_emissions_table[Works Description - Primary Scenario]="Surface Defect Repair")*Delay_emissions_table[Area of Works (m2) - Primary Scenario]*Delay_emissions_table[Environmental Discount (%)])*Area_trans*Prim_Lays</f>
        <v>#DIV/0!</v>
      </c>
      <c r="BM114" s="35" t="e" cm="1">
        <f t="array" aca="1" ref="BM114" ca="1">INDEX(Indicators,MATCH(Impacts_Additional[[#This Row],[Indicator]],Materials!$D:$D,0),MATCH(Main_truck_Surface_Prim,Materials!$1:$1,0))*SUM((INDEX(Main_Surface_Prim,2,0)/1000)*INDEX(Materials!$1:$2,2,MATCH(INDEX(Main_Surface_Prim,1,0),Materials!$1:$1,0)))*Main_Surface_dist_Prim*SUM(--(Delay_emissions_table[Works Description - Primary Scenario]="Surface Defect Repair")*Delay_emissions_table[Area of Works (m2) - Primary Scenario]*Delay_emissions_table[Environmental Discount (%)])*Area_trans*Prim_Lays</f>
        <v>#DIV/0!</v>
      </c>
      <c r="BN114" t="e" cm="1">
        <f t="array" aca="1" ref="BN114" ca="1">(Main_crack_diesel_Prim*Diesel_density)*(SUM(--(Delay_emissions_table[Works Description - Primary Scenario]="Surface Defect Repair")*Delay_emissions_table[Area of Works (m2) - Primary Scenario]*Delay_emissions_table[Environmental Discount (%)]))*INDEX(Indicators,MATCH(Impacts_Additional[[#This Row],[Indicator]],Materials!$D:$D,0),MATCH("Diesel Combustion",Materials!$1:$1,0))*Area_trans*Prim_Lays</f>
        <v>#DIV/0!</v>
      </c>
      <c r="BO114" s="35" t="e" cm="1">
        <f t="array" aca="1" ref="BO114" ca="1">SUM((INDEX(Indicators,MATCH(Impacts_Additional[[#This Row],[Indicator]],Materials!$D:$D,0),MATCH(INDEX(Main_crack_Prim,1,0),Materials!$1:$1,0))*INDEX(Main_crack_Prim,2,0)/1000)*INDEX(Materials!$1:$2,2,MATCH(INDEX(Main_crack_Prim,1,0),Materials!$1:$1,0)))*SUM(--(Delay_emissions_table[Works Description - Primary Scenario]="Shoulder Maintenance")*Delay_emissions_table[Area of Works (m2) - Primary Scenario]*Delay_emissions_table[Environmental Discount (%)])*Area_trans*Prim_Lays</f>
        <v>#DIV/0!</v>
      </c>
      <c r="BP114" s="35" t="e" cm="1">
        <f t="array" aca="1" ref="BP114" ca="1">INDEX(Indicators,MATCH(Impacts_Additional[[#This Row],[Indicator]],Materials!$D:$D,0),MATCH(Main_truck_crack_Prim,Materials!$1:$1,0))*SUM((INDEX(Main_crack_Prim,2,0)/1000)*INDEX(Materials!$1:$2,2,MATCH(INDEX(Main_crack_Prim,1,0),Materials!$1:$1,0)))*Main_crack_dist_Prim*SUM(--(Delay_emissions_table[Works Description - Primary Scenario]="Shoulder Maintenance")*Delay_emissions_table[Area of Works (m2) - Primary Scenario]*Delay_emissions_table[Environmental Discount (%)])*Area_trans*Prim_Lays</f>
        <v>#DIV/0!</v>
      </c>
      <c r="BQ114" t="e" cm="1">
        <f t="array" aca="1" ref="BQ114" ca="1">(Main_crack_diesel_Prim*Diesel_density)*(SUM(--(Delay_emissions_table[Works Description - Primary Scenario]="Shoulder Maintenance")*Delay_emissions_table[Area of Works (m2) - Primary Scenario]*Delay_emissions_table[Environmental Discount (%)]))*INDEX(Indicators,MATCH(Impacts_Additional[[#This Row],[Indicator]],Materials!$D:$D,0),MATCH("Diesel Combustion",Materials!$1:$1,0))*Area_trans*Prim_Lays</f>
        <v>#DIV/0!</v>
      </c>
      <c r="BR114" s="20" t="e" cm="1">
        <f t="array" aca="1" ref="BR114" ca="1">SUM((INDEX(Indicators,MATCH(Impacts_Additional[[#This Row],[Indicator]],Materials!$D:$D,0),MATCH(INDEX(Main_Patch_Prim,1,0),Materials!$1:$1,0))*INDEX(Main_Patch_Prim,2,0)/1000)*INDEX(Materials!$1:$2,2,MATCH(INDEX(Main_Patch_Prim,1,0),Materials!$1:$1,0)))*SUM(--(Delay_emissions_table[Works Description - Primary Scenario]="Patch Stabilisation")*Delay_emissions_table[Area of Works (m2) - Primary Scenario]*Delay_emissions_table[Environmental Discount (%)])*Area_trans*Prim_Lays</f>
        <v>#DIV/0!</v>
      </c>
      <c r="BS114" s="20" t="e" cm="1">
        <f t="array" aca="1" ref="BS114" ca="1">INDEX(Indicators,MATCH(Impacts_Additional[[#This Row],[Indicator]],Materials!$D:$D,0),MATCH(Main_truck_Patch_Prim,Materials!$1:$1,0))*SUM((INDEX(Main_Patch_Prim,2,0)/1000)*INDEX(Materials!$1:$2,2,MATCH(INDEX(Main_Patch_Prim,1,0),Materials!$1:$1,0)))*Main_Patch_dist_Prim*SUM(--(Delay_emissions_table[Works Description - Primary Scenario]="Patch Stabilisation")*Delay_emissions_table[Area of Works (m2) - Primary Scenario]*Delay_emissions_table[Environmental Discount (%)])*Area_trans*Prim_Lays</f>
        <v>#DIV/0!</v>
      </c>
      <c r="BT114" s="20" t="e" cm="1">
        <f t="array" aca="1" ref="BT114" ca="1">(Main_crack_diesel_Prim*Diesel_density)*(SUM(--(Delay_emissions_table[Works Description - Primary Scenario]="Patch Stabilisation")*Delay_emissions_table[Area of Works (m2) - Primary Scenario]*Delay_emissions_table[Environmental Discount (%)]))*INDEX(Indicators,MATCH(Impacts_Additional[[#This Row],[Indicator]],Materials!$D:$D,0),MATCH("Diesel Combustion",Materials!$1:$1,0))*Area_trans*Prim_Lays</f>
        <v>#DIV/0!</v>
      </c>
      <c r="BU114" s="35" t="e" cm="1">
        <f t="array" aca="1" ref="BU114" ca="1">SUM((INDEX(Indicators,MATCH(Impacts_Additional[[#This Row],[Indicator]],Materials!$D:$D,0),MATCH(INDEX(Main_Mill_Prim,1,0),Materials!$1:$1,0))*INDEX(Main_Mill_Prim,2,0)/1000)*INDEX(Materials!$1:$2,2,MATCH(INDEX(Main_Mill_Prim,1,0),Materials!$1:$1,0)))*SUM(--(Delay_emissions_table[Works Description - Primary Scenario]="Mill and Fill")*Delay_emissions_table[Area of Works (m2) - Primary Scenario]*Delay_emissions_table[Environmental Discount (%)])*Area_trans*Prim_Lays</f>
        <v>#DIV/0!</v>
      </c>
      <c r="BV114" s="35" t="e" cm="1">
        <f t="array" aca="1" ref="BV114" ca="1">INDEX(Indicators,MATCH(Impacts_Additional[[#This Row],[Indicator]],Materials!$D:$D,0),MATCH(Main_truck_Mill_Prim,Materials!$1:$1,0))*SUM((INDEX(Main_Mill_Prim,2,0)/1000)*INDEX(Materials!$1:$2,2,MATCH(INDEX(Main_Mill_Prim,1,0),Materials!$1:$1,0)))*Main_Mill_dist_Prim*SUM(--(Delay_emissions_table[Works Description - Primary Scenario]="Mill and Fill")*Delay_emissions_table[Area of Works (m2) - Primary Scenario]*Delay_emissions_table[Environmental Discount (%)])*Area_trans*Prim_Lays</f>
        <v>#DIV/0!</v>
      </c>
      <c r="BW114" t="e" cm="1">
        <f t="array" aca="1" ref="BW114" ca="1">(Main_crack_diesel_Prim*Diesel_density)*(SUM(--(Delay_emissions_table[Works Description - Primary Scenario]="Mill and Fill")*Delay_emissions_table[Area of Works (m2) - Primary Scenario]*Delay_emissions_table[Environmental Discount (%)]))*INDEX(Indicators,MATCH(Impacts_Additional[[#This Row],[Indicator]],Materials!$D:$D,0),MATCH("Diesel Combustion",Materials!$1:$1,0))*Area_trans*Prim_Lays</f>
        <v>#DIV/0!</v>
      </c>
      <c r="BX114" s="35" t="e" cm="1">
        <f t="array" aca="1" ref="BX114" ca="1">SUM((INDEX(Indicators,MATCH(Impacts_Additional[[#This Row],[Indicator]],Materials!$D:$D,0),MATCH(INDEX(Main_Rip_Prim,1,0),Materials!$1:$1,0))*INDEX(Main_Rip_Prim,2,0)/1000)*INDEX(Materials!$1:$2,2,MATCH(INDEX(Main_Rip_Prim,1,0),Materials!$1:$1,0)))*SUM(--(Delay_emissions_table[Works Description - Primary Scenario]="Rip and Remake")*Delay_emissions_table[Area of Works (m2) - Primary Scenario]*Delay_emissions_table[Environmental Discount (%)])*Area_trans*Prim_Lays</f>
        <v>#DIV/0!</v>
      </c>
      <c r="BY114" s="35" t="e" cm="1">
        <f t="array" aca="1" ref="BY114" ca="1">INDEX(Indicators,MATCH(Impacts_Additional[[#This Row],[Indicator]],Materials!$D:$D,0),MATCH(Main_truck_Rip_Prim,Materials!$1:$1,0))*SUM((INDEX(Main_Rip_Prim,2,0)/1000)*INDEX(Materials!$1:$2,2,MATCH(INDEX(Main_Rip_Prim,1,0),Materials!$1:$1,0)))*Main_Rip_dist_Prim*SUM(--(Delay_emissions_table[Works Description - Primary Scenario]="Rip and Remake")*Delay_emissions_table[Area of Works (m2) - Primary Scenario]*Delay_emissions_table[Environmental Discount (%)])*Area_trans*Prim_Lays</f>
        <v>#DIV/0!</v>
      </c>
      <c r="BZ114" t="e" cm="1">
        <f t="array" aca="1" ref="BZ114" ca="1">(Main_crack_diesel_Prim*Diesel_density)*(SUM(--(Delay_emissions_table[Works Description - Primary Scenario]="Rip and Remake")*Delay_emissions_table[Area of Works (m2) - Primary Scenario]*Delay_emissions_table[Environmental Discount (%)]))*INDEX(Indicators,MATCH(Impacts_Additional[[#This Row],[Indicator]],Materials!$D:$D,0),MATCH("Diesel Combustion",Materials!$1:$1,0))*Area_trans*Prim_Lays</f>
        <v>#DIV/0!</v>
      </c>
      <c r="CA114" s="20" t="e" cm="1">
        <f t="array" aca="1" ref="CA114" ca="1">SUM((INDEX(Indicators,MATCH(Impacts_Additional[[#This Row],[Indicator]],Materials!$D:$D,0),MATCH(INDEX(Main_Dig_Prim,1,0),Materials!$1:$1,0))*INDEX(Main_Dig_Prim,2,0)/1000)*INDEX(Materials!$1:$2,2,MATCH(INDEX(Main_Dig_Prim,1,0),Materials!$1:$1,0)))*SUM(--(Delay_emissions_table[Works Description - Primary Scenario]="Dig Out")*Delay_emissions_table[Area of Works (m2) - Primary Scenario]*Delay_emissions_table[Environmental Discount (%)])*Area_trans*Prim_Lays</f>
        <v>#DIV/0!</v>
      </c>
      <c r="CB114" s="20" t="e" cm="1">
        <f t="array" aca="1" ref="CB114" ca="1">INDEX(Indicators,MATCH(Impacts_Additional[[#This Row],[Indicator]],Materials!$D:$D,0),MATCH(Main_truck_Dig_Prim,Materials!$1:$1,0))*SUM((INDEX(Main_Dig_Prim,2,0)/1000)*INDEX(Materials!$1:$2,2,MATCH(INDEX(Main_Dig_Prim,1,0),Materials!$1:$1,0)))*Main_Dig_dist_Prim*SUM(--(Delay_emissions_table[Works Description - Primary Scenario]="Dig Out")*Delay_emissions_table[Area of Works (m2) - Primary Scenario]*Delay_emissions_table[Environmental Discount (%)])*Area_trans*Prim_Lays</f>
        <v>#DIV/0!</v>
      </c>
      <c r="CC114" s="20" t="e" cm="1">
        <f t="array" aca="1" ref="CC114" ca="1">(Main_crack_diesel_Prim*Diesel_density)*(SUM(--(Delay_emissions_table[Works Description - Primary Scenario]="Dig Out")*Delay_emissions_table[Area of Works (m2) - Primary Scenario]*Delay_emissions_table[Environmental Discount (%)]))*INDEX(Indicators,MATCH(Impacts_Additional[[#This Row],[Indicator]],Materials!$D:$D,0),MATCH("Diesel Combustion",Materials!$1:$1,0))*Area_trans*Prim_Lays</f>
        <v>#DIV/0!</v>
      </c>
      <c r="CD114" s="20" t="e" cm="1">
        <f t="array" aca="1" ref="CD114" ca="1">SUM((INDEX(Indicators,MATCH(Impacts_Additional[[#This Row],[Indicator]],Materials!$D:$D,0),MATCH(INDEX(Main_Lay_Prim,1,0),Materials!$1:$1,0))*INDEX(Main_Lay_Prim,2,0)/1000)*INDEX(Materials!$1:$2,2,MATCH(INDEX(Main_Lay_Prim,1,0),Materials!$1:$1,0)))*SUM(--(Delay_emissions_table[Works Description - Primary Scenario]="Lay Over")*Delay_emissions_table[Area of Works (m2) - Primary Scenario]*Delay_emissions_table[Environmental Discount (%)])*Area_trans*Prim_Lays</f>
        <v>#DIV/0!</v>
      </c>
      <c r="CE114" s="20" t="e" cm="1">
        <f t="array" aca="1" ref="CE114" ca="1">INDEX(Indicators,MATCH(Impacts_Additional[[#This Row],[Indicator]],Materials!$D:$D,0),MATCH(Main_truck_Lay_Prim,Materials!$1:$1,0))*SUM((INDEX(Main_Lay_Prim,2,0)/1000)*INDEX(Materials!$1:$2,2,MATCH(INDEX(Main_Lay_Prim,1,0),Materials!$1:$1,0)))*Main_Lay_dist_Prim*SUM(--(Delay_emissions_table[Works Description - Primary Scenario]="Lay Over")*Delay_emissions_table[Area of Works (m2) - Primary Scenario]*Delay_emissions_table[Environmental Discount (%)])*Area_trans*Prim_Lays</f>
        <v>#DIV/0!</v>
      </c>
      <c r="CF114" s="20" t="e" cm="1">
        <f t="array" aca="1" ref="CF114" ca="1">(Main_crack_diesel_Prim*Diesel_density)*(SUM(--(Delay_emissions_table[Works Description - Primary Scenario]="Lay over")*Delay_emissions_table[Area of Works (m2) - Primary Scenario]*Delay_emissions_table[Environmental Discount (%)]))*INDEX(Indicators,MATCH(Impacts_Additional[[#This Row],[Indicator]],Materials!$D:$D,0),MATCH("Diesel Combustion",Materials!$1:$1,0))*Area_trans*Prim_Lays</f>
        <v>#DIV/0!</v>
      </c>
      <c r="CG114" s="360"/>
      <c r="CH114" s="400" cm="1">
        <f t="array" aca="1" ref="CH114" ca="1">Traffic_flow*365*Area_trans*Roughness_switch*((epsi_2_light-epsi_0_light)*SUM(((INDEX(Indicators,MATCH(EPD_version&amp;"GWP",Materials!$D:$D,0),MATCH("diesel combustion",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EPD_version&amp;"GWP",Materials!$D:$D,0),MATCH("diesel combustion",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c r="CI114" s="401" cm="1">
        <f t="array" aca="1" ref="CI114" ca="1">(SUMPRODUCT(Delay_emissions_table[Consumption of Diesel (kg) - Primary Scenario],IF(Delay_emissions_table[Form of Maintenance - Primary Scenario]="Life Extension",1,0))*INDEX(Indicators,MATCH('Additional Impact Indicators'!$A114,Materials!$D:$D,0),MATCH("diesel combustion",Materials!$1:$1,0))+SUMPRODUCT(Delay_emissions_table[Consumption of Petrol (kg) - Primary Scenario],IF(Delay_emissions_table[Form of Maintenance - Primary Scenario]="Life Extension",1,0))*INDEX(Indicators,MATCH('Additional Impact Indicators'!$A114,Materials!$D:$D,0),MATCH("petrol combustion",Materials!$1:$1,0))+IFERROR(SUMPRODUCT(TRANSPOSE(INDEX(elec_project_emissions,MATCH(Elec_scenario&amp;'Additional Impact Indicators'!$B114,INDEX(Electricity_projection,0,3),0)-1,0)),Delay_emissions_table[Consumption of electricity (MJ) - Primary Scenario],IF(Delay_emissions_table[Form of Maintenance - Primary Scenario]="Life Extension",1,0)),0))*Area_trans*Time_adj_Prim</f>
        <v>0</v>
      </c>
      <c r="CJ114" s="401" cm="1">
        <f t="array" aca="1" ref="CJ114" ca="1">(SUMPRODUCT(Delay_emissions_table[Consumption of Diesel (kg) - Primary Scenario],IF(Delay_emissions_table[Form of Maintenance - Primary Scenario]="Replacement",1,0))*INDEX(Indicators,MATCH('Additional Impact Indicators'!$A114,Materials!$D:$D,0),MATCH("diesel combustion",Materials!$1:$1,0))+SUMPRODUCT(Delay_emissions_table[Consumption of Petrol (kg) - Primary Scenario],IF(Delay_emissions_table[Form of Maintenance - Primary Scenario]="Replacement",1,0))*INDEX(Indicators,MATCH('Additional Impact Indicators'!$A114,Materials!$D:$D,0),MATCH("petrol combustion",Materials!$1:$1,0))+IFERROR(SUMPRODUCT(TRANSPOSE(INDEX(elec_project_emissions,MATCH(Elec_scenario&amp;'Additional Impact Indicators'!$B114,INDEX(Electricity_projection,0,3),0)-1,0)),Delay_emissions_table[Consumption of electricity (MJ) - Primary Scenario],IF(Delay_emissions_table[Form of Maintenance - Primary Scenario]="Replacement",1,0)),0))*Area_trans*Time_adj_Prim</f>
        <v>0</v>
      </c>
      <c r="CK114" s="400" t="e" cm="1">
        <f t="array" ref="CK11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CL114" s="400" t="e" cm="1">
        <f t="array" ref="CL11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CM114" s="402" t="e" cm="1">
        <f t="array" ref="CM11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CN114" s="403" t="e" cm="1">
        <f t="array" ref="CN114">SUM(((Sec_Materials[Thickness of Layer (mm)]*(INDEX(--(Sec_EoL="Removed"),0,1)+IF(Sec_Lays&gt;1,INDEX(--(Sec_EoL="Removed"),0,2),0)+IF(Sec_Lays&gt;=3,--(INDEX(Sec_EoL,0,3)="Removed")*(Sec_Lays-2),0))/1000)*INDEX(Materials!$1:$2,2,MATCH(Sec_Materials[Material],Materials!$1:$1,0)))*IF(RCC_switch_Sec=TRUE,INDEX(Sec_Materials[],0,2)="Concrete",1))*INDEX(Indicators,MATCH(Table3[[#This Row],[Indicator]],Materials!$D:$D,0),MATCH("Diesel Combustion",Materials!$1:$1,0))*Diesel_density*0.5</f>
        <v>#DIV/0!</v>
      </c>
      <c r="CO114" s="51" t="e">
        <f ca="1">SUMIF(Table3[[#This Row],[Raw-Materials]:[Transport to recycling facility]],"&lt;&gt;#N/A")</f>
        <v>#DIV/0!</v>
      </c>
      <c r="CP114" s="51" t="e">
        <f ca="1">SUMIF(Table3[[#This Row],[Raw-Materials]:[Transport to recycling facility]],"&lt;&gt;#N/A")</f>
        <v>#DIV/0!</v>
      </c>
      <c r="CT114" t="s">
        <v>610</v>
      </c>
      <c r="CU114" t="s">
        <v>367</v>
      </c>
      <c r="CV114" s="1" t="str">
        <f t="shared" si="9"/>
        <v>A2</v>
      </c>
      <c r="CW114" t="s">
        <v>485</v>
      </c>
      <c r="CY114">
        <f>MATCH(Table611[[#This Row],[Indicator]],Material_Impacts[Look up],0)</f>
        <v>106</v>
      </c>
      <c r="CZ114" s="398" cm="1">
        <f t="array" aca="1" ref="CZ114" ca="1">(IFERROR(INDEX(INDIRECT("Material_Impacts["&amp;INDEX(Prim_Materials[],1,2)&amp;"]"),Impacts_Additional[[#This Row],[Impact Row]])*INDEX(Prim_Materials[],1,6)*(1+IF(Prim_Lays&gt;1,INDEX(--(Prim_EoL="Removed"),1,1),0)+IF(Prim_Lays&gt;2,INDEX(--(Prim_EoL="Removed"),1,2),0)+IF(Prim_Lays&gt;=3,--(INDEX(Prim_EoL,1,3)="Removed")*(Prim_Lays-3),0)),0)
+IFERROR(INDEX(INDIRECT("Material_Impacts["&amp;INDEX(Prim_Materials[],2,2)&amp;"]"),Impacts_Additional[[#This Row],[Impact Row]])*INDEX(Prim_Materials[],2,6)*(1+IF(Prim_Lays&gt;1,INDEX(--(Prim_EoL="Removed"),2,1),0)+IF(Prim_Lays&gt;2,INDEX(--(Prim_EoL="Removed"),2,2),0)+IF(Prim_Lays&gt;=3,--(INDEX(Prim_EoL,2,3)="Removed")*(Prim_Lays-3),0)),0)
+IFERROR(INDEX(INDIRECT("Material_Impacts["&amp;INDEX(Prim_Materials[],3,2)&amp;"]"),Impacts_Additional[[#This Row],[Impact Row]])*INDEX(Prim_Materials[],3,6)*(1+IF(Prim_Lays&gt;1,INDEX(--(Prim_EoL="Removed"),3,1),0)+IF(Prim_Lays&gt;2,INDEX(--(Prim_EoL="Removed"),3,2),0)+IF(Prim_Lays&gt;=3,--(INDEX(Prim_EoL,3,3)="Removed")*(Prim_Lays-3),0)),0)
+IFERROR(INDEX(INDIRECT("Material_Impacts["&amp;INDEX(Prim_Materials[],4,2)&amp;"]"),Impacts_Additional[[#This Row],[Impact Row]])*INDEX(Prim_Materials[],4,6)*(1+IF(Prim_Lays&gt;1,INDEX(--(Prim_EoL="Removed"),4,1),0)+IF(Prim_Lays&gt;2,INDEX(--(Prim_EoL="Removed"),4,2),0)+IF(Prim_Lays&gt;=3,--(INDEX(Prim_EoL,4,3)="Removed")*(Prim_Lays-3),0)),0)
+IFERROR(INDEX(INDIRECT("Material_Impacts["&amp;INDEX(Prim_Materials[],5,2)&amp;"]"),Impacts_Additional[[#This Row],[Impact Row]])*INDEX(Prim_Materials[],5,6)*(1+IF(Prim_Lays&gt;1,INDEX(--(Prim_EoL="Removed"),5,1),0)+IF(Prim_Lays&gt;2,INDEX(--(Prim_EoL="Removed"),5,2),0)+IF(Prim_Lays&gt;=3,--(INDEX(Prim_EoL,5,3)="Removed")*(Prim_Lays-3),0)),0)
+IFERROR(INDEX(INDIRECT("Material_Impacts["&amp;INDEX(Prim_Materials[],6,2)&amp;"]"),Impacts_Additional[[#This Row],[Impact Row]])*INDEX(Prim_Materials[],6,6)*(1+IF(Prim_Lays&gt;1,INDEX(--(Prim_EoL="Removed"),6,1),0)+IF(Prim_Lays&gt;2,INDEX(--(Prim_EoL="Removed"),6,2),0)+IF(Prim_Lays&gt;=3,--(INDEX(Prim_EoL,6,3)="Removed")*(Prim_Lays-3),0)),0))
*Area_trans</f>
        <v>0</v>
      </c>
      <c r="DA114" s="360" cm="1">
        <f t="array" ref="DA114">(IFERROR(INDEX(Prim_Materials[],1,5)*INDEX(Prim_Materials[],1,6)*INDEX(Material_Impacts[],MATCH(Impacts_Additional[[#This Row],[Indicator]],Material_Impacts[Look up],0),MATCH(INDEX(Prim_Materials[],1,4),Materials!$1:$1,0))*(1+IF(Prim_Lays&gt;1,INDEX(--(Prim_EoL="Removed"),1,1),0)+IF(Prim_Lays&gt;2,INDEX(--(Prim_EoL="Removed"),1,2),0)+IF(Prim_Lays&gt;=3,--(INDEX(Prim_EoL,1,3)="Removed")*(Prim_Lays-3),0)),0)
+IFERROR(INDEX(Prim_Materials[],2,5)*INDEX(Prim_Materials[],2,6)*INDEX(Material_Impacts[],MATCH(Impacts_Additional[[#This Row],[Indicator]],Material_Impacts[Look up],0),MATCH(INDEX(Prim_Materials[],2,4),Materials!$1:$1,0))*(1+IF(Prim_Lays&gt;1,INDEX(--(Prim_EoL="Removed"),2,1),0)+IF(Prim_Lays&gt;2,INDEX(--(Prim_EoL="Removed"),2,2),0)+IF(Prim_Lays&gt;=3,--(INDEX(Prim_EoL,2,3)="Removed")*(Prim_Lays-3),0)),0)
+IFERROR(INDEX(Prim_Materials[],3,5)*INDEX(Prim_Materials[],3,6)*INDEX(Material_Impacts[],MATCH(Impacts_Additional[[#This Row],[Indicator]],Material_Impacts[Look up],0),MATCH(INDEX(Prim_Materials[],3,4),Materials!$1:$1,0))*(1+IF(Prim_Lays&gt;1,INDEX(--(Prim_EoL="Removed"),3,1),0)+IF(Prim_Lays&gt;2,INDEX(--(Prim_EoL="Removed"),3,2),0)+IF(Prim_Lays&gt;=3,--(INDEX(Prim_EoL,3,3)="Removed")*(Prim_Lays-3),0)),0)
+IFERROR(INDEX(Prim_Materials[],4,5)*INDEX(Prim_Materials[],4,6)*INDEX(Material_Impacts[],MATCH(Impacts_Additional[[#This Row],[Indicator]],Material_Impacts[Look up],0),MATCH(INDEX(Prim_Materials[],4,4),Materials!$1:$1,0))*(1+IF(Prim_Lays&gt;1,INDEX(--(Prim_EoL="Removed"),4,1),0)+IF(Prim_Lays&gt;2,INDEX(--(Prim_EoL="Removed"),4,2),0)+IF(Prim_Lays&gt;=3,--(INDEX(Prim_EoL,4,3)="Removed")*(Prim_Lays-3),0)),0)
+IFERROR(INDEX(Prim_Materials[],5,5)*INDEX(Prim_Materials[],5,6)*INDEX(Material_Impacts[],MATCH(Impacts_Additional[[#This Row],[Indicator]],Material_Impacts[Look up],0),MATCH(INDEX(Prim_Materials[],5,4),Materials!$1:$1,0))*(1+IF(Prim_Lays&gt;1,INDEX(--(Prim_EoL="Removed"),5,1),0)+IF(Prim_Lays&gt;2,INDEX(--(Prim_EoL="Removed"),5,2),0)+IF(Prim_Lays&gt;=3,--(INDEX(Prim_EoL,5,3)="Removed")*(Prim_Lays-3),0)),0)
+IFERROR(INDEX(Prim_Materials[],6,5)*INDEX(Prim_Materials[],6,6)*INDEX(Material_Impacts[],MATCH(Impacts_Additional[[#This Row],[Indicator]],Material_Impacts[Look up],0),MATCH(INDEX(Prim_Materials[],6,4),Materials!$1:$1,0))*(1+IF(Prim_Lays&gt;1,INDEX(--(Prim_EoL="Removed"),6,1),0)+IF(Prim_Lays&gt;2,INDEX(--(Prim_EoL="Removed"),6,2),0)+IF(Prim_Lays&gt;=3,--(INDEX(Prim_EoL,6,3)="Removed")*(Prim_Lays-3),0)),0))
*Area_trans</f>
        <v>0</v>
      </c>
      <c r="DB114" s="360" t="e">
        <f>Diesel_RawM_Prim*INDEX(Indicators,MATCH(Impacts_Additional[[#This Row],[Indicator]],Materials!$D:$D,0),MATCH("Diesel Combustion",Materials!$1:$1,0))*Diesel_density*Project_Area*Prim_Lays*Area_trans</f>
        <v>#DIV/0!</v>
      </c>
      <c r="DC114" s="20" t="e" cm="1">
        <f t="array" aca="1" ref="DC114" ca="1">SUM((INDEX(Indicators,MATCH(Impacts_Additional[[#This Row],[Indicator]],Materials!$D:$D,0),MATCH(INDEX(Main_crack_Prim,1,0),Materials!$1:$1,0))*INDEX(Main_crack_Prim,2,0)/1000)*INDEX(Materials!$1:$2,2,MATCH(INDEX(Main_crack_Prim,1,0),Materials!$1:$1,0)))*SUM(--(Delay_emissions_table[Works Description - Secondary Scenario]="Crack Sealing")*Delay_emissions_table[Area of Works (m2) - Secondary Scenario]*Delay_emissions_table[Environmental Discount (%)])*Area_trans*Prim_Lays</f>
        <v>#DIV/0!</v>
      </c>
      <c r="DD114" s="20" t="e" cm="1">
        <f t="array" aca="1" ref="DD114" ca="1">INDEX(Indicators,MATCH(Impacts_Additional[[#This Row],[Indicator]],Materials!$D:$D,0),MATCH(Main_truck_crack_Prim,Materials!$1:$1,0))*SUM((INDEX(Main_crack_Prim,2,0)/1000)*INDEX(Materials!$1:$2,2,MATCH(INDEX(Main_crack_Prim,1,0),Materials!$1:$1,0)))*Main_crack_dist_Prim*SUM(--(Delay_emissions_table[Works Description - Secondary Scenario]="Crack Sealing")*Delay_emissions_table[Area of Works (m2) - Secondary Scenario]*Delay_emissions_table[Environmental Discount (%)])*Area_trans*Prim_Lays</f>
        <v>#DIV/0!</v>
      </c>
      <c r="DE114" s="20" t="e" cm="1">
        <f t="array" aca="1" ref="DE114" ca="1">(Main_crack_diesel_Prim*Diesel_density)*(SUM(--(Delay_emissions_table[Works Description - Secondary Scenario]="Crack Sealing")*Delay_emissions_table[Area of Works (m2) - Secondary Scenario]*Delay_emissions_table[Environmental Discount (%)]))*INDEX(Indicators,MATCH(Impacts_Additional[[#This Row],[Indicator]],Materials!$D:$D,0),MATCH("Diesel Combustion",Materials!$1:$1,0))*Area_trans*Prim_Lays</f>
        <v>#DIV/0!</v>
      </c>
      <c r="DF114" s="20" t="e" cm="1">
        <f t="array" aca="1" ref="DF114" ca="1">SUM((INDEX(Indicators,MATCH(Impacts_Additional[[#This Row],[Indicator]],Materials!$D:$D,0),MATCH(INDEX(Main_Pothole_Prim,1,0),Materials!$1:$1,0))*INDEX(Main_Pothole_Prim,2,0)/1000)*INDEX(Materials!$1:$2,2,MATCH(INDEX(Main_Pothole_Prim,1,0),Materials!$1:$1,0)))*SUM(--(Delay_emissions_table[Works Description - Secondary Scenario]="Fill Cracks (Potholes)")*Delay_emissions_table[Area of Works (m2) - Secondary Scenario]*Delay_emissions_table[Environmental Discount (%)])*Area_trans*Prim_Lays</f>
        <v>#DIV/0!</v>
      </c>
      <c r="DG114" s="20" t="e" cm="1">
        <f t="array" aca="1" ref="DG114" ca="1">INDEX(Indicators,MATCH(Impacts_Additional[[#This Row],[Indicator]],Materials!$D:$D,0),MATCH(Main_truck_pothole_prim,Materials!$1:$1,0))*SUM((INDEX(Main_Pothole_Prim,2,0)/1000)*INDEX(Materials!$1:$2,2,MATCH(INDEX(Main_Pothole_Prim,1,0),Materials!$1:$1,0)))*Main_Pothole_dist_Prim*SUM(--(Delay_emissions_table[Works Description - Secondary Scenario]="Fill Cracks (Potholes)")*Delay_emissions_table[Area of Works (m2) - Secondary Scenario]*Delay_emissions_table[Environmental Discount (%)])*Area_trans*Prim_Lays</f>
        <v>#DIV/0!</v>
      </c>
      <c r="DH114" s="20" t="e" cm="1">
        <f t="array" aca="1" ref="DH114" ca="1">(Main_crack_diesel_Prim*Diesel_density)*(SUM(--(Delay_emissions_table[Works Description - Secondary Scenario]="Fill Cracks (Potholes)")*Delay_emissions_table[Area of Works (m2) - Secondary Scenario]*Delay_emissions_table[Environmental Discount (%)]))*INDEX(Indicators,MATCH(Impacts_Additional[[#This Row],[Indicator]],Materials!$D:$D,0),MATCH("Diesel Combustion",Materials!$1:$1,0))*Area_trans*Prim_Lays</f>
        <v>#DIV/0!</v>
      </c>
      <c r="DI114" s="35" t="e" cm="1">
        <f t="array" aca="1" ref="DI114" ca="1">SUM((INDEX(Indicators,MATCH(Impacts_Additional[[#This Row],[Indicator]],Materials!$D:$D,0),MATCH(INDEX(Main_Surface_Prim,1,0),Materials!$1:$1,0))*INDEX(Main_Surface_Prim,2,0)/1000)*INDEX(Materials!$1:$2,2,MATCH(INDEX(Main_Surface_Prim,1,0),Materials!$1:$1,0)))*SUM(--(Delay_emissions_table[Works Description - Secondary Scenario]="Surface Defect Repair")*Delay_emissions_table[Area of Works (m2) - Secondary Scenario]*Delay_emissions_table[Environmental Discount (%)])*Area_trans*Prim_Lays</f>
        <v>#DIV/0!</v>
      </c>
      <c r="DJ114" s="35" t="e" cm="1">
        <f t="array" aca="1" ref="DJ114" ca="1">INDEX(Indicators,MATCH(Impacts_Additional[[#This Row],[Indicator]],Materials!$D:$D,0),MATCH(Main_truck_Surface_Prim,Materials!$1:$1,0))*SUM((INDEX(Main_Surface_Prim,2,0)/1000)*INDEX(Materials!$1:$2,2,MATCH(INDEX(Main_Surface_Prim,1,0),Materials!$1:$1,0)))*Main_Surface_dist_Prim*SUM(--(Delay_emissions_table[Works Description - Secondary Scenario]="Surface Defect Repair")*Delay_emissions_table[Area of Works (m2) - Secondary Scenario]*Delay_emissions_table[Environmental Discount (%)])*Area_trans*Prim_Lays</f>
        <v>#DIV/0!</v>
      </c>
      <c r="DK114" t="e" cm="1">
        <f t="array" aca="1" ref="DK114" ca="1">(Main_crack_diesel_Prim*Diesel_density)*(SUM(--(Delay_emissions_table[Works Description - Secondary Scenario]="Surface Defect Repair")*Delay_emissions_table[Area of Works (m2) - Secondary Scenario]*Delay_emissions_table[Environmental Discount (%)]))*INDEX(Indicators,MATCH(Impacts_Additional[[#This Row],[Indicator]],Materials!$D:$D,0),MATCH("Diesel Combustion",Materials!$1:$1,0))*Area_trans*Prim_Lays</f>
        <v>#DIV/0!</v>
      </c>
      <c r="DL114" s="35" t="e" cm="1">
        <f t="array" aca="1" ref="DL114" ca="1">SUM((INDEX(Indicators,MATCH(Impacts_Additional[[#This Row],[Indicator]],Materials!$D:$D,0),MATCH(INDEX(Main_crack_Prim,1,0),Materials!$1:$1,0))*INDEX(Main_crack_Prim,2,0)/1000)*INDEX(Materials!$1:$2,2,MATCH(INDEX(Main_crack_Prim,1,0),Materials!$1:$1,0)))*SUM(--(Delay_emissions_table[Works Description - Secondary Scenario]="Shoulder Maintenance")*Delay_emissions_table[Area of Works (m2) - Secondary Scenario]*Delay_emissions_table[Environmental Discount (%)])*Area_trans*Prim_Lays</f>
        <v>#DIV/0!</v>
      </c>
      <c r="DM114" s="35" t="e" cm="1">
        <f t="array" aca="1" ref="DM114" ca="1">INDEX(Indicators,MATCH(Impacts_Additional[[#This Row],[Indicator]],Materials!$D:$D,0),MATCH(Main_truck_crack_Prim,Materials!$1:$1,0))*SUM((INDEX(Main_crack_Prim,2,0)/1000)*INDEX(Materials!$1:$2,2,MATCH(INDEX(Main_crack_Prim,1,0),Materials!$1:$1,0)))*Main_crack_dist_Prim*SUM(--(Delay_emissions_table[Works Description - Secondary Scenario]="Shoulder Maintenance")*Delay_emissions_table[Area of Works (m2) - Secondary Scenario]*Delay_emissions_table[Environmental Discount (%)])*Area_trans*Prim_Lays</f>
        <v>#DIV/0!</v>
      </c>
      <c r="DN114" t="e" cm="1">
        <f t="array" aca="1" ref="DN114" ca="1">(Main_crack_diesel_Prim*Diesel_density)*(SUM(--(Delay_emissions_table[Works Description - Secondary Scenario]="Shoulder Maintenance")*Delay_emissions_table[Area of Works (m2) - Secondary Scenario]*Delay_emissions_table[Environmental Discount (%)]))*INDEX(Indicators,MATCH(Impacts_Additional[[#This Row],[Indicator]],Materials!$D:$D,0),MATCH("Diesel Combustion",Materials!$1:$1,0))*Area_trans*Prim_Lays</f>
        <v>#DIV/0!</v>
      </c>
      <c r="DO114" s="20" t="e" cm="1">
        <f t="array" aca="1" ref="DO114" ca="1">SUM((INDEX(Indicators,MATCH(Impacts_Additional[[#This Row],[Indicator]],Materials!$D:$D,0),MATCH(INDEX(Main_Patch_Prim,1,0),Materials!$1:$1,0))*INDEX(Main_Patch_Prim,2,0)/1000)*INDEX(Materials!$1:$2,2,MATCH(INDEX(Main_Patch_Prim,1,0),Materials!$1:$1,0)))*SUM(--(Delay_emissions_table[Works Description - Secondary Scenario]="Patch Stabilisation")*Delay_emissions_table[Area of Works (m2) - Secondary Scenario]*Delay_emissions_table[Environmental Discount (%)])*Area_trans*Prim_Lays</f>
        <v>#DIV/0!</v>
      </c>
      <c r="DP114" s="20" t="e" cm="1">
        <f t="array" aca="1" ref="DP114" ca="1">INDEX(Indicators,MATCH(Impacts_Additional[[#This Row],[Indicator]],Materials!$D:$D,0),MATCH(Main_truck_Patch_Prim,Materials!$1:$1,0))*SUM((INDEX(Main_Patch_Prim,2,0)/1000)*INDEX(Materials!$1:$2,2,MATCH(INDEX(Main_Patch_Prim,1,0),Materials!$1:$1,0)))*Main_Patch_dist_Prim*SUM(--(Delay_emissions_table[Works Description - Secondary Scenario]="Patch Stabilisation")*Delay_emissions_table[Area of Works (m2) - Secondary Scenario]*Delay_emissions_table[Environmental Discount (%)])*Area_trans*Prim_Lays</f>
        <v>#DIV/0!</v>
      </c>
      <c r="DQ114" s="20" t="e" cm="1">
        <f t="array" aca="1" ref="DQ114" ca="1">(Main_crack_diesel_Prim*Diesel_density)*(SUM(--(Delay_emissions_table[Works Description - Secondary Scenario]="Patch Stabilisation")*Delay_emissions_table[Area of Works (m2) - Secondary Scenario]*Delay_emissions_table[Environmental Discount (%)]))*INDEX(Indicators,MATCH(Impacts_Additional[[#This Row],[Indicator]],Materials!$D:$D,0),MATCH("Diesel Combustion",Materials!$1:$1,0))*Area_trans*Prim_Lays</f>
        <v>#DIV/0!</v>
      </c>
      <c r="DR114" s="35" t="e" cm="1">
        <f t="array" aca="1" ref="DR114" ca="1">SUM((INDEX(Indicators,MATCH(Impacts_Additional[[#This Row],[Indicator]],Materials!$D:$D,0),MATCH(INDEX(Main_Mill_Prim,1,0),Materials!$1:$1,0))*INDEX(Main_Mill_Prim,2,0)/1000)*INDEX(Materials!$1:$2,2,MATCH(INDEX(Main_Mill_Prim,1,0),Materials!$1:$1,0)))*SUM(--(Delay_emissions_table[Works Description - Secondary Scenario]="Mill and Fill")*Delay_emissions_table[Area of Works (m2) - Secondary Scenario]*Delay_emissions_table[Environmental Discount (%)])*Area_trans*Prim_Lays</f>
        <v>#DIV/0!</v>
      </c>
      <c r="DS114" s="35" t="e" cm="1">
        <f t="array" aca="1" ref="DS114" ca="1">INDEX(Indicators,MATCH(Impacts_Additional[[#This Row],[Indicator]],Materials!$D:$D,0),MATCH(Main_truck_Mill_Prim,Materials!$1:$1,0))*SUM((INDEX(Main_Mill_Prim,2,0)/1000)*INDEX(Materials!$1:$2,2,MATCH(INDEX(Main_Mill_Prim,1,0),Materials!$1:$1,0)))*Main_Mill_dist_Prim*SUM(--(Delay_emissions_table[Works Description - Secondary Scenario]="Mill and Fill")*Delay_emissions_table[Area of Works (m2) - Secondary Scenario]*Delay_emissions_table[Environmental Discount (%)])*Area_trans*Prim_Lays</f>
        <v>#DIV/0!</v>
      </c>
      <c r="DT114" t="e" cm="1">
        <f t="array" aca="1" ref="DT114" ca="1">(Main_crack_diesel_Prim*Diesel_density)*(SUM(--(Delay_emissions_table[Works Description - Secondary Scenario]="Mill and Fill")*Delay_emissions_table[Area of Works (m2) - Secondary Scenario]*Delay_emissions_table[Environmental Discount (%)]))*INDEX(Indicators,MATCH(Impacts_Additional[[#This Row],[Indicator]],Materials!$D:$D,0),MATCH("Diesel Combustion",Materials!$1:$1,0))*Area_trans*Prim_Lays</f>
        <v>#DIV/0!</v>
      </c>
      <c r="DU114" s="35" t="e" cm="1">
        <f t="array" aca="1" ref="DU114" ca="1">SUM((INDEX(Indicators,MATCH(Impacts_Additional[[#This Row],[Indicator]],Materials!$D:$D,0),MATCH(INDEX(Main_Rip_Prim,1,0),Materials!$1:$1,0))*INDEX(Main_Rip_Prim,2,0)/1000)*INDEX(Materials!$1:$2,2,MATCH(INDEX(Main_Rip_Prim,1,0),Materials!$1:$1,0)))*SUM(--(Delay_emissions_table[Works Description - Secondary Scenario]="Rip and Remake")*Delay_emissions_table[Area of Works (m2) - Secondary Scenario]*Delay_emissions_table[Environmental Discount (%)])*Area_trans*Prim_Lays</f>
        <v>#DIV/0!</v>
      </c>
      <c r="DV114" s="35" t="e" cm="1">
        <f t="array" aca="1" ref="DV114" ca="1">INDEX(Indicators,MATCH(Impacts_Additional[[#This Row],[Indicator]],Materials!$D:$D,0),MATCH(Main_truck_Rip_Prim,Materials!$1:$1,0))*SUM((INDEX(Main_Rip_Prim,2,0)/1000)*INDEX(Materials!$1:$2,2,MATCH(INDEX(Main_Rip_Prim,1,0),Materials!$1:$1,0)))*Main_Rip_dist_Prim*SUM(--(Delay_emissions_table[Works Description - Secondary Scenario]="Rip and Remake")*Delay_emissions_table[Area of Works (m2) - Secondary Scenario]*Delay_emissions_table[Environmental Discount (%)])*Area_trans*Prim_Lays</f>
        <v>#DIV/0!</v>
      </c>
      <c r="DW114" t="e" cm="1">
        <f t="array" aca="1" ref="DW114" ca="1">(Main_crack_diesel_Prim*Diesel_density)*(SUM(--(Delay_emissions_table[Works Description - Secondary Scenario]="Rip and Remake")*Delay_emissions_table[Area of Works (m2) - Secondary Scenario]*Delay_emissions_table[Environmental Discount (%)]))*INDEX(Indicators,MATCH(Impacts_Additional[[#This Row],[Indicator]],Materials!$D:$D,0),MATCH("Diesel Combustion",Materials!$1:$1,0))*Area_trans*Prim_Lays</f>
        <v>#DIV/0!</v>
      </c>
      <c r="DX114" s="20" t="e" cm="1">
        <f t="array" aca="1" ref="DX114" ca="1">SUM((INDEX(Indicators,MATCH(Impacts_Additional[[#This Row],[Indicator]],Materials!$D:$D,0),MATCH(INDEX(Main_Dig_Prim,1,0),Materials!$1:$1,0))*INDEX(Main_Dig_Prim,2,0)/1000)*INDEX(Materials!$1:$2,2,MATCH(INDEX(Main_Dig_Prim,1,0),Materials!$1:$1,0)))*SUM(--(Delay_emissions_table[Works Description - Secondary Scenario]="Dig Out")*Delay_emissions_table[Area of Works (m2) - Secondary Scenario]*Delay_emissions_table[Environmental Discount (%)])*Area_trans*Prim_Lays</f>
        <v>#DIV/0!</v>
      </c>
      <c r="DY114" s="20" t="e" cm="1">
        <f t="array" aca="1" ref="DY114" ca="1">INDEX(Indicators,MATCH(Impacts_Additional[[#This Row],[Indicator]],Materials!$D:$D,0),MATCH(Main_truck_Dig_Prim,Materials!$1:$1,0))*SUM((INDEX(Main_Dig_Prim,2,0)/1000)*INDEX(Materials!$1:$2,2,MATCH(INDEX(Main_Dig_Prim,1,0),Materials!$1:$1,0)))*Main_Dig_dist_Prim*SUM(--(Delay_emissions_table[Works Description - Secondary Scenario]="Dig Out")*Delay_emissions_table[Area of Works (m2) - Secondary Scenario]*Delay_emissions_table[Environmental Discount (%)])*Area_trans*Prim_Lays</f>
        <v>#DIV/0!</v>
      </c>
      <c r="DZ114" s="20" t="e" cm="1">
        <f t="array" aca="1" ref="DZ114" ca="1">(Main_crack_diesel_Prim*Diesel_density)*(SUM(--(Delay_emissions_table[Works Description - Secondary Scenario]="Dig Out")*Delay_emissions_table[Area of Works (m2) - Secondary Scenario]*Delay_emissions_table[Environmental Discount (%)]))*INDEX(Indicators,MATCH(Impacts_Additional[[#This Row],[Indicator]],Materials!$D:$D,0),MATCH("Diesel Combustion",Materials!$1:$1,0))*Area_trans*Prim_Lays</f>
        <v>#DIV/0!</v>
      </c>
      <c r="EA114" s="20" t="e" cm="1">
        <f t="array" aca="1" ref="EA114" ca="1">SUM((INDEX(Indicators,MATCH(Impacts_Additional[[#This Row],[Indicator]],Materials!$D:$D,0),MATCH(INDEX(Main_Lay_Prim,1,0),Materials!$1:$1,0))*INDEX(Main_Lay_Prim,2,0)/1000)*INDEX(Materials!$1:$2,2,MATCH(INDEX(Main_Lay_Prim,1,0),Materials!$1:$1,0)))*SUM(--(Delay_emissions_table[Works Description - Secondary Scenario]="Lay Over")*Delay_emissions_table[Area of Works (m2) - Secondary Scenario]*Delay_emissions_table[Environmental Discount (%)])*Area_trans*Prim_Lays</f>
        <v>#DIV/0!</v>
      </c>
      <c r="EB114" s="20" t="e" cm="1">
        <f t="array" aca="1" ref="EB114" ca="1">INDEX(Indicators,MATCH(Impacts_Additional[[#This Row],[Indicator]],Materials!$D:$D,0),MATCH(Main_truck_Lay_Prim,Materials!$1:$1,0))*SUM((INDEX(Main_Lay_Prim,2,0)/1000)*INDEX(Materials!$1:$2,2,MATCH(INDEX(Main_Lay_Prim,1,0),Materials!$1:$1,0)))*Main_Lay_dist_Prim*SUM(--(Delay_emissions_table[Works Description - Secondary Scenario]="Lay Over")*Delay_emissions_table[Area of Works (m2) - Secondary Scenario]*Delay_emissions_table[Environmental Discount (%)])*Area_trans*Prim_Lays</f>
        <v>#DIV/0!</v>
      </c>
      <c r="EC114" s="20" t="e" cm="1">
        <f t="array" aca="1" ref="EC114" ca="1">(Main_crack_diesel_Prim*Diesel_density)*(SUM(--(Delay_emissions_table[Works Description - Secondary Scenario]="Lay over")*Delay_emissions_table[Area of Works (m2) - Secondary Scenario]*Delay_emissions_table[Environmental Discount (%)]))*INDEX(Indicators,MATCH(Impacts_Additional[[#This Row],[Indicator]],Materials!$D:$D,0),MATCH("Diesel Combustion",Materials!$1:$1,0))*Area_trans*Prim_Lays</f>
        <v>#DIV/0!</v>
      </c>
      <c r="ED114" s="360"/>
      <c r="EE114" s="1" cm="1">
        <f t="array" aca="1" ref="EE114" ca="1">Traffic_flow*365*Area_trans*Roughness_switch*((epsi_3_light-epsi_0_light)*SUM(((INDEX(Indicators,MATCH(EPD_version&amp;"GWP",Materials!$D:$D,0),MATCH("diesel combustion",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EPD_version&amp;"GWP",Materials!$D:$D,0),MATCH("diesel combustion",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c r="EF114" s="401" cm="1">
        <f t="array" aca="1" ref="EF114" ca="1">(SUMPRODUCT(Delay_emissions_table[Consumption of Diesel (kg) - Primary Scenario],IF(Delay_emissions_table[Form of Maintenance - Primary Scenario]="Life Extension",1,0))*INDEX(Indicators,MATCH('Additional Impact Indicators'!$A114,Materials!$D:$D,0),MATCH("diesel combustion",Materials!$1:$1,0))+SUMPRODUCT(Delay_emissions_table[Consumption of Petrol (kg) - Primary Scenario],IF(Delay_emissions_table[Form of Maintenance - Primary Scenario]="Life Extension",1,0))*INDEX(Indicators,MATCH('Additional Impact Indicators'!$A114,Materials!$D:$D,0),MATCH("petrol combustion",Materials!$1:$1,0))+IFERROR(SUMPRODUCT(TRANSPOSE(INDEX(elec_project_emissions,MATCH(Elec_scenario&amp;'Additional Impact Indicators'!$B114,INDEX(Electricity_projection,0,3),0)-1,0)),Delay_emissions_table[Consumption of electricity (MJ) - Primary Scenario],IF(Delay_emissions_table[Form of Maintenance - Primary Scenario]="Life Extension",1,0)),0))*Area_trans*Time_adj_Prim</f>
        <v>0</v>
      </c>
      <c r="EG114" s="401" cm="1">
        <f t="array" aca="1" ref="EG114" ca="1">(SUMPRODUCT(Delay_emissions_table[Consumption of Diesel (kg) - Primary Scenario],IF(Delay_emissions_table[Form of Maintenance - Primary Scenario]="Replacement",1,0))*INDEX(Indicators,MATCH('Additional Impact Indicators'!$A114,Materials!$D:$D,0),MATCH("diesel combustion",Materials!$1:$1,0))+SUMPRODUCT(Delay_emissions_table[Consumption of Petrol (kg) - Primary Scenario],IF(Delay_emissions_table[Form of Maintenance - Primary Scenario]="Replacement",1,0))*INDEX(Indicators,MATCH('Additional Impact Indicators'!$A114,Materials!$D:$D,0),MATCH("petrol combustion",Materials!$1:$1,0))+IFERROR(SUMPRODUCT(TRANSPOSE(INDEX(elec_project_emissions,MATCH(Elec_scenario&amp;'Additional Impact Indicators'!$B114,INDEX(Electricity_projection,0,3),0)-1,0)),Delay_emissions_table[Consumption of electricity (MJ) - Primary Scenario],IF(Delay_emissions_table[Form of Maintenance - Primary Scenario]="Replacement",1,0)),0))*Area_trans*Time_adj_Prim</f>
        <v>0</v>
      </c>
      <c r="EH114" s="400" t="e" cm="1">
        <f t="array" ref="EH114">(SUM(Prim_Materials[Thickness of Layer (mm)]*(INDEX(--(Prim_EoL="Removed"),0,1)+IF(Prim_Lays&gt;1,INDEX(--(Prim_EoL="Removed"),0,2),0)+IF(Prim_Lays&gt;=3,--(INDEX(Prim_EoL,0,3)="Removed")*(Prim_Lays-2),0)))/1000)*Project_Area*EoL_diesel_combustion*Diesel_density*INDEX(Indicators,MATCH(EPD_version&amp;Impacts_Additional[[#This Row],[Acronym]],Materials!$D:$D,0),MATCH("Diesel Combustion",Materials!$1:$1,0))*((1-enviro_disc)^(Prim_Life))*Area_trans</f>
        <v>#DIV/0!</v>
      </c>
      <c r="EI114" s="400" t="e" cm="1">
        <f t="array" ref="EI114">SUM(INDEX(Prim_Materials[],0,6)*(INDEX(--(Prim_EoL="Removed"),0,1)+IF(Prim_Lays&gt;1,INDEX(--(Prim_EoL="Removed"),0,2),0)+IF(Prim_Lays&gt;=3,--(INDEX(Prim_EoL,0,3)="Removed")*(Prim_Lays-2),0)))
*Area_trans*EoL_Landfill_distance_Prim*(1-EoL_recycl_rate_Prim)*INDEX(Indicators,MATCH(EPD_version&amp;Impacts_Additional[[#This Row],[Acronym]],Materials!$D:$D,0),MATCH(EoL_treatment_Prim,Materials!$1:$1,0))</f>
        <v>#DIV/0!</v>
      </c>
      <c r="EJ114" s="402" t="e" cm="1">
        <f t="array" ref="EJ114">SUM(INDEX(Prim_Materials[],0,6)*(INDEX(--(Prim_EoL="Removed"),0,1)+IF(Prim_Lays&gt;1,INDEX(--(Prim_EoL="Removed"),0,2),0)+IF(Prim_Lays&gt;=3,--(INDEX(Prim_EoL,0,3)="Removed")*(Prim_Lays-2),0)))
*Area_trans*EoL_Recyc_distance_Prim*(EoL_recycl_rate_Prim)*INDEX(Indicators,MATCH(EPD_version&amp;Impacts_Additional[[#This Row],[Acronym]],Materials!$D:$D,0),MATCH(EoL_treatment_Prim,Materials!$1:$1,0))</f>
        <v>#DIV/0!</v>
      </c>
      <c r="EK114" s="404" t="e" cm="1">
        <f t="array" ref="EK114">SUM(((Tert_Materials[Thickness of Layer (mm)]*(INDEX(--(Tert_EoL="Removed"),0,1)+IF(Tert_Lays&gt;1,INDEX(--(Tert_EoL="Removed"),0,2),0)+IF(Tert_Lays&gt;=3,--(INDEX(Tert_EoL,0,3)="Removed")*(Tert_Lays-2),0))/1000)*INDEX(Materials!$1:$2,2,MATCH(Tert_Materials[Material],Materials!$1:$1,0)))*IF(RCC_switch_Tert=TRUE,INDEX(Tert_Materials[],0,2)="Concrete",1))*INDEX(Indicators,MATCH(Table611[[#This Row],[Indicator]],Materials!$D:$D,0),MATCH("Diesel Combustion",Materials!$1:$1,0))*Diesel_density*0.5</f>
        <v>#DIV/0!</v>
      </c>
      <c r="EL114" t="e">
        <f ca="1">SUMIF(Table611[[#This Row],[Raw-Materials]:[Transport to recycling facility]],"&lt;&gt;#N/A")</f>
        <v>#DIV/0!</v>
      </c>
    </row>
    <row r="116" spans="1:142" x14ac:dyDescent="0.35">
      <c r="A116" s="1" t="s">
        <v>611</v>
      </c>
      <c r="B116" s="1"/>
      <c r="C116" s="1"/>
      <c r="D116" s="1"/>
      <c r="E116" s="1"/>
      <c r="F116" s="1"/>
      <c r="G116" s="1">
        <f ca="1">SUBTOTAL(9,'Additional Impact Indicators'!$G$9:$G$114)</f>
        <v>0</v>
      </c>
      <c r="H116" s="1">
        <f>SUBTOTAL(9,'Additional Impact Indicators'!$H$9:$H$114)</f>
        <v>0</v>
      </c>
      <c r="I116" s="1" t="e">
        <f>SUBTOTAL(9,'Additional Impact Indicators'!$I$9:$I$114)</f>
        <v>#DIV/0!</v>
      </c>
      <c r="J116" s="1" t="e">
        <f ca="1">SUBTOTAL(9,'Additional Impact Indicators'!$J$9:$J$114)</f>
        <v>#DIV/0!</v>
      </c>
      <c r="K116" s="1" t="e">
        <f ca="1">SUBTOTAL(9,'Additional Impact Indicators'!$K$9:$K$114)</f>
        <v>#DIV/0!</v>
      </c>
      <c r="L116" s="1" t="e">
        <f ca="1">SUBTOTAL(9,'Additional Impact Indicators'!$L$9:$L$114)</f>
        <v>#DIV/0!</v>
      </c>
      <c r="M116" s="1" t="e">
        <f ca="1">SUBTOTAL(9,'Additional Impact Indicators'!$M$9:$M$114)</f>
        <v>#DIV/0!</v>
      </c>
      <c r="N116" s="1" t="e">
        <f ca="1">SUBTOTAL(9,'Additional Impact Indicators'!$N$9:$N$114)</f>
        <v>#DIV/0!</v>
      </c>
      <c r="O116" s="1" t="e">
        <f ca="1">SUBTOTAL(9,'Additional Impact Indicators'!$O$9:$O$114)</f>
        <v>#DIV/0!</v>
      </c>
      <c r="P116" s="1"/>
      <c r="Q116" s="1"/>
      <c r="R116" s="1"/>
      <c r="S116" s="1"/>
      <c r="T116" s="1"/>
      <c r="U116" s="1"/>
      <c r="V116" s="1"/>
      <c r="W116" s="1" t="e">
        <f ca="1">SUBTOTAL(9,'Additional Impact Indicators'!$V$9:$V$114)</f>
        <v>#DIV/0!</v>
      </c>
      <c r="X116" s="1" t="e">
        <f ca="1">SUBTOTAL(9,'Additional Impact Indicators'!$W$9:$W$114)</f>
        <v>#DIV/0!</v>
      </c>
      <c r="Y116" s="1"/>
      <c r="Z116" s="1"/>
      <c r="AA116" s="1"/>
      <c r="AB116" s="1"/>
      <c r="AC116" s="1"/>
      <c r="AD116" s="1"/>
      <c r="AE116" s="1" t="e">
        <f ca="1">SUBTOTAL(9,'Additional Impact Indicators'!$X$9:$X$114)</f>
        <v>#DIV/0!</v>
      </c>
      <c r="AF116" s="1" t="e">
        <f ca="1">SUBTOTAL(9,'Additional Impact Indicators'!$AE$9:$AE$114)</f>
        <v>#DIV/0!</v>
      </c>
      <c r="AG116" s="1" t="e">
        <f ca="1">SUBTOTAL(9,'Additional Impact Indicators'!$AF$9:$AF$114)</f>
        <v>#DIV/0!</v>
      </c>
      <c r="AH116" s="1" t="e">
        <f ca="1">SUBTOTAL(9,'Additional Impact Indicators'!$AG$9:$AG$114)</f>
        <v>#DIV/0!</v>
      </c>
      <c r="AI116" s="1" t="e">
        <f ca="1">SUBTOTAL(9,'Additional Impact Indicators'!$AH$9:$AH$114)</f>
        <v>#DIV/0!</v>
      </c>
      <c r="AJ116" s="1" t="e">
        <f ca="1">SUBTOTAL(9,'Additional Impact Indicators'!$AI$9:$AI$114)</f>
        <v>#DIV/0!</v>
      </c>
      <c r="AK116" s="1" t="e">
        <f ca="1">SUBTOTAL(9,'Additional Impact Indicators'!$AJ$9:$AJ$114)</f>
        <v>#DIV/0!</v>
      </c>
      <c r="AL116" s="1">
        <f ca="1">SUBTOTAL(9,'Additional Impact Indicators'!$AK$9:$AK$114)</f>
        <v>0</v>
      </c>
      <c r="AM116" s="1">
        <f ca="1">SUBTOTAL(9,'Additional Impact Indicators'!$AL$9:$AL$114)</f>
        <v>0</v>
      </c>
      <c r="AN116" s="1">
        <f ca="1">SUBTOTAL(9,'Additional Impact Indicators'!$AM$9:$AM$114)</f>
        <v>0</v>
      </c>
      <c r="AO116" s="1">
        <f ca="1">SUBTOTAL(9,'Additional Impact Indicators'!$AN$9:$AN$114)</f>
        <v>0</v>
      </c>
      <c r="AP116" s="1" t="e">
        <f>SUBTOTAL(9,'Additional Impact Indicators'!$AO$9:$AO$114)</f>
        <v>#DIV/0!</v>
      </c>
      <c r="AQ116" s="1" t="e">
        <f>SUBTOTAL(9,'Additional Impact Indicators'!$AP$9:$AP$114)</f>
        <v>#DIV/0!</v>
      </c>
      <c r="AR116" s="1"/>
    </row>
  </sheetData>
  <phoneticPr fontId="3" type="noConversion"/>
  <conditionalFormatting sqref="E2:F2 E3 F4">
    <cfRule type="containsText" dxfId="223" priority="110" operator="containsText" text="FALSE">
      <formula>NOT(ISERROR(SEARCH("FALSE",E2)))</formula>
    </cfRule>
  </conditionalFormatting>
  <conditionalFormatting sqref="G3:XFD3">
    <cfRule type="containsText" dxfId="222" priority="5" operator="containsText" text="FALSE">
      <formula>NOT(ISERROR(SEARCH("FALSE",G3)))</formula>
    </cfRule>
  </conditionalFormatting>
  <conditionalFormatting sqref="AL61:AL114">
    <cfRule type="colorScale" priority="109">
      <colorScale>
        <cfvo type="min"/>
        <cfvo type="percentile" val="50"/>
        <cfvo type="max"/>
        <color rgb="FF63BE7B"/>
        <color rgb="FFFFEB84"/>
        <color rgb="FFF8696B"/>
      </colorScale>
    </cfRule>
  </conditionalFormatting>
  <pageMargins left="0.7" right="0.7" top="0.75" bottom="0.75" header="0.3" footer="0.3"/>
  <pageSetup orientation="portrait" r:id="rId1"/>
  <drawing r:id="rId2"/>
  <tableParts count="3">
    <tablePart r:id="rId3"/>
    <tablePart r:id="rId4"/>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tint="-0.499984740745262"/>
  </sheetPr>
  <dimension ref="A1:EM139"/>
  <sheetViews>
    <sheetView topLeftCell="Z1" workbookViewId="0">
      <selection activeCell="AC4" sqref="AC4"/>
    </sheetView>
  </sheetViews>
  <sheetFormatPr defaultColWidth="0" defaultRowHeight="14.5" zeroHeight="1" x14ac:dyDescent="0.35"/>
  <cols>
    <col min="1" max="1" width="15.453125" customWidth="1"/>
    <col min="2" max="2" width="17.26953125" customWidth="1"/>
    <col min="3" max="3" width="10.453125" customWidth="1"/>
    <col min="4" max="4" width="27.81640625" customWidth="1"/>
    <col min="5" max="5" width="49.7265625" customWidth="1"/>
    <col min="6" max="6" width="28.81640625" customWidth="1"/>
    <col min="7" max="51" width="22.81640625" customWidth="1"/>
    <col min="52" max="52" width="23.81640625" customWidth="1"/>
    <col min="53" max="53" width="22.81640625" customWidth="1"/>
    <col min="54" max="54" width="22.81640625" style="3" customWidth="1"/>
    <col min="55" max="75" width="22.81640625" customWidth="1"/>
    <col min="76" max="84" width="26.81640625" customWidth="1"/>
    <col min="85" max="85" width="20.81640625" hidden="1" customWidth="1"/>
    <col min="86" max="86" width="18.453125" hidden="1" customWidth="1"/>
    <col min="87" max="87" width="23.54296875" hidden="1" customWidth="1"/>
    <col min="88" max="88" width="8.7265625" hidden="1" customWidth="1"/>
    <col min="89" max="89" width="14.7265625" hidden="1" customWidth="1"/>
    <col min="90" max="90" width="17.54296875" hidden="1" customWidth="1"/>
    <col min="91" max="91" width="23.54296875" hidden="1" customWidth="1"/>
    <col min="92" max="92" width="8.7265625" hidden="1" customWidth="1"/>
    <col min="93" max="97" width="23.54296875" hidden="1" customWidth="1"/>
    <col min="98" max="98" width="14.7265625" hidden="1" customWidth="1"/>
    <col min="99" max="99" width="20.81640625" hidden="1" customWidth="1"/>
    <col min="100" max="100" width="28.54296875" hidden="1" customWidth="1"/>
    <col min="101" max="102" width="19.81640625" hidden="1" customWidth="1"/>
    <col min="103" max="103" width="19.54296875" hidden="1" customWidth="1"/>
    <col min="104" max="104" width="21.1796875" hidden="1" customWidth="1"/>
    <col min="105" max="106" width="28.453125" hidden="1" customWidth="1"/>
    <col min="107" max="107" width="23.54296875" hidden="1" customWidth="1"/>
    <col min="108" max="113" width="8.7265625" hidden="1" customWidth="1"/>
    <col min="114" max="114" width="23.54296875" hidden="1" customWidth="1"/>
    <col min="115" max="116" width="8.7265625" hidden="1" customWidth="1"/>
    <col min="117" max="122" width="23.54296875" hidden="1" customWidth="1"/>
    <col min="123" max="123" width="13.453125" hidden="1" customWidth="1"/>
    <col min="124" max="124" width="19.453125" hidden="1" customWidth="1"/>
    <col min="125" max="125" width="18.453125" hidden="1" customWidth="1"/>
    <col min="126" max="126" width="8.81640625" hidden="1" customWidth="1"/>
    <col min="127" max="142" width="8.7265625" hidden="1" customWidth="1"/>
    <col min="143" max="143" width="11.81640625" hidden="1" customWidth="1"/>
    <col min="144" max="16384" width="8.7265625" hidden="1"/>
  </cols>
  <sheetData>
    <row r="1" spans="1:106" s="2" customFormat="1" ht="29" x14ac:dyDescent="0.35">
      <c r="B1" s="519" t="str">
        <f>'Data Entry'!C19&amp;'Data Entry'!C20</f>
        <v>A1Attributional</v>
      </c>
      <c r="F1" s="338" t="s">
        <v>612</v>
      </c>
      <c r="G1" s="526" t="s">
        <v>613</v>
      </c>
      <c r="H1" s="526" t="s">
        <v>614</v>
      </c>
      <c r="I1" s="526" t="s">
        <v>615</v>
      </c>
      <c r="J1" s="526" t="s">
        <v>616</v>
      </c>
      <c r="K1" s="526" t="s">
        <v>617</v>
      </c>
      <c r="L1" s="526" t="s">
        <v>229</v>
      </c>
      <c r="M1" s="526" t="s">
        <v>618</v>
      </c>
      <c r="N1" s="526" t="s">
        <v>619</v>
      </c>
      <c r="O1" s="526" t="s">
        <v>131</v>
      </c>
      <c r="P1" s="526" t="s">
        <v>620</v>
      </c>
      <c r="Q1" s="526" t="s">
        <v>621</v>
      </c>
      <c r="R1" s="526" t="s">
        <v>622</v>
      </c>
      <c r="S1" s="526" t="s">
        <v>623</v>
      </c>
      <c r="T1" s="526" t="s">
        <v>624</v>
      </c>
      <c r="U1" s="526" t="s">
        <v>625</v>
      </c>
      <c r="V1" s="526" t="s">
        <v>112</v>
      </c>
      <c r="W1" s="526" t="s">
        <v>113</v>
      </c>
      <c r="X1" s="526" t="s">
        <v>115</v>
      </c>
      <c r="Y1" s="526" t="s">
        <v>116</v>
      </c>
      <c r="Z1" s="526" t="s">
        <v>114</v>
      </c>
      <c r="AA1" s="526" t="s">
        <v>118</v>
      </c>
      <c r="AB1" s="526" t="s">
        <v>626</v>
      </c>
      <c r="AC1" s="526" t="s">
        <v>627</v>
      </c>
      <c r="AD1" s="526" t="s">
        <v>628</v>
      </c>
      <c r="AE1" s="526" t="s">
        <v>629</v>
      </c>
      <c r="AF1" s="526" t="s">
        <v>630</v>
      </c>
      <c r="AG1" s="526" t="s">
        <v>631</v>
      </c>
      <c r="AH1" s="526" t="s">
        <v>632</v>
      </c>
      <c r="AI1" s="526" t="s">
        <v>107</v>
      </c>
      <c r="AJ1" s="526" t="s">
        <v>633</v>
      </c>
      <c r="AK1" s="526" t="s">
        <v>634</v>
      </c>
      <c r="AL1" s="526" t="s">
        <v>635</v>
      </c>
      <c r="AM1" s="526" t="s">
        <v>636</v>
      </c>
      <c r="AN1" s="526" t="s">
        <v>637</v>
      </c>
      <c r="AO1" s="526" t="s">
        <v>638</v>
      </c>
      <c r="AP1" s="526" t="s">
        <v>105</v>
      </c>
      <c r="AQ1" s="526" t="s">
        <v>110</v>
      </c>
      <c r="AR1" s="526" t="s">
        <v>111</v>
      </c>
      <c r="AS1" s="526" t="s">
        <v>639</v>
      </c>
      <c r="AT1" s="526" t="s">
        <v>100</v>
      </c>
      <c r="AU1" s="526" t="s">
        <v>101</v>
      </c>
      <c r="AV1" s="526" t="s">
        <v>102</v>
      </c>
      <c r="AW1" s="526" t="s">
        <v>640</v>
      </c>
      <c r="AX1" s="526" t="s">
        <v>641</v>
      </c>
      <c r="AY1" s="526" t="s">
        <v>642</v>
      </c>
      <c r="AZ1" s="526" t="s">
        <v>643</v>
      </c>
      <c r="BA1" s="526" t="s">
        <v>644</v>
      </c>
      <c r="BB1" s="526" t="s">
        <v>645</v>
      </c>
      <c r="BC1" s="526" t="s">
        <v>104</v>
      </c>
      <c r="BD1" s="526" t="s">
        <v>646</v>
      </c>
      <c r="BE1" s="526" t="s">
        <v>647</v>
      </c>
      <c r="BF1" s="526" t="s">
        <v>648</v>
      </c>
      <c r="BG1" s="526" t="s">
        <v>117</v>
      </c>
      <c r="BH1" s="526" t="s">
        <v>649</v>
      </c>
      <c r="BI1" s="526" t="s">
        <v>137</v>
      </c>
      <c r="BJ1" s="526" t="s">
        <v>650</v>
      </c>
      <c r="BK1" s="526" t="s">
        <v>139</v>
      </c>
      <c r="BL1" s="526" t="s">
        <v>95</v>
      </c>
      <c r="BM1" s="526" t="s">
        <v>651</v>
      </c>
      <c r="BN1" s="526" t="s">
        <v>106</v>
      </c>
      <c r="BO1" s="526" t="s">
        <v>145</v>
      </c>
      <c r="BP1" s="526" t="s">
        <v>652</v>
      </c>
      <c r="BQ1" s="526" t="s">
        <v>653</v>
      </c>
      <c r="BR1" s="526" t="s">
        <v>654</v>
      </c>
      <c r="BS1" s="526" t="s">
        <v>655</v>
      </c>
      <c r="BT1" s="526" t="s">
        <v>656</v>
      </c>
      <c r="BU1" s="526" t="s">
        <v>657</v>
      </c>
      <c r="BV1" s="526">
        <v>0</v>
      </c>
      <c r="CA1" s="2" t="s">
        <v>133</v>
      </c>
    </row>
    <row r="2" spans="1:106" ht="16.5" x14ac:dyDescent="0.35">
      <c r="E2" s="117" t="s">
        <v>658</v>
      </c>
      <c r="F2" s="528" t="s">
        <v>659</v>
      </c>
      <c r="G2" s="530">
        <v>850</v>
      </c>
      <c r="H2" s="530">
        <v>850</v>
      </c>
      <c r="I2" s="530">
        <v>770</v>
      </c>
      <c r="J2" s="530">
        <v>880</v>
      </c>
      <c r="K2" s="530" t="s">
        <v>660</v>
      </c>
      <c r="L2" s="530" t="s">
        <v>660</v>
      </c>
      <c r="M2" s="530" t="s">
        <v>660</v>
      </c>
      <c r="N2" s="530" t="s">
        <v>660</v>
      </c>
      <c r="O2" s="530" t="s">
        <v>660</v>
      </c>
      <c r="P2" s="530" t="s">
        <v>660</v>
      </c>
      <c r="Q2" s="530">
        <v>1600</v>
      </c>
      <c r="R2" s="530">
        <v>2700</v>
      </c>
      <c r="S2" s="530">
        <v>950</v>
      </c>
      <c r="T2" s="530">
        <v>1738</v>
      </c>
      <c r="U2" s="530">
        <v>1200</v>
      </c>
      <c r="V2" s="562">
        <f>'Dynamic Materials'!Q15</f>
        <v>1655.2</v>
      </c>
      <c r="W2" s="562">
        <f>'Dynamic Materials'!R15</f>
        <v>1655.6550000000002</v>
      </c>
      <c r="X2" s="562">
        <f>'Dynamic Materials'!T15</f>
        <v>1661.99</v>
      </c>
      <c r="Y2" s="530">
        <v>2300</v>
      </c>
      <c r="Z2" s="530">
        <v>2300</v>
      </c>
      <c r="AA2" s="530">
        <v>2400</v>
      </c>
      <c r="AB2" s="530">
        <v>1035</v>
      </c>
      <c r="AC2" s="530">
        <v>961</v>
      </c>
      <c r="AD2" s="530">
        <v>1060</v>
      </c>
      <c r="AE2" s="530">
        <v>1035</v>
      </c>
      <c r="AF2" s="530">
        <f>0.027*1035+0.01*1170+0.005*1000+0.958*1700</f>
        <v>1673.2449999999999</v>
      </c>
      <c r="AG2" s="530">
        <v>1035</v>
      </c>
      <c r="AH2" s="530">
        <v>1100</v>
      </c>
      <c r="AI2" s="530">
        <f>'Dynamic Materials'!I15</f>
        <v>0</v>
      </c>
      <c r="AJ2" s="530">
        <v>1450</v>
      </c>
      <c r="AK2" s="530">
        <f>1450*0.05</f>
        <v>72.5</v>
      </c>
      <c r="AL2" s="530">
        <v>1580</v>
      </c>
      <c r="AM2" s="530">
        <f>1450</f>
        <v>1450</v>
      </c>
      <c r="AN2" s="530">
        <v>1900</v>
      </c>
      <c r="AO2" s="530">
        <v>1060</v>
      </c>
      <c r="AP2" s="530">
        <v>1000</v>
      </c>
      <c r="AQ2" s="562">
        <f>'Dynamic Materials'!O15</f>
        <v>1661.6</v>
      </c>
      <c r="AR2" s="562">
        <f>'Dynamic Materials'!P15</f>
        <v>1663.94</v>
      </c>
      <c r="AS2" s="530">
        <v>1700</v>
      </c>
      <c r="AT2" s="530">
        <v>1700</v>
      </c>
      <c r="AU2" s="530">
        <v>1700</v>
      </c>
      <c r="AV2" s="530">
        <v>1700</v>
      </c>
      <c r="AW2" s="530">
        <v>1700</v>
      </c>
      <c r="AX2" s="530">
        <v>1700</v>
      </c>
      <c r="AY2" s="530">
        <v>1600</v>
      </c>
      <c r="AZ2" s="530">
        <v>1700</v>
      </c>
      <c r="BA2" s="530">
        <v>1600</v>
      </c>
      <c r="BB2" s="530">
        <v>1680</v>
      </c>
      <c r="BC2" s="530">
        <v>1170</v>
      </c>
      <c r="BD2" s="530">
        <v>1170</v>
      </c>
      <c r="BE2" s="530">
        <v>1170</v>
      </c>
      <c r="BF2" s="530">
        <v>1170</v>
      </c>
      <c r="BG2" s="530">
        <v>2400</v>
      </c>
      <c r="BH2" s="530">
        <v>2400</v>
      </c>
      <c r="BI2" s="530">
        <v>1600</v>
      </c>
      <c r="BJ2" s="530">
        <v>1500</v>
      </c>
      <c r="BK2" s="530">
        <v>1600</v>
      </c>
      <c r="BL2" s="530">
        <v>1120</v>
      </c>
      <c r="BM2" s="530">
        <v>1600</v>
      </c>
      <c r="BN2" s="530">
        <v>8000</v>
      </c>
      <c r="BO2" s="530"/>
      <c r="BP2" s="530"/>
      <c r="BQ2" s="530"/>
      <c r="BR2" s="530"/>
      <c r="BS2" s="530"/>
      <c r="BT2" s="530"/>
      <c r="BU2" s="530"/>
      <c r="BV2" s="530">
        <v>0</v>
      </c>
      <c r="CA2" t="s">
        <v>660</v>
      </c>
    </row>
    <row r="3" spans="1:106" x14ac:dyDescent="0.35">
      <c r="E3" s="117" t="s">
        <v>661</v>
      </c>
      <c r="F3" s="528" t="s">
        <v>88</v>
      </c>
      <c r="G3" s="531" t="s">
        <v>662</v>
      </c>
      <c r="H3" s="531" t="s">
        <v>662</v>
      </c>
      <c r="I3" s="531" t="s">
        <v>662</v>
      </c>
      <c r="J3" s="531" t="s">
        <v>662</v>
      </c>
      <c r="K3" s="531" t="s">
        <v>663</v>
      </c>
      <c r="L3" s="531" t="s">
        <v>663</v>
      </c>
      <c r="M3" s="531" t="s">
        <v>663</v>
      </c>
      <c r="N3" s="531" t="s">
        <v>663</v>
      </c>
      <c r="O3" s="531" t="s">
        <v>664</v>
      </c>
      <c r="P3" s="531" t="s">
        <v>665</v>
      </c>
      <c r="Q3" s="531" t="s">
        <v>662</v>
      </c>
      <c r="R3" s="531" t="s">
        <v>662</v>
      </c>
      <c r="S3" s="531" t="s">
        <v>662</v>
      </c>
      <c r="T3" s="531" t="s">
        <v>662</v>
      </c>
      <c r="U3" s="531" t="s">
        <v>662</v>
      </c>
      <c r="V3" s="531" t="s">
        <v>662</v>
      </c>
      <c r="W3" s="531"/>
      <c r="X3" s="531" t="s">
        <v>662</v>
      </c>
      <c r="Y3" s="531" t="s">
        <v>662</v>
      </c>
      <c r="Z3" s="531" t="s">
        <v>662</v>
      </c>
      <c r="AA3" s="531" t="s">
        <v>662</v>
      </c>
      <c r="AB3" s="531" t="s">
        <v>662</v>
      </c>
      <c r="AC3" s="531" t="s">
        <v>662</v>
      </c>
      <c r="AD3" s="531"/>
      <c r="AE3" s="531" t="s">
        <v>662</v>
      </c>
      <c r="AF3" s="531" t="s">
        <v>662</v>
      </c>
      <c r="AG3" s="531" t="s">
        <v>662</v>
      </c>
      <c r="AH3" s="531" t="s">
        <v>662</v>
      </c>
      <c r="AI3" s="531"/>
      <c r="AJ3" s="531" t="s">
        <v>662</v>
      </c>
      <c r="AK3" s="531" t="s">
        <v>662</v>
      </c>
      <c r="AL3" s="531" t="s">
        <v>662</v>
      </c>
      <c r="AM3" s="531" t="s">
        <v>662</v>
      </c>
      <c r="AN3" s="531" t="s">
        <v>662</v>
      </c>
      <c r="AO3" s="531" t="s">
        <v>662</v>
      </c>
      <c r="AP3" s="531"/>
      <c r="AQ3" s="531" t="s">
        <v>662</v>
      </c>
      <c r="AR3" s="531" t="s">
        <v>662</v>
      </c>
      <c r="AS3" s="531" t="s">
        <v>662</v>
      </c>
      <c r="AT3" s="531" t="s">
        <v>662</v>
      </c>
      <c r="AU3" s="531" t="s">
        <v>662</v>
      </c>
      <c r="AV3" s="531" t="s">
        <v>662</v>
      </c>
      <c r="AW3" s="531" t="s">
        <v>662</v>
      </c>
      <c r="AX3" s="531" t="s">
        <v>662</v>
      </c>
      <c r="AY3" s="531" t="s">
        <v>662</v>
      </c>
      <c r="AZ3" s="531" t="s">
        <v>662</v>
      </c>
      <c r="BA3" s="531" t="s">
        <v>662</v>
      </c>
      <c r="BB3" s="531" t="s">
        <v>662</v>
      </c>
      <c r="BC3" s="531" t="s">
        <v>662</v>
      </c>
      <c r="BD3" s="531" t="s">
        <v>662</v>
      </c>
      <c r="BE3" s="531" t="s">
        <v>662</v>
      </c>
      <c r="BF3" s="531" t="s">
        <v>662</v>
      </c>
      <c r="BG3" s="531" t="s">
        <v>662</v>
      </c>
      <c r="BH3" s="531" t="s">
        <v>662</v>
      </c>
      <c r="BI3" s="531" t="s">
        <v>662</v>
      </c>
      <c r="BJ3" s="531" t="s">
        <v>662</v>
      </c>
      <c r="BK3" s="531" t="s">
        <v>662</v>
      </c>
      <c r="BL3" s="531" t="s">
        <v>662</v>
      </c>
      <c r="BM3" s="531" t="s">
        <v>662</v>
      </c>
      <c r="BN3" s="531" t="s">
        <v>662</v>
      </c>
      <c r="BO3" s="531" t="s">
        <v>662</v>
      </c>
      <c r="BP3" s="531" t="s">
        <v>662</v>
      </c>
      <c r="BQ3" s="531"/>
      <c r="BR3" s="531"/>
      <c r="BS3" s="531" t="s">
        <v>662</v>
      </c>
      <c r="BT3" s="531" t="s">
        <v>662</v>
      </c>
      <c r="BU3" s="531" t="s">
        <v>662</v>
      </c>
      <c r="BV3" s="531"/>
      <c r="CA3" t="s">
        <v>136</v>
      </c>
      <c r="CB3" t="s">
        <v>663</v>
      </c>
    </row>
    <row r="4" spans="1:106" ht="16.5" x14ac:dyDescent="0.35">
      <c r="E4" s="117" t="s">
        <v>666</v>
      </c>
      <c r="F4" s="528" t="s">
        <v>667</v>
      </c>
      <c r="G4" s="531" t="s">
        <v>668</v>
      </c>
      <c r="H4" s="531" t="s">
        <v>668</v>
      </c>
      <c r="I4" s="531" t="s">
        <v>668</v>
      </c>
      <c r="J4" s="531" t="s">
        <v>668</v>
      </c>
      <c r="K4" s="531" t="s">
        <v>668</v>
      </c>
      <c r="L4" s="531" t="s">
        <v>668</v>
      </c>
      <c r="M4" s="531" t="s">
        <v>668</v>
      </c>
      <c r="N4" s="531" t="s">
        <v>669</v>
      </c>
      <c r="O4" s="532"/>
      <c r="P4" s="531"/>
      <c r="Q4" s="531" t="s">
        <v>670</v>
      </c>
      <c r="R4" s="531" t="s">
        <v>671</v>
      </c>
      <c r="S4" s="531" t="s">
        <v>672</v>
      </c>
      <c r="T4" s="531" t="s">
        <v>673</v>
      </c>
      <c r="U4" s="531" t="s">
        <v>673</v>
      </c>
      <c r="V4" s="531" t="s">
        <v>674</v>
      </c>
      <c r="W4" s="531"/>
      <c r="X4" s="531" t="s">
        <v>674</v>
      </c>
      <c r="Y4" s="531" t="s">
        <v>674</v>
      </c>
      <c r="Z4" s="531" t="s">
        <v>674</v>
      </c>
      <c r="AA4" s="531" t="s">
        <v>674</v>
      </c>
      <c r="AB4" s="531" t="s">
        <v>675</v>
      </c>
      <c r="AC4" s="531" t="s">
        <v>676</v>
      </c>
      <c r="AD4" s="531" t="s">
        <v>677</v>
      </c>
      <c r="AE4" s="531" t="s">
        <v>678</v>
      </c>
      <c r="AF4" s="531" t="s">
        <v>1064</v>
      </c>
      <c r="AG4" s="531" t="s">
        <v>679</v>
      </c>
      <c r="AH4" s="531" t="s">
        <v>680</v>
      </c>
      <c r="AI4" s="531"/>
      <c r="AJ4" s="531" t="s">
        <v>681</v>
      </c>
      <c r="AK4" s="531" t="s">
        <v>682</v>
      </c>
      <c r="AL4" s="531"/>
      <c r="AM4" s="531" t="s">
        <v>683</v>
      </c>
      <c r="AN4" s="531" t="s">
        <v>684</v>
      </c>
      <c r="AO4" s="531" t="s">
        <v>685</v>
      </c>
      <c r="AP4" s="531" t="s">
        <v>686</v>
      </c>
      <c r="AQ4" s="531" t="s">
        <v>687</v>
      </c>
      <c r="AR4" s="531"/>
      <c r="AS4" s="533" t="s">
        <v>688</v>
      </c>
      <c r="AT4" s="531"/>
      <c r="AU4" s="531" t="s">
        <v>689</v>
      </c>
      <c r="AV4" s="531" t="s">
        <v>689</v>
      </c>
      <c r="AW4" s="533">
        <v>2.2999999999999998</v>
      </c>
      <c r="AX4" s="533">
        <v>1.7</v>
      </c>
      <c r="AY4" s="533">
        <v>1.6</v>
      </c>
      <c r="AZ4" s="533">
        <v>1.7</v>
      </c>
      <c r="BA4" s="533">
        <v>1.6</v>
      </c>
      <c r="BB4" s="533">
        <v>2.68</v>
      </c>
      <c r="BC4" s="531"/>
      <c r="BD4" s="531"/>
      <c r="BE4" s="531"/>
      <c r="BF4" s="531"/>
      <c r="BG4" s="531"/>
      <c r="BH4" s="531" t="s">
        <v>690</v>
      </c>
      <c r="BI4" s="534" t="s">
        <v>691</v>
      </c>
      <c r="BJ4" s="533">
        <v>1.5</v>
      </c>
      <c r="BK4" s="531"/>
      <c r="BL4" s="531"/>
      <c r="BM4" s="533">
        <v>1.6</v>
      </c>
      <c r="BN4" s="531"/>
      <c r="BO4" s="531" t="s">
        <v>692</v>
      </c>
      <c r="BP4" s="531" t="s">
        <v>693</v>
      </c>
      <c r="BQ4" s="531"/>
      <c r="BR4" s="531"/>
      <c r="BS4" s="532"/>
      <c r="BT4" s="532"/>
      <c r="BU4" s="532"/>
      <c r="BV4" s="532" t="s">
        <v>694</v>
      </c>
    </row>
    <row r="5" spans="1:106" x14ac:dyDescent="0.35">
      <c r="F5" s="528" t="s">
        <v>695</v>
      </c>
      <c r="G5" s="535" t="s">
        <v>696</v>
      </c>
      <c r="H5" s="535" t="s">
        <v>696</v>
      </c>
      <c r="I5" s="531" t="s">
        <v>697</v>
      </c>
      <c r="J5" s="531" t="s">
        <v>698</v>
      </c>
      <c r="K5" s="531"/>
      <c r="L5" s="531"/>
      <c r="M5" s="531"/>
      <c r="N5" s="531"/>
      <c r="O5" s="532" t="s">
        <v>699</v>
      </c>
      <c r="P5" s="531"/>
      <c r="Q5" s="531"/>
      <c r="R5" s="531"/>
      <c r="S5" s="531"/>
      <c r="T5" s="531"/>
      <c r="U5" s="531"/>
      <c r="V5" s="531"/>
      <c r="W5" s="531"/>
      <c r="X5" s="531"/>
      <c r="Y5" s="531"/>
      <c r="Z5" s="531"/>
      <c r="AA5" s="531"/>
      <c r="AB5" s="534" t="s">
        <v>700</v>
      </c>
      <c r="AC5" s="531" t="s">
        <v>701</v>
      </c>
      <c r="AD5" s="531" t="s">
        <v>702</v>
      </c>
      <c r="AE5" s="531" t="s">
        <v>703</v>
      </c>
      <c r="AF5" s="531" t="s">
        <v>704</v>
      </c>
      <c r="AG5" s="531" t="s">
        <v>705</v>
      </c>
      <c r="AH5" s="531" t="s">
        <v>706</v>
      </c>
      <c r="AI5" s="531"/>
      <c r="AJ5" s="531" t="s">
        <v>707</v>
      </c>
      <c r="AK5" s="531" t="s">
        <v>708</v>
      </c>
      <c r="AL5" s="531" t="s">
        <v>709</v>
      </c>
      <c r="AM5" s="531" t="s">
        <v>710</v>
      </c>
      <c r="AN5" s="531" t="s">
        <v>711</v>
      </c>
      <c r="AO5" s="531" t="s">
        <v>712</v>
      </c>
      <c r="AP5" s="531"/>
      <c r="AQ5" s="531"/>
      <c r="AR5" s="531"/>
      <c r="AS5" s="531" t="s">
        <v>713</v>
      </c>
      <c r="AT5" s="531"/>
      <c r="AU5" s="531"/>
      <c r="AV5" s="531"/>
      <c r="AW5" s="531" t="s">
        <v>713</v>
      </c>
      <c r="AX5" s="531" t="s">
        <v>713</v>
      </c>
      <c r="AY5" s="531" t="s">
        <v>713</v>
      </c>
      <c r="AZ5" s="531" t="s">
        <v>713</v>
      </c>
      <c r="BA5" s="531" t="s">
        <v>713</v>
      </c>
      <c r="BB5" s="531" t="s">
        <v>714</v>
      </c>
      <c r="BC5" s="531"/>
      <c r="BD5" s="531" t="s">
        <v>715</v>
      </c>
      <c r="BE5" s="531" t="s">
        <v>716</v>
      </c>
      <c r="BF5" s="531"/>
      <c r="BG5" s="531"/>
      <c r="BH5" s="531"/>
      <c r="BI5" s="531"/>
      <c r="BJ5" s="531" t="s">
        <v>717</v>
      </c>
      <c r="BK5" s="531"/>
      <c r="BL5" s="531"/>
      <c r="BM5" s="531" t="s">
        <v>718</v>
      </c>
      <c r="BN5" s="531"/>
      <c r="BO5" s="531"/>
      <c r="BP5" s="531" t="s">
        <v>719</v>
      </c>
      <c r="BQ5" s="531" t="s">
        <v>720</v>
      </c>
      <c r="BR5" s="531" t="s">
        <v>721</v>
      </c>
      <c r="BS5" s="532"/>
      <c r="BT5" s="532"/>
      <c r="BU5" s="532"/>
      <c r="BV5" s="532"/>
    </row>
    <row r="6" spans="1:106" s="10" customFormat="1" ht="34.5" customHeight="1" x14ac:dyDescent="0.35">
      <c r="A6" s="262" t="s">
        <v>455</v>
      </c>
      <c r="B6" s="262" t="s">
        <v>457</v>
      </c>
      <c r="C6" s="262" t="s">
        <v>722</v>
      </c>
      <c r="D6" s="262" t="s">
        <v>723</v>
      </c>
      <c r="E6" s="262" t="s">
        <v>454</v>
      </c>
      <c r="F6" s="262" t="s">
        <v>88</v>
      </c>
      <c r="G6" s="536" t="s">
        <v>613</v>
      </c>
      <c r="H6" s="536" t="s">
        <v>724</v>
      </c>
      <c r="I6" s="536" t="s">
        <v>615</v>
      </c>
      <c r="J6" s="536" t="s">
        <v>616</v>
      </c>
      <c r="K6" s="536" t="s">
        <v>617</v>
      </c>
      <c r="L6" s="536" t="s">
        <v>229</v>
      </c>
      <c r="M6" s="536" t="s">
        <v>618</v>
      </c>
      <c r="N6" s="536" t="s">
        <v>619</v>
      </c>
      <c r="O6" s="536" t="s">
        <v>131</v>
      </c>
      <c r="P6" s="536" t="s">
        <v>620</v>
      </c>
      <c r="Q6" s="536" t="s">
        <v>621</v>
      </c>
      <c r="R6" s="536" t="s">
        <v>725</v>
      </c>
      <c r="S6" s="536" t="s">
        <v>623</v>
      </c>
      <c r="T6" s="537" t="s">
        <v>624</v>
      </c>
      <c r="U6" s="536" t="s">
        <v>625</v>
      </c>
      <c r="V6" s="536" t="s">
        <v>112</v>
      </c>
      <c r="W6" s="536" t="s">
        <v>113</v>
      </c>
      <c r="X6" s="536" t="s">
        <v>115</v>
      </c>
      <c r="Y6" s="536" t="s">
        <v>116</v>
      </c>
      <c r="Z6" s="536" t="s">
        <v>114</v>
      </c>
      <c r="AA6" s="536" t="s">
        <v>118</v>
      </c>
      <c r="AB6" s="536" t="s">
        <v>626</v>
      </c>
      <c r="AC6" s="536" t="s">
        <v>627</v>
      </c>
      <c r="AD6" s="536" t="s">
        <v>628</v>
      </c>
      <c r="AE6" s="536" t="s">
        <v>629</v>
      </c>
      <c r="AF6" s="536" t="s">
        <v>630</v>
      </c>
      <c r="AG6" s="536" t="s">
        <v>631</v>
      </c>
      <c r="AH6" s="536" t="s">
        <v>632</v>
      </c>
      <c r="AI6" s="536" t="s">
        <v>107</v>
      </c>
      <c r="AJ6" s="536" t="s">
        <v>633</v>
      </c>
      <c r="AK6" s="536" t="s">
        <v>634</v>
      </c>
      <c r="AL6" s="536" t="s">
        <v>635</v>
      </c>
      <c r="AM6" s="536" t="s">
        <v>636</v>
      </c>
      <c r="AN6" s="536" t="s">
        <v>637</v>
      </c>
      <c r="AO6" s="536" t="s">
        <v>638</v>
      </c>
      <c r="AP6" s="536" t="s">
        <v>105</v>
      </c>
      <c r="AQ6" s="536" t="s">
        <v>110</v>
      </c>
      <c r="AR6" s="536" t="s">
        <v>111</v>
      </c>
      <c r="AS6" s="538" t="s">
        <v>639</v>
      </c>
      <c r="AT6" s="536" t="s">
        <v>100</v>
      </c>
      <c r="AU6" s="536" t="s">
        <v>101</v>
      </c>
      <c r="AV6" s="536" t="s">
        <v>102</v>
      </c>
      <c r="AW6" s="538" t="s">
        <v>640</v>
      </c>
      <c r="AX6" s="538" t="s">
        <v>641</v>
      </c>
      <c r="AY6" s="538" t="s">
        <v>642</v>
      </c>
      <c r="AZ6" s="538" t="s">
        <v>643</v>
      </c>
      <c r="BA6" s="538" t="s">
        <v>644</v>
      </c>
      <c r="BB6" s="538" t="s">
        <v>645</v>
      </c>
      <c r="BC6" s="536" t="s">
        <v>104</v>
      </c>
      <c r="BD6" s="536" t="s">
        <v>646</v>
      </c>
      <c r="BE6" s="536" t="s">
        <v>647</v>
      </c>
      <c r="BF6" s="536" t="s">
        <v>648</v>
      </c>
      <c r="BG6" s="536" t="s">
        <v>117</v>
      </c>
      <c r="BH6" s="536" t="s">
        <v>649</v>
      </c>
      <c r="BI6" s="536" t="s">
        <v>137</v>
      </c>
      <c r="BJ6" s="538" t="s">
        <v>726</v>
      </c>
      <c r="BK6" s="536" t="s">
        <v>139</v>
      </c>
      <c r="BL6" s="536" t="s">
        <v>95</v>
      </c>
      <c r="BM6" s="538" t="s">
        <v>651</v>
      </c>
      <c r="BN6" s="536" t="s">
        <v>727</v>
      </c>
      <c r="BO6" s="536" t="s">
        <v>145</v>
      </c>
      <c r="BP6" s="536" t="s">
        <v>652</v>
      </c>
      <c r="BQ6" s="536" t="s">
        <v>653</v>
      </c>
      <c r="BR6" s="536" t="s">
        <v>654</v>
      </c>
      <c r="BS6" s="536" t="s">
        <v>655</v>
      </c>
      <c r="BT6" s="536" t="s">
        <v>656</v>
      </c>
      <c r="BU6" s="536" t="s">
        <v>657</v>
      </c>
      <c r="BV6" s="536" t="s">
        <v>728</v>
      </c>
      <c r="BX6" s="536" t="s">
        <v>729</v>
      </c>
      <c r="BY6" s="536"/>
      <c r="BZ6" s="536" t="s">
        <v>730</v>
      </c>
      <c r="CA6" s="536" t="s">
        <v>133</v>
      </c>
      <c r="CB6" s="536" t="s">
        <v>731</v>
      </c>
      <c r="CC6" s="536" t="s">
        <v>732</v>
      </c>
      <c r="CD6" s="536" t="s">
        <v>733</v>
      </c>
      <c r="CE6" s="536" t="s">
        <v>734</v>
      </c>
      <c r="CF6" s="522"/>
      <c r="CG6" s="522"/>
      <c r="CH6" s="522"/>
      <c r="CI6" s="522"/>
      <c r="CJ6" s="522"/>
      <c r="CK6" s="522"/>
      <c r="CL6" s="522"/>
      <c r="CM6" s="522"/>
      <c r="CN6" s="522"/>
      <c r="CO6" s="522"/>
      <c r="CP6" s="522"/>
      <c r="CQ6" s="522"/>
      <c r="CZ6" s="522"/>
      <c r="DA6" s="522"/>
      <c r="DB6" s="522"/>
    </row>
    <row r="7" spans="1:106" x14ac:dyDescent="0.35">
      <c r="A7" t="s">
        <v>379</v>
      </c>
      <c r="B7" t="s">
        <v>54</v>
      </c>
      <c r="C7" t="s">
        <v>51</v>
      </c>
      <c r="D7" t="str">
        <f>Material_Impacts[[#This Row],[15804 version]]&amp;Material_Impacts[[#This Row],[Methodology]]&amp;Material_Impacts[[#This Row],[Acronym]]</f>
        <v>A1AttributionalAP</v>
      </c>
      <c r="E7" t="s">
        <v>735</v>
      </c>
      <c r="F7" s="1" t="s">
        <v>378</v>
      </c>
      <c r="G7" s="1">
        <v>1.1687709239005389E-2</v>
      </c>
      <c r="H7" s="1">
        <v>1.51800784313726E-2</v>
      </c>
      <c r="I7" s="1">
        <v>7.7086766038545005E-3</v>
      </c>
      <c r="J7" s="1">
        <v>1.1687709239005389E-2</v>
      </c>
      <c r="K7" s="1">
        <v>4.6189287855550017E-7</v>
      </c>
      <c r="L7" s="1">
        <v>1.0108361444332465E-6</v>
      </c>
      <c r="M7" s="1">
        <v>3.8777507353886094E-7</v>
      </c>
      <c r="N7" s="1"/>
      <c r="O7" s="443"/>
      <c r="P7" s="1">
        <v>8.74787E-5</v>
      </c>
      <c r="Q7" s="1">
        <v>0</v>
      </c>
      <c r="R7" s="1">
        <v>0</v>
      </c>
      <c r="S7" s="1">
        <v>0</v>
      </c>
      <c r="T7" s="1">
        <v>0</v>
      </c>
      <c r="U7" s="1">
        <v>0</v>
      </c>
      <c r="V7" s="1">
        <f ca="1">IFERROR('Dynamic Materials'!Q16+'Dynamic Materials'!AQ16, 0)</f>
        <v>6.0173917283809432E-4</v>
      </c>
      <c r="W7" s="1">
        <f ca="1">'Dynamic Materials'!R16</f>
        <v>4.9837313398663904E-4</v>
      </c>
      <c r="X7" s="1">
        <f ca="1">'Dynamic Materials'!T16</f>
        <v>4.4486371863208026E-4</v>
      </c>
      <c r="Y7" s="1">
        <f ca="1">IFERROR('Dynamic Materials'!U16+'Dynamic Materials'!AQ16, 0)</f>
        <v>5.0266610348986026E-4</v>
      </c>
      <c r="Z7" s="1">
        <f ca="1">IFERROR('Dynamic Materials'!S16+'Dynamic Materials'!AQ16, 0)</f>
        <v>5.5101461994676608E-4</v>
      </c>
      <c r="AA7" s="1">
        <f ca="1">'Dynamic Materials'!W16</f>
        <v>5.5148160999999999E-4</v>
      </c>
      <c r="AB7" s="1">
        <v>3.1800000000000001E-3</v>
      </c>
      <c r="AC7" s="1">
        <v>2.3550000000000001E-2</v>
      </c>
      <c r="AD7" s="209">
        <f>BZ7+200*Material_Impacts[[#This Row],[Truck (32+t)]]+1130*CB7</f>
        <v>4.8500550147077721E-3</v>
      </c>
      <c r="AE7" s="1">
        <v>3.0500000000000002E-3</v>
      </c>
      <c r="AF7" s="1">
        <v>1.4999999999999999E-4</v>
      </c>
      <c r="AG7" s="1"/>
      <c r="AH7" s="1">
        <v>6.3400000000000001E-3</v>
      </c>
      <c r="AI7" s="209">
        <f>'Dynamic Materials'!AG16</f>
        <v>5.9640000000000006E-3</v>
      </c>
      <c r="AJ7" s="1">
        <v>6.3384699999999996E-5</v>
      </c>
      <c r="AK7" s="1">
        <v>8.1460399999999997E-5</v>
      </c>
      <c r="AL7" s="1"/>
      <c r="AM7" s="1">
        <f t="shared" ref="AM7:AM38" si="0">BD7*0.04</f>
        <v>3.2919999999999997E-5</v>
      </c>
      <c r="AN7" s="1">
        <v>1.2E-4</v>
      </c>
      <c r="AO7" s="1">
        <v>1.4499999999999999E-3</v>
      </c>
      <c r="AP7" s="209">
        <v>2.17E-7</v>
      </c>
      <c r="AQ7" s="1">
        <f ca="1">'Dynamic Materials'!O16</f>
        <v>3.0529446775862758E-4</v>
      </c>
      <c r="AR7" s="1">
        <f ca="1">'Dynamic Materials'!P16</f>
        <v>4.0855116687616127E-4</v>
      </c>
      <c r="AS7" s="1"/>
      <c r="AT7" s="1" cm="1">
        <f t="array" aca="1" ref="AT7" ca="1">IFERROR(INDEX(Electricity_projection,MATCH($B7&amp;$A7,INDEX(Electricity_projection,0,3),0),MATCH(YEAR(TODAY()),Timeline_elec_projec,0)+3)*INDEX(Recyc_mat_energy_input,MATCH(AT$1,'Data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1.5203369017192854E-5</v>
      </c>
      <c r="AU7" s="1" cm="1">
        <f t="array" aca="1" ref="AU7" ca="1">IFERROR(INDEX(Electricity_projection,MATCH($B7&amp;$A7,INDEX(Electricity_projection,0,3),0),MATCH(YEAR(TODAY()),Timeline_elec_projec,0)+3)*INDEX(Recyc_mat_energy_input,MATCH(AU$1,'Data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1.1556588521892228E-5</v>
      </c>
      <c r="AV7" s="1" cm="1">
        <f t="array" aca="1" ref="AV7" ca="1">IFERROR(INDEX(Electricity_projection,MATCH($B7&amp;$A7,INDEX(Electricity_projection,0,3),0),MATCH(YEAR(TODAY()),Timeline_elec_projec,0)+3)*INDEX(Recyc_mat_energy_input,MATCH(AV$1,'Data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2.1143460103248762E-5</v>
      </c>
      <c r="AW7" s="1"/>
      <c r="AX7" s="1"/>
      <c r="AY7" s="1"/>
      <c r="AZ7" s="1"/>
      <c r="BA7" s="1"/>
      <c r="BB7" s="1"/>
      <c r="BC7" s="1">
        <f t="shared" ref="BC7:BC38" si="1">IF(Cement_Supplier="Golden Bay Cement",BD7,BE7)</f>
        <v>8.2299999999999995E-4</v>
      </c>
      <c r="BD7" s="1">
        <v>8.2299999999999995E-4</v>
      </c>
      <c r="BE7" s="1">
        <v>2.7399999999999998E-3</v>
      </c>
      <c r="BF7" s="1"/>
      <c r="BG7" s="1">
        <f ca="1">'Dynamic Materials'!V16</f>
        <v>1.3076229265292462E-3</v>
      </c>
      <c r="BH7" s="1"/>
      <c r="BI7" s="1" cm="1">
        <f t="array" aca="1" ref="BI7" ca="1">IFERROR(INDEX(Electricity_projection,MATCH($B7&amp;$A7,INDEX(Electricity_projection,0,3),0),MATCH(YEAR(TODAY()),Timeline_elec_projec,0)+3)*INDEX(Recyc_mat_energy_input,MATCH(BI$1,'Data Entry'!$B$91:$B$96,0),1)+Diesel_density*INDEX(Recyc_mat_energy_input,MATCH(BI$1,'Data Entry'!$B$91:$B$96,0),2)*INDEX(Indicators,ROW(),MATCH("Diesel Combustion",Materials!$1:$1,0)), "")</f>
        <v>0</v>
      </c>
      <c r="BJ7" s="1"/>
      <c r="BK7" s="1" cm="1">
        <f t="array" aca="1" ref="BK7" ca="1">IFERROR(INDEX(Electricity_projection,MATCH($B7&amp;$A7,INDEX(Electricity_projection,0,3),0),MATCH(YEAR(TODAY()),Timeline_elec_projec,0)+3)*INDEX(Recyc_mat_energy_input,MATCH(BK$1,'Data Entry'!$B$91:$B$96,0),1)+Diesel_density*INDEX(Recyc_mat_energy_input,MATCH(BK$1,'Data Entry'!$B$91:$B$96,0),2)*INDEX(Indicators,ROW(),MATCH("Diesel Combustion",Materials!$1:$1,0)), "")</f>
        <v>5.1598898748361001E-6</v>
      </c>
      <c r="BL7" s="1" cm="1">
        <f t="array" aca="1" ref="BL7" ca="1">IFERROR(INDEX(Electricity_projection,MATCH($B7&amp;$A7,INDEX(Electricity_projection,0,3),0),MATCH(YEAR(TODAY()),Timeline_elec_projec,0)+3)*INDEX(Recyc_mat_energy_input,MATCH(BL$1,'Data Entry'!$B$91:$B$96,0),1)+Diesel_density*INDEX(Recyc_mat_energy_input,MATCH(BL$1,'Data Entry'!$B$91:$B$96,0),2)*INDEX(Indicators,ROW(),MATCH("Diesel Combustion",Materials!$1:$1,0)), "")</f>
        <v>6.5066666666666672E-5</v>
      </c>
      <c r="BM7" s="1"/>
      <c r="BN7" s="1">
        <f>IF(Steel_supplier="Pacific Steel",Material_Impacts[[#This Row],[Pacific Steel]],Material_Impacts[[#This Row],[Infrabuild]])</f>
        <v>3.9899999999999998E-2</v>
      </c>
      <c r="BO7" s="1">
        <v>3.9899999999999998E-2</v>
      </c>
      <c r="BP7" s="1">
        <v>6.3175000000000002E-3</v>
      </c>
      <c r="BQ7" s="443">
        <v>6.1900000000000002E-3</v>
      </c>
      <c r="BR7" s="450">
        <v>4.96E-3</v>
      </c>
      <c r="BS7" s="450"/>
      <c r="BT7" s="450"/>
      <c r="BU7" s="450"/>
      <c r="BV7" s="443">
        <v>1</v>
      </c>
      <c r="BX7" s="1">
        <v>2.2499999999999998E-3</v>
      </c>
      <c r="BY7" s="1">
        <f>BX7/0.95/45.5</f>
        <v>5.2053209947946782E-5</v>
      </c>
      <c r="BZ7">
        <v>4.4900000000000001E-3</v>
      </c>
      <c r="CA7" s="1">
        <v>0</v>
      </c>
      <c r="CB7">
        <v>2.4999999999999999E-7</v>
      </c>
      <c r="CC7">
        <v>6.4400000000000004E-3</v>
      </c>
      <c r="CD7" s="378">
        <f t="shared" ref="CD7:CD38" si="2">9639.66*CB7</f>
        <v>2.4099149999999999E-3</v>
      </c>
      <c r="CE7" s="208">
        <f>CD7+CC7</f>
        <v>8.8499149999999999E-3</v>
      </c>
      <c r="CF7" s="208"/>
      <c r="CG7" s="208"/>
      <c r="CH7" s="208"/>
      <c r="CI7" s="208"/>
      <c r="CJ7" s="208"/>
      <c r="CK7" s="208"/>
      <c r="CL7" s="208"/>
      <c r="CM7" s="209"/>
      <c r="CN7" s="208"/>
      <c r="CO7" s="208"/>
      <c r="CP7" s="208"/>
      <c r="CQ7" s="208"/>
      <c r="CZ7" s="208"/>
      <c r="DA7" s="208"/>
      <c r="DB7" s="208"/>
    </row>
    <row r="8" spans="1:106" x14ac:dyDescent="0.35">
      <c r="A8" t="s">
        <v>391</v>
      </c>
      <c r="B8" t="s">
        <v>54</v>
      </c>
      <c r="C8" t="s">
        <v>51</v>
      </c>
      <c r="D8" t="str">
        <f>Material_Impacts[[#This Row],[15804 version]]&amp;Material_Impacts[[#This Row],[Methodology]]&amp;Material_Impacts[[#This Row],[Acronym]]</f>
        <v>A1AttributionalADPE</v>
      </c>
      <c r="E8" t="s">
        <v>736</v>
      </c>
      <c r="F8" s="1" t="s">
        <v>390</v>
      </c>
      <c r="G8" s="1">
        <v>1.2780099999999999E-6</v>
      </c>
      <c r="H8" s="1">
        <v>1.2780099999999999E-6</v>
      </c>
      <c r="I8" s="1">
        <v>3.3626900000000002E-6</v>
      </c>
      <c r="J8" s="1">
        <v>1.2780099999999999E-6</v>
      </c>
      <c r="K8" s="1">
        <v>3.3078708941528582E-11</v>
      </c>
      <c r="L8" s="1">
        <v>8.0097736063079008E-11</v>
      </c>
      <c r="M8" s="1">
        <v>2.785487712893536E-11</v>
      </c>
      <c r="N8" s="1"/>
      <c r="O8" s="443"/>
      <c r="P8" s="1">
        <v>1.7376099999999999E-7</v>
      </c>
      <c r="Q8" s="1">
        <v>0</v>
      </c>
      <c r="R8" s="1">
        <v>0</v>
      </c>
      <c r="S8" s="1">
        <v>0</v>
      </c>
      <c r="T8" s="1">
        <v>0</v>
      </c>
      <c r="U8" s="1">
        <v>0</v>
      </c>
      <c r="V8" s="1">
        <f ca="1">IFERROR('Dynamic Materials'!Q17+'Dynamic Materials'!AQ17, 0)</f>
        <v>1.2295303617399571E-4</v>
      </c>
      <c r="W8" s="1">
        <f ca="1">'Dynamic Materials'!R17</f>
        <v>1.2318927344425861E-4</v>
      </c>
      <c r="X8" s="1">
        <f ca="1">'Dynamic Materials'!T17</f>
        <v>1.2314184367605391E-4</v>
      </c>
      <c r="Y8" s="1">
        <f ca="1">IFERROR('Dynamic Materials'!U17+'Dynamic Materials'!AQ17, 0)</f>
        <v>1.2293014716186683E-4</v>
      </c>
      <c r="Z8" s="1">
        <f ca="1">IFERROR('Dynamic Materials'!S17+'Dynamic Materials'!AQ17, 0)</f>
        <v>1.2294117252154745E-4</v>
      </c>
      <c r="AA8" s="1">
        <f ca="1">'Dynamic Materials'!W17</f>
        <v>6.8144100000000007E-9</v>
      </c>
      <c r="AB8" s="1">
        <v>4.0751899999999997E-6</v>
      </c>
      <c r="AC8" s="1">
        <v>4.5292600000000001E-5</v>
      </c>
      <c r="AD8" s="209">
        <f>BZ8+200*Material_Impacts[[#This Row],[Truck (32+t)]]+1130*CB8</f>
        <v>1.1047546974257868E-6</v>
      </c>
      <c r="AE8" s="1">
        <v>9.4857700000000001E-7</v>
      </c>
      <c r="AF8" s="1">
        <v>1.60913E-6</v>
      </c>
      <c r="AG8" s="1"/>
      <c r="AH8" s="1">
        <v>4.0884499999999998E-5</v>
      </c>
      <c r="AI8" s="209">
        <f>'Dynamic Materials'!AG17</f>
        <v>1.5331201000000003E-5</v>
      </c>
      <c r="AJ8" s="1">
        <v>1.7805299999999999E-6</v>
      </c>
      <c r="AK8" s="1">
        <v>1.54243E-6</v>
      </c>
      <c r="AL8" s="1"/>
      <c r="AM8" s="1">
        <f t="shared" si="0"/>
        <v>3.9960000000000005E-10</v>
      </c>
      <c r="AN8" s="1">
        <v>4.8109599999999999E-6</v>
      </c>
      <c r="AO8" s="1">
        <v>1.18292E-5</v>
      </c>
      <c r="AP8" s="209">
        <v>3.6700000000000003E-10</v>
      </c>
      <c r="AQ8" s="1">
        <f ca="1">'Dynamic Materials'!O17</f>
        <v>6.8370887446043418E-8</v>
      </c>
      <c r="AR8" s="1">
        <f ca="1">'Dynamic Materials'!P17</f>
        <v>1.2852936956004961E-6</v>
      </c>
      <c r="AS8" s="1"/>
      <c r="AT8" s="1" cm="1">
        <f t="array" aca="1" ref="AT8" ca="1">IFERROR(INDEX(Electricity_projection,MATCH($B8&amp;$A8,INDEX(Electricity_projection,0,3),0),MATCH(YEAR(TODAY()),Timeline_elec_projec,0)+3)*INDEX(Recyc_mat_energy_input,MATCH(AT$1,'Data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2.2187293622299998E-9</v>
      </c>
      <c r="AU8" s="1" cm="1">
        <f t="array" aca="1" ref="AU8" ca="1">IFERROR(INDEX(Electricity_projection,MATCH($B8&amp;$A8,INDEX(Electricity_projection,0,3),0),MATCH(YEAR(TODAY()),Timeline_elec_projec,0)+3)*INDEX(Recyc_mat_energy_input,MATCH(AU$1,'Data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1.78300158692E-9</v>
      </c>
      <c r="AV8" s="1" cm="1">
        <f t="array" aca="1" ref="AV8" ca="1">IFERROR(INDEX(Electricity_projection,MATCH($B8&amp;$A8,INDEX(Electricity_projection,0,3),0),MATCH(YEAR(TODAY()),Timeline_elec_projec,0)+3)*INDEX(Recyc_mat_energy_input,MATCH(AV$1,'Data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4.3144612813000003E-9</v>
      </c>
      <c r="AW8" s="1"/>
      <c r="AX8" s="1"/>
      <c r="AY8" s="1"/>
      <c r="AZ8" s="1"/>
      <c r="BA8" s="1"/>
      <c r="BB8" s="1"/>
      <c r="BC8" s="1">
        <f t="shared" si="1"/>
        <v>9.9900000000000005E-9</v>
      </c>
      <c r="BD8" s="1">
        <v>9.9900000000000005E-9</v>
      </c>
      <c r="BE8" s="1">
        <v>5.3000000000000001E-7</v>
      </c>
      <c r="BF8" s="1"/>
      <c r="BG8" s="1">
        <f ca="1">'Dynamic Materials'!V17</f>
        <v>1.5136106937375001E-8</v>
      </c>
      <c r="BH8" s="1"/>
      <c r="BI8" s="1" cm="1">
        <f t="array" aca="1" ref="BI8" ca="1">IFERROR(INDEX(Electricity_projection,MATCH($B8&amp;$A8,INDEX(Electricity_projection,0,3),0),MATCH(YEAR(TODAY()),Timeline_elec_projec,0)+3)*INDEX(Recyc_mat_energy_input,MATCH(BI$1,'Data Entry'!$B$91:$B$96,0),1)+Diesel_density*INDEX(Recyc_mat_energy_input,MATCH(BI$1,'Data Entry'!$B$91:$B$96,0),2)*INDEX(Indicators,ROW(),MATCH("Diesel Combustion",Materials!$1:$1,0)), "")</f>
        <v>0</v>
      </c>
      <c r="BJ8" s="1"/>
      <c r="BK8" s="1" cm="1">
        <f t="array" aca="1" ref="BK8" ca="1">IFERROR(INDEX(Electricity_projection,MATCH($B8&amp;$A8,INDEX(Electricity_projection,0,3),0),MATCH(YEAR(TODAY()),Timeline_elec_projec,0)+3)*INDEX(Recyc_mat_energy_input,MATCH(BK$1,'Data Entry'!$B$91:$B$96,0),1)+Diesel_density*INDEX(Recyc_mat_energy_input,MATCH(BK$1,'Data Entry'!$B$91:$B$96,0),2)*INDEX(Indicators,ROW(),MATCH("Diesel Combustion",Materials!$1:$1,0)), "")</f>
        <v>5.6421585480000002E-10</v>
      </c>
      <c r="BL8" s="1" cm="1">
        <f t="array" aca="1" ref="BL8" ca="1">IFERROR(INDEX(Electricity_projection,MATCH($B8&amp;$A8,INDEX(Electricity_projection,0,3),0),MATCH(YEAR(TODAY()),Timeline_elec_projec,0)+3)*INDEX(Recyc_mat_energy_input,MATCH(BL$1,'Data Entry'!$B$91:$B$96,0),1)+Diesel_density*INDEX(Recyc_mat_energy_input,MATCH(BL$1,'Data Entry'!$B$91:$B$96,0),2)*INDEX(Indicators,ROW(),MATCH("Diesel Combustion",Materials!$1:$1,0)), "")</f>
        <v>1.4572222222222223E-8</v>
      </c>
      <c r="BM8" s="1"/>
      <c r="BN8" s="1">
        <f>IF(Steel_supplier="Pacific Steel",Material_Impacts[[#This Row],[Pacific Steel]],Material_Impacts[[#This Row],[Infrabuild]])</f>
        <v>3.9700000000000002E-7</v>
      </c>
      <c r="BO8" s="1">
        <v>3.9700000000000002E-7</v>
      </c>
      <c r="BP8" s="1">
        <v>7.7224071000000007E-7</v>
      </c>
      <c r="BQ8" s="443">
        <v>3.3626900000000002E-6</v>
      </c>
      <c r="BR8" s="450">
        <v>1.2780099999999999E-6</v>
      </c>
      <c r="BS8" s="450"/>
      <c r="BT8" s="450"/>
      <c r="BU8" s="450"/>
      <c r="BV8" s="443">
        <v>1</v>
      </c>
      <c r="BW8" s="1"/>
      <c r="BX8" s="1">
        <v>1.85721E-6</v>
      </c>
      <c r="BY8" s="1">
        <f t="shared" ref="BY8:BY71" si="3">BX8/0.95/45.5</f>
        <v>4.2966107576633898E-8</v>
      </c>
      <c r="BZ8" s="1">
        <v>1.0202199999999999E-6</v>
      </c>
      <c r="CA8" s="1">
        <v>0</v>
      </c>
      <c r="CB8">
        <v>6.9879399999999998E-11</v>
      </c>
      <c r="CC8" s="1">
        <v>5.0531600000000003E-5</v>
      </c>
      <c r="CD8" s="378">
        <f t="shared" si="2"/>
        <v>6.7361365700399999E-7</v>
      </c>
      <c r="CE8" s="208">
        <f t="shared" ref="CE8:CE71" si="4">CD8+CC8</f>
        <v>5.1205213657004004E-5</v>
      </c>
      <c r="CF8" s="208"/>
      <c r="CG8" s="208"/>
      <c r="CH8" s="208"/>
      <c r="CI8" s="208"/>
      <c r="CJ8" s="208"/>
      <c r="CK8" s="209"/>
      <c r="CL8" s="209"/>
      <c r="CM8" s="209"/>
      <c r="CN8" s="208"/>
      <c r="CO8" s="208"/>
      <c r="CP8" s="208"/>
      <c r="CQ8" s="208"/>
      <c r="CZ8" s="208"/>
      <c r="DA8" s="208"/>
      <c r="DB8" s="208"/>
    </row>
    <row r="9" spans="1:106" x14ac:dyDescent="0.35">
      <c r="A9" t="s">
        <v>489</v>
      </c>
      <c r="B9" t="s">
        <v>54</v>
      </c>
      <c r="C9" t="s">
        <v>51</v>
      </c>
      <c r="D9" t="str">
        <f>Material_Impacts[[#This Row],[15804 version]]&amp;Material_Impacts[[#This Row],[Methodology]]&amp;Material_Impacts[[#This Row],[Acronym]]</f>
        <v>A1AttributionalADPF</v>
      </c>
      <c r="E9" t="s">
        <v>737</v>
      </c>
      <c r="F9" t="s">
        <v>665</v>
      </c>
      <c r="G9" s="1">
        <v>48.76661</v>
      </c>
      <c r="H9" s="1">
        <v>48.76661</v>
      </c>
      <c r="I9" s="1">
        <v>49.367890000000003</v>
      </c>
      <c r="J9" s="1">
        <v>48.76661</v>
      </c>
      <c r="K9" s="1">
        <v>1.2622252550880176E-3</v>
      </c>
      <c r="L9" s="1">
        <v>3.0563884918514798E-3</v>
      </c>
      <c r="M9" s="1">
        <v>1.062893036474449E-3</v>
      </c>
      <c r="N9" s="1"/>
      <c r="O9" s="443"/>
      <c r="P9" s="1">
        <v>1.44241</v>
      </c>
      <c r="Q9" s="1">
        <v>0</v>
      </c>
      <c r="R9" s="1">
        <v>0</v>
      </c>
      <c r="S9" s="1">
        <v>0</v>
      </c>
      <c r="T9" s="1">
        <v>0</v>
      </c>
      <c r="U9" s="1">
        <v>0</v>
      </c>
      <c r="V9" s="1">
        <f ca="1">IFERROR('Dynamic Materials'!Q18+'Dynamic Materials'!AQ18, 0)</f>
        <v>3.5776887177619976</v>
      </c>
      <c r="W9" s="1">
        <f ca="1">'Dynamic Materials'!R18</f>
        <v>3.2787781132512119</v>
      </c>
      <c r="X9" s="1">
        <f ca="1">'Dynamic Materials'!T18</f>
        <v>2.8239162821395922</v>
      </c>
      <c r="Y9" s="1">
        <f ca="1">IFERROR('Dynamic Materials'!U18+'Dynamic Materials'!AQ18, 0)</f>
        <v>2.6771396034499917</v>
      </c>
      <c r="Z9" s="1">
        <f ca="1">IFERROR('Dynamic Materials'!S18+'Dynamic Materials'!AQ18, 0)</f>
        <v>3.1310727123821396</v>
      </c>
      <c r="AA9" s="1">
        <f ca="1">'Dynamic Materials'!W18</f>
        <v>1.9164046000000001</v>
      </c>
      <c r="AB9" s="1">
        <v>27.760529999999999</v>
      </c>
      <c r="AC9" s="1">
        <v>91.993290000000002</v>
      </c>
      <c r="AD9" s="209">
        <f>BZ9+200*Material_Impacts[[#This Row],[Truck (32+t)]]+1130*CB9</f>
        <v>45.444030707294885</v>
      </c>
      <c r="AE9" s="1">
        <v>30.339929999999999</v>
      </c>
      <c r="AF9" s="1">
        <v>0.82196999999999998</v>
      </c>
      <c r="AG9" s="1"/>
      <c r="AH9" s="1">
        <v>44.003149999999998</v>
      </c>
      <c r="AI9" s="209">
        <f>'Dynamic Materials'!AG18</f>
        <v>48.742361000000002</v>
      </c>
      <c r="AJ9" s="1">
        <v>0.16439999999999999</v>
      </c>
      <c r="AK9" s="1">
        <v>0.158</v>
      </c>
      <c r="AL9" s="1"/>
      <c r="AM9" s="1">
        <f t="shared" si="0"/>
        <v>0.1144</v>
      </c>
      <c r="AN9" s="1">
        <v>0.30379</v>
      </c>
      <c r="AO9" s="1">
        <v>9.8046199999999999</v>
      </c>
      <c r="AP9" s="209">
        <v>6.2E-4</v>
      </c>
      <c r="AQ9" s="1">
        <f ca="1">'Dynamic Materials'!O18</f>
        <v>2.7743184676729209</v>
      </c>
      <c r="AR9" s="1">
        <f ca="1">'Dynamic Materials'!P18</f>
        <v>3.0281140152352282</v>
      </c>
      <c r="AS9" s="1"/>
      <c r="AT9" s="1" cm="1">
        <f t="array" aca="1" ref="AT9" ca="1">IFERROR(INDEX(Electricity_projection,MATCH($B9&amp;$A9,INDEX(Electricity_projection,0,3),0),MATCH(YEAR(TODAY()),Timeline_elec_projec,0)+3)*INDEX(Recyc_mat_energy_input,MATCH(AT$1,'Data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5.0719814080029998E-2</v>
      </c>
      <c r="AU9" s="1" cm="1">
        <f t="array" aca="1" ref="AU9" ca="1">IFERROR(INDEX(Electricity_projection,MATCH($B9&amp;$A9,INDEX(Electricity_projection,0,3),0),MATCH(YEAR(TODAY()),Timeline_elec_projec,0)+3)*INDEX(Recyc_mat_energy_input,MATCH(AU$1,'Data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3.3750019138120001E-2</v>
      </c>
      <c r="AV9" s="1" cm="1">
        <f t="array" aca="1" ref="AV9" ca="1">IFERROR(INDEX(Electricity_projection,MATCH($B9&amp;$A9,INDEX(Electricity_projection,0,3),0),MATCH(YEAR(TODAY()),Timeline_elec_projec,0)+3)*INDEX(Recyc_mat_energy_input,MATCH(AV$1,'Data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3.2427055199299989E-2</v>
      </c>
      <c r="AW9" s="1"/>
      <c r="AX9" s="1"/>
      <c r="AY9" s="1"/>
      <c r="AZ9" s="1"/>
      <c r="BA9" s="1"/>
      <c r="BB9" s="1"/>
      <c r="BC9" s="1">
        <f t="shared" si="1"/>
        <v>2.86</v>
      </c>
      <c r="BD9" s="1">
        <v>2.86</v>
      </c>
      <c r="BE9" s="1">
        <v>2.69</v>
      </c>
      <c r="BF9" s="1"/>
      <c r="BG9" s="1">
        <f ca="1">'Dynamic Materials'!V18</f>
        <v>1.8481383180798749</v>
      </c>
      <c r="BH9" s="1"/>
      <c r="BI9" s="1" cm="1">
        <f t="array" aca="1" ref="BI9" ca="1">IFERROR(INDEX(Electricity_projection,MATCH($B9&amp;$A9,INDEX(Electricity_projection,0,3),0),MATCH(YEAR(TODAY()),Timeline_elec_projec,0)+3)*INDEX(Recyc_mat_energy_input,MATCH(BI$1,'Data Entry'!$B$91:$B$96,0),1)+Diesel_density*INDEX(Recyc_mat_energy_input,MATCH(BI$1,'Data Entry'!$B$91:$B$96,0),2)*INDEX(Indicators,ROW(),MATCH("Diesel Combustion",Materials!$1:$1,0)), "")</f>
        <v>0</v>
      </c>
      <c r="BJ9" s="1"/>
      <c r="BK9" s="1" cm="1">
        <f t="array" aca="1" ref="BK9" ca="1">IFERROR(INDEX(Electricity_projection,MATCH($B9&amp;$A9,INDEX(Electricity_projection,0,3),0),MATCH(YEAR(TODAY()),Timeline_elec_projec,0)+3)*INDEX(Recyc_mat_energy_input,MATCH(BK$1,'Data Entry'!$B$91:$B$96,0),1)+Diesel_density*INDEX(Recyc_mat_energy_input,MATCH(BK$1,'Data Entry'!$B$91:$B$96,0),2)*INDEX(Indicators,ROW(),MATCH("Diesel Combustion",Materials!$1:$1,0)), "")</f>
        <v>2.1529482982800004E-2</v>
      </c>
      <c r="BL9" s="1" cm="1">
        <f t="array" aca="1" ref="BL9" ca="1">IFERROR(INDEX(Electricity_projection,MATCH($B9&amp;$A9,INDEX(Electricity_projection,0,3),0),MATCH(YEAR(TODAY()),Timeline_elec_projec,0)+3)*INDEX(Recyc_mat_energy_input,MATCH(BL$1,'Data Entry'!$B$91:$B$96,0),1)+Diesel_density*INDEX(Recyc_mat_energy_input,MATCH(BL$1,'Data Entry'!$B$91:$B$96,0),2)*INDEX(Indicators,ROW(),MATCH("Diesel Combustion",Materials!$1:$1,0)), "")</f>
        <v>6.3711111111111093E-2</v>
      </c>
      <c r="BM9" s="1"/>
      <c r="BN9" s="1">
        <f>IF(Steel_supplier="Pacific Steel",Material_Impacts[[#This Row],[Pacific Steel]],Material_Impacts[[#This Row],[Infrabuild]])</f>
        <v>49.1</v>
      </c>
      <c r="BO9" s="1">
        <v>49.1</v>
      </c>
      <c r="BP9" s="1">
        <v>22.956215499999999</v>
      </c>
      <c r="BQ9" s="443">
        <v>49.367890000000003</v>
      </c>
      <c r="BR9" s="450">
        <v>48.76661</v>
      </c>
      <c r="BS9" s="443"/>
      <c r="BT9" s="450"/>
      <c r="BU9" s="443"/>
      <c r="BV9" s="443">
        <v>1</v>
      </c>
      <c r="BX9" s="1">
        <v>3.4527199999999998</v>
      </c>
      <c r="BY9" s="1">
        <f>BX9/0.95/45.5</f>
        <v>7.9877848467322141E-2</v>
      </c>
      <c r="BZ9">
        <v>45.096789999999999</v>
      </c>
      <c r="CA9" s="1">
        <v>0</v>
      </c>
      <c r="CB9">
        <v>1.1917E-4</v>
      </c>
      <c r="CC9">
        <v>44.135849999999998</v>
      </c>
      <c r="CD9" s="378">
        <f t="shared" si="2"/>
        <v>1.1487582822</v>
      </c>
      <c r="CE9" s="208">
        <f t="shared" si="4"/>
        <v>45.284608282199997</v>
      </c>
      <c r="CF9" s="208"/>
      <c r="CG9" s="208"/>
      <c r="CH9" s="208"/>
      <c r="CI9" s="208"/>
      <c r="CJ9" s="208"/>
      <c r="CK9" s="208"/>
      <c r="CL9" s="208"/>
      <c r="CM9" s="208"/>
      <c r="CN9" s="208"/>
      <c r="CO9" s="208"/>
      <c r="CP9" s="208"/>
      <c r="CQ9" s="208"/>
      <c r="CZ9" s="208"/>
      <c r="DA9" s="208"/>
      <c r="DB9" s="208"/>
    </row>
    <row r="10" spans="1:106" x14ac:dyDescent="0.35">
      <c r="A10" t="s">
        <v>491</v>
      </c>
      <c r="B10" t="s">
        <v>54</v>
      </c>
      <c r="C10" t="s">
        <v>51</v>
      </c>
      <c r="D10" t="str">
        <f>Material_Impacts[[#This Row],[15804 version]]&amp;Material_Impacts[[#This Row],[Methodology]]&amp;Material_Impacts[[#This Row],[Acronym]]</f>
        <v>A1AttributionalEP</v>
      </c>
      <c r="E10" t="s">
        <v>738</v>
      </c>
      <c r="F10" t="s">
        <v>739</v>
      </c>
      <c r="G10" s="1">
        <v>2.3346062039137699E-3</v>
      </c>
      <c r="H10" s="1">
        <v>3.2309803921568604E-3</v>
      </c>
      <c r="I10" s="1">
        <v>9.6098534735126009E-4</v>
      </c>
      <c r="J10" s="1">
        <v>2.3346062039137699E-3</v>
      </c>
      <c r="K10" s="1">
        <v>1.0243445300131684E-7</v>
      </c>
      <c r="L10" s="1">
        <v>2.1974600105728962E-7</v>
      </c>
      <c r="M10" s="1">
        <v>8.5952645220167432E-8</v>
      </c>
      <c r="N10" s="1"/>
      <c r="O10" s="443"/>
      <c r="P10" s="1">
        <v>2.1913399999999999E-5</v>
      </c>
      <c r="Q10" s="1">
        <v>0</v>
      </c>
      <c r="R10" s="1">
        <v>0</v>
      </c>
      <c r="S10" s="1">
        <v>0</v>
      </c>
      <c r="T10" s="1">
        <v>0</v>
      </c>
      <c r="U10" s="1">
        <v>0</v>
      </c>
      <c r="V10" s="1">
        <f ca="1">IFERROR('Dynamic Materials'!Q19+'Dynamic Materials'!AQ19, 0)</f>
        <v>1.9158557581716167E-4</v>
      </c>
      <c r="W10" s="1">
        <f ca="1">'Dynamic Materials'!R19</f>
        <v>1.7735509886839429E-4</v>
      </c>
      <c r="X10" s="1">
        <f ca="1">'Dynamic Materials'!T19</f>
        <v>1.696551300531873E-4</v>
      </c>
      <c r="Y10" s="1">
        <f ca="1">IFERROR('Dynamic Materials'!U19+'Dynamic Materials'!AQ19, 0)</f>
        <v>1.7988028570052272E-4</v>
      </c>
      <c r="Z10" s="1">
        <f ca="1">IFERROR('Dynamic Materials'!S19+'Dynamic Materials'!AQ19, 0)</f>
        <v>1.8553049377184459E-4</v>
      </c>
      <c r="AA10" s="1">
        <f ca="1">'Dynamic Materials'!W19</f>
        <v>1.3873719E-4</v>
      </c>
      <c r="AB10" s="1">
        <v>5.9000000000000003E-4</v>
      </c>
      <c r="AC10" s="1">
        <v>6.1000000000000004E-3</v>
      </c>
      <c r="AD10" s="209">
        <f>BZ10+200*Material_Impacts[[#This Row],[Truck (32+t)]]+1130*CB10</f>
        <v>5.6804529204403337E-4</v>
      </c>
      <c r="AE10" s="1">
        <v>3.6999999999999999E-4</v>
      </c>
      <c r="AF10" s="1">
        <v>4.02889E-5</v>
      </c>
      <c r="AG10" s="1"/>
      <c r="AH10" s="1">
        <v>1.2700000000000001E-3</v>
      </c>
      <c r="AI10" s="209">
        <f>'Dynamic Materials'!AG19</f>
        <v>1.2260000000000001E-3</v>
      </c>
      <c r="AJ10" s="1">
        <v>2.65723E-5</v>
      </c>
      <c r="AK10" s="1">
        <v>2.5090099999999999E-5</v>
      </c>
      <c r="AL10" s="1"/>
      <c r="AM10" s="1">
        <f t="shared" si="0"/>
        <v>8.2800000000000003E-6</v>
      </c>
      <c r="AN10" s="1">
        <v>4.23719E-5</v>
      </c>
      <c r="AO10" s="1">
        <v>2.9999999999999997E-4</v>
      </c>
      <c r="AP10" s="209">
        <v>1.43E-7</v>
      </c>
      <c r="AQ10" s="1">
        <f ca="1">'Dynamic Materials'!O19</f>
        <v>3.692573333977854E-5</v>
      </c>
      <c r="AR10" s="1">
        <f ca="1">'Dynamic Materials'!P19</f>
        <v>9.458301581713654E-5</v>
      </c>
      <c r="AS10" s="1"/>
      <c r="AT10" s="1" cm="1">
        <f t="array" aca="1" ref="AT10" ca="1">IFERROR(INDEX(Electricity_projection,MATCH($B10&amp;$A10,INDEX(Electricity_projection,0,3),0),MATCH(YEAR(TODAY()),Timeline_elec_projec,0)+3)*INDEX(Recyc_mat_energy_input,MATCH(AT$1,'Data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3.0244849118473853E-6</v>
      </c>
      <c r="AU10" s="1" cm="1">
        <f t="array" aca="1" ref="AU10" ca="1">IFERROR(INDEX(Electricity_projection,MATCH($B10&amp;$A10,INDEX(Electricity_projection,0,3),0),MATCH(YEAR(TODAY()),Timeline_elec_projec,0)+3)*INDEX(Recyc_mat_energy_input,MATCH(AU$1,'Data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2.2599931123229359E-6</v>
      </c>
      <c r="AV10" s="1" cm="1">
        <f t="array" aca="1" ref="AV10" ca="1">IFERROR(INDEX(Electricity_projection,MATCH($B10&amp;$A10,INDEX(Electricity_projection,0,3),0),MATCH(YEAR(TODAY()),Timeline_elec_projec,0)+3)*INDEX(Recyc_mat_energy_input,MATCH(AV$1,'Data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4.0366698468354319E-6</v>
      </c>
      <c r="AW10" s="1"/>
      <c r="AX10" s="1"/>
      <c r="AY10" s="1"/>
      <c r="AZ10" s="1"/>
      <c r="BA10" s="1"/>
      <c r="BB10" s="1"/>
      <c r="BC10" s="1">
        <f t="shared" si="1"/>
        <v>2.0699999999999999E-4</v>
      </c>
      <c r="BD10" s="1">
        <v>2.0699999999999999E-4</v>
      </c>
      <c r="BE10" s="1">
        <v>1.14E-3</v>
      </c>
      <c r="BF10" s="1"/>
      <c r="BG10" s="1">
        <f ca="1">'Dynamic Materials'!V19</f>
        <v>8.6581026425290778E-5</v>
      </c>
      <c r="BH10" s="1"/>
      <c r="BI10" s="1" cm="1">
        <f t="array" aca="1" ref="BI10" ca="1">IFERROR(INDEX(Electricity_projection,MATCH($B10&amp;$A10,INDEX(Electricity_projection,0,3),0),MATCH(YEAR(TODAY()),Timeline_elec_projec,0)+3)*INDEX(Recyc_mat_energy_input,MATCH(BI$1,'Data Entry'!$B$91:$B$96,0),1)+Diesel_density*INDEX(Recyc_mat_energy_input,MATCH(BI$1,'Data Entry'!$B$91:$B$96,0),2)*INDEX(Indicators,ROW(),MATCH("Diesel Combustion",Materials!$1:$1,0)), "")</f>
        <v>0</v>
      </c>
      <c r="BJ10" s="1"/>
      <c r="BK10" s="1" cm="1">
        <f t="array" aca="1" ref="BK10" ca="1">IFERROR(INDEX(Electricity_projection,MATCH($B10&amp;$A10,INDEX(Electricity_projection,0,3),0),MATCH(YEAR(TODAY()),Timeline_elec_projec,0)+3)*INDEX(Recyc_mat_energy_input,MATCH(BK$1,'Data Entry'!$B$91:$B$96,0),1)+Diesel_density*INDEX(Recyc_mat_energy_input,MATCH(BK$1,'Data Entry'!$B$91:$B$96,0),2)*INDEX(Indicators,ROW(),MATCH("Diesel Combustion",Materials!$1:$1,0)), "")</f>
        <v>1.0306819469038514E-6</v>
      </c>
      <c r="BL10" s="1" cm="1">
        <f t="array" aca="1" ref="BL10" ca="1">IFERROR(INDEX(Electricity_projection,MATCH($B10&amp;$A10,INDEX(Electricity_projection,0,3),0),MATCH(YEAR(TODAY()),Timeline_elec_projec,0)+3)*INDEX(Recyc_mat_energy_input,MATCH(BL$1,'Data Entry'!$B$91:$B$96,0),1)+Diesel_density*INDEX(Recyc_mat_energy_input,MATCH(BL$1,'Data Entry'!$B$91:$B$96,0),2)*INDEX(Indicators,ROW(),MATCH("Diesel Combustion",Materials!$1:$1,0)), "")</f>
        <v>1.2301666666666664E-5</v>
      </c>
      <c r="BM10" s="1"/>
      <c r="BN10" s="1">
        <f>IF(Steel_supplier="Pacific Steel",Material_Impacts[[#This Row],[Pacific Steel]],Material_Impacts[[#This Row],[Infrabuild]])</f>
        <v>1.98E-3</v>
      </c>
      <c r="BO10" s="1">
        <v>1.98E-3</v>
      </c>
      <c r="BP10" s="1">
        <v>7.0270596500000002E-4</v>
      </c>
      <c r="BQ10" s="443">
        <v>6.3000000000000003E-4</v>
      </c>
      <c r="BR10" s="450">
        <v>5.8E-4</v>
      </c>
      <c r="BS10" s="443"/>
      <c r="BT10" s="450"/>
      <c r="BU10" s="443"/>
      <c r="BV10" s="443">
        <v>1</v>
      </c>
      <c r="BX10" s="1">
        <v>5.9999999999999995E-4</v>
      </c>
      <c r="BY10" s="1">
        <f t="shared" si="3"/>
        <v>1.3880855986119143E-5</v>
      </c>
      <c r="BZ10">
        <v>5.1999999999999995E-4</v>
      </c>
      <c r="CA10" s="1">
        <v>0</v>
      </c>
      <c r="CB10">
        <v>2.7305100000000001E-8</v>
      </c>
      <c r="CC10">
        <v>1.2899999999999999E-3</v>
      </c>
      <c r="CD10" s="378">
        <f t="shared" si="2"/>
        <v>2.6321188026600002E-4</v>
      </c>
      <c r="CE10" s="208">
        <f t="shared" si="4"/>
        <v>1.5532118802659999E-3</v>
      </c>
      <c r="CF10" s="208"/>
      <c r="CG10" s="208"/>
      <c r="CH10" s="208"/>
      <c r="CI10" s="208"/>
      <c r="CJ10" s="208"/>
      <c r="CK10" s="208"/>
      <c r="CL10" s="208"/>
      <c r="CM10" s="209"/>
      <c r="CN10" s="208"/>
      <c r="CO10" s="208"/>
      <c r="CP10" s="208"/>
      <c r="CQ10" s="208"/>
      <c r="CZ10" s="208"/>
      <c r="DA10" s="208"/>
      <c r="DB10" s="208"/>
    </row>
    <row r="11" spans="1:106" x14ac:dyDescent="0.35">
      <c r="A11" t="s">
        <v>382</v>
      </c>
      <c r="B11" t="s">
        <v>54</v>
      </c>
      <c r="C11" t="s">
        <v>51</v>
      </c>
      <c r="D11" t="str">
        <f>Material_Impacts[[#This Row],[15804 version]]&amp;Material_Impacts[[#This Row],[Methodology]]&amp;Material_Impacts[[#This Row],[Acronym]]</f>
        <v>A1AttributionalGWP</v>
      </c>
      <c r="E11" t="s">
        <v>740</v>
      </c>
      <c r="F11" t="s">
        <v>381</v>
      </c>
      <c r="G11" s="1">
        <v>3.0363316470352943</v>
      </c>
      <c r="H11" s="1">
        <v>3.0363316470352943</v>
      </c>
      <c r="I11" s="1">
        <v>3.1085760824625099</v>
      </c>
      <c r="J11" s="1">
        <v>3.9847124999999997E-2</v>
      </c>
      <c r="K11" s="1">
        <v>9.4092722728056919E-5</v>
      </c>
      <c r="L11" s="1">
        <v>2.2757546452943772E-4</v>
      </c>
      <c r="M11" s="1">
        <v>7.9326925941010503E-5</v>
      </c>
      <c r="N11" s="1">
        <v>1.35E-4</v>
      </c>
      <c r="O11" s="443">
        <v>8.2779175500000005E-5</v>
      </c>
      <c r="P11" s="1">
        <v>8.3519999999999997E-2</v>
      </c>
      <c r="Q11" s="1">
        <v>0</v>
      </c>
      <c r="R11" s="1">
        <v>0</v>
      </c>
      <c r="S11" s="1">
        <v>0</v>
      </c>
      <c r="T11" s="1">
        <v>0</v>
      </c>
      <c r="U11" s="1">
        <v>0</v>
      </c>
      <c r="V11" s="1">
        <f ca="1">IFERROR('Dynamic Materials'!Q20+'Dynamic Materials'!AQ20, 0)</f>
        <v>5.6559200664932842E-2</v>
      </c>
      <c r="W11" s="1">
        <f ca="1">'Dynamic Materials'!R20</f>
        <v>6.3381355588838756E-2</v>
      </c>
      <c r="X11" s="1">
        <f ca="1">'Dynamic Materials'!T20</f>
        <v>3.5732730076094073E-2</v>
      </c>
      <c r="Y11" s="1">
        <f ca="1">IFERROR('Dynamic Materials'!U20+'Dynamic Materials'!AQ20, 0)</f>
        <v>4.819020066493284E-2</v>
      </c>
      <c r="Z11" s="1">
        <f ca="1">IFERROR('Dynamic Materials'!S20+'Dynamic Materials'!AQ20, 0)</f>
        <v>5.2374700664932841E-2</v>
      </c>
      <c r="AA11" s="1">
        <f>'Dynamic Materials'!W20</f>
        <v>0.46834023000000002</v>
      </c>
      <c r="AB11" s="1">
        <v>0.41603000000000001</v>
      </c>
      <c r="AC11" s="1">
        <v>5.2203400000000002</v>
      </c>
      <c r="AD11" s="209">
        <v>0.42299999999999999</v>
      </c>
      <c r="AE11" s="1">
        <v>0.38400000000000001</v>
      </c>
      <c r="AF11" s="1">
        <v>1.4402071955511251E-2</v>
      </c>
      <c r="AG11" s="1">
        <v>0.372</v>
      </c>
      <c r="AH11" s="1">
        <v>1.1119600000000001</v>
      </c>
      <c r="AI11" s="209">
        <f>'Dynamic Materials'!AG20</f>
        <v>0.81985799999999998</v>
      </c>
      <c r="AJ11" s="1">
        <v>1.6920000000000001E-2</v>
      </c>
      <c r="AK11" s="1">
        <v>1.1299999999999999E-2</v>
      </c>
      <c r="AL11" s="520">
        <v>0.83356313999999998</v>
      </c>
      <c r="AM11" s="1">
        <f t="shared" si="0"/>
        <v>2.7959999999999999E-2</v>
      </c>
      <c r="AN11" s="1">
        <v>4.6949999999999999E-2</v>
      </c>
      <c r="AO11" s="1">
        <v>0.25409999999999999</v>
      </c>
      <c r="AP11" s="209">
        <v>3.1000000000000001E-5</v>
      </c>
      <c r="AQ11" s="1">
        <f>'Dynamic Materials'!O20</f>
        <v>2.9656999999999999E-2</v>
      </c>
      <c r="AR11" s="1">
        <f>'Dynamic Materials'!P20</f>
        <v>6.5374219999999997E-2</v>
      </c>
      <c r="AS11" s="521">
        <v>4.5199999999999997E-3</v>
      </c>
      <c r="AT11" s="521">
        <v>4.5500000000000002E-3</v>
      </c>
      <c r="AU11" s="521">
        <v>4.5500000000000002E-3</v>
      </c>
      <c r="AV11" s="521">
        <v>4.5500000000000002E-3</v>
      </c>
      <c r="AW11" s="521">
        <v>4.5500000000000002E-3</v>
      </c>
      <c r="AX11" s="521">
        <v>4.3500000000000006E-3</v>
      </c>
      <c r="AY11" s="521">
        <v>3.875E-3</v>
      </c>
      <c r="AZ11" s="521">
        <v>4.1566666666666661E-3</v>
      </c>
      <c r="BA11" s="521">
        <v>4.1566666666666661E-3</v>
      </c>
      <c r="BB11" s="521">
        <v>3.875E-3</v>
      </c>
      <c r="BC11" s="1">
        <f t="shared" si="1"/>
        <v>0.69899999999999995</v>
      </c>
      <c r="BD11" s="1">
        <v>0.69899999999999995</v>
      </c>
      <c r="BE11" s="1">
        <v>0.89700000000000002</v>
      </c>
      <c r="BF11" s="520">
        <v>0.94591888000000002</v>
      </c>
      <c r="BG11" s="1">
        <f>'Dynamic Materials'!V20</f>
        <v>0.20406964999999999</v>
      </c>
      <c r="BH11" s="1">
        <v>0.13305084745762699</v>
      </c>
      <c r="BI11" s="1" cm="1">
        <f t="array" aca="1" ref="BI11" ca="1">IFERROR(INDEX(Electricity_projection,MATCH($B11&amp;$A11,INDEX(Electricity_projection,0,3),0),MATCH(YEAR(TODAY()),Timeline_elec_projec,0)+3)*INDEX(Recyc_mat_energy_input,MATCH(BI$1,'Data Entry'!$B$91:$B$96,0),1)+Diesel_density*INDEX(Recyc_mat_energy_input,MATCH(BI$1,'Data Entry'!$B$91:$B$96,0),2)*INDEX(Indicators,ROW(),MATCH("Diesel Combustion",Materials!$1:$1,0)), "")</f>
        <v>0</v>
      </c>
      <c r="BJ11" s="521">
        <v>8.2699999999999994E-4</v>
      </c>
      <c r="BK11" s="1" cm="1">
        <f t="array" aca="1" ref="BK11" ca="1">IFERROR(INDEX(Electricity_projection,MATCH($B11&amp;$A11,INDEX(Electricity_projection,0,3),0),MATCH(YEAR(TODAY()),Timeline_elec_projec,0)+3)*INDEX(Recyc_mat_energy_input,MATCH(BK$1,'Data Entry'!$B$91:$B$96,0),1)+Diesel_density*INDEX(Recyc_mat_energy_input,MATCH(BK$1,'Data Entry'!$B$91:$B$96,0),2)*INDEX(Indicators,ROW(),MATCH("Diesel Combustion",Materials!$1:$1,0)), "")</f>
        <v>1.340479695533142E-3</v>
      </c>
      <c r="BL11" s="1" cm="1">
        <f t="array" aca="1" ref="BL11" ca="1">IFERROR(INDEX(Electricity_projection,MATCH($B11&amp;$A11,INDEX(Electricity_projection,0,3),0),MATCH(YEAR(TODAY()),Timeline_elec_projec,0)+3)*INDEX(Recyc_mat_energy_input,MATCH(BL$1,'Data Entry'!$B$91:$B$96,0),1)+Diesel_density*INDEX(Recyc_mat_energy_input,MATCH(BL$1,'Data Entry'!$B$91:$B$96,0),2)*INDEX(Indicators,ROW(),MATCH("Diesel Combustion",Materials!$1:$1,0)), "")</f>
        <v>5.4561111111111112E-3</v>
      </c>
      <c r="BM11" s="521">
        <v>2.4599999999999999E-3</v>
      </c>
      <c r="BN11" s="1">
        <f>IF(Steel_supplier="Pacific Steel",Material_Impacts[[#This Row],[Pacific Steel]],Material_Impacts[[#This Row],[Infrabuild]])</f>
        <v>3.9</v>
      </c>
      <c r="BO11" s="1">
        <v>3.9</v>
      </c>
      <c r="BP11" s="1">
        <f>1.67+0.14</f>
        <v>1.81</v>
      </c>
      <c r="BQ11" s="443">
        <v>0.57362000000000002</v>
      </c>
      <c r="BR11" s="450">
        <v>0.44051000000000001</v>
      </c>
      <c r="BS11" s="443"/>
      <c r="BT11" s="450"/>
      <c r="BU11" s="443"/>
      <c r="BV11" s="443">
        <v>1</v>
      </c>
      <c r="BX11" s="1">
        <v>0.25955</v>
      </c>
      <c r="BY11" s="1">
        <f t="shared" si="3"/>
        <v>6.0046269519953739E-3</v>
      </c>
      <c r="BZ11">
        <v>0.39688000000000001</v>
      </c>
      <c r="CA11" s="1">
        <v>0</v>
      </c>
      <c r="CB11">
        <v>9.3600000000000002E-6</v>
      </c>
      <c r="CC11">
        <v>1.1252599999999999</v>
      </c>
      <c r="CD11" s="378">
        <f t="shared" si="2"/>
        <v>9.0227217600000006E-2</v>
      </c>
      <c r="CE11" s="208">
        <f t="shared" si="4"/>
        <v>1.2154872176</v>
      </c>
      <c r="CF11" s="208"/>
      <c r="CG11" s="208"/>
      <c r="CH11" s="208"/>
      <c r="CI11" s="208"/>
      <c r="CJ11" s="208"/>
      <c r="CK11" s="208"/>
      <c r="CL11" s="208"/>
      <c r="CM11" s="209"/>
      <c r="CN11" s="208"/>
      <c r="CO11" s="208"/>
      <c r="CP11" s="208"/>
      <c r="CQ11" s="208"/>
      <c r="CZ11" s="208"/>
      <c r="DA11" s="208"/>
      <c r="DB11" s="208"/>
    </row>
    <row r="12" spans="1:106" x14ac:dyDescent="0.35">
      <c r="A12" t="s">
        <v>403</v>
      </c>
      <c r="B12" t="s">
        <v>54</v>
      </c>
      <c r="C12" t="s">
        <v>51</v>
      </c>
      <c r="D12" t="str">
        <f>Material_Impacts[[#This Row],[15804 version]]&amp;Material_Impacts[[#This Row],[Methodology]]&amp;Material_Impacts[[#This Row],[Acronym]]</f>
        <v>A1AttributionalODP</v>
      </c>
      <c r="E12" t="s">
        <v>741</v>
      </c>
      <c r="F12" t="s">
        <v>742</v>
      </c>
      <c r="G12" s="1">
        <v>6.4218000000000005E-7</v>
      </c>
      <c r="H12" s="1">
        <v>6.4218000000000005E-7</v>
      </c>
      <c r="I12" s="1">
        <v>6.48975E-7</v>
      </c>
      <c r="J12" s="1">
        <v>6.4218000000000005E-7</v>
      </c>
      <c r="K12" s="1">
        <v>1.6621532936417421E-11</v>
      </c>
      <c r="L12" s="1">
        <v>4.0247857328963061E-11</v>
      </c>
      <c r="M12" s="1">
        <v>1.3996639302243106E-11</v>
      </c>
      <c r="N12" s="1"/>
      <c r="O12" s="443"/>
      <c r="P12" s="1">
        <v>9.1318500000000005E-9</v>
      </c>
      <c r="Q12" s="1">
        <v>0</v>
      </c>
      <c r="R12" s="1">
        <v>0</v>
      </c>
      <c r="S12" s="1">
        <v>0</v>
      </c>
      <c r="T12" s="1">
        <v>0</v>
      </c>
      <c r="U12" s="1">
        <v>0</v>
      </c>
      <c r="V12" s="1">
        <f ca="1">IFERROR('Dynamic Materials'!Q21+'Dynamic Materials'!AQ21, 0)</f>
        <v>1.2290689782378192E-4</v>
      </c>
      <c r="W12" s="1">
        <f ca="1">'Dynamic Materials'!R21</f>
        <v>1.2290160274828192E-4</v>
      </c>
      <c r="X12" s="1">
        <f ca="1">'Dynamic Materials'!T21</f>
        <v>1.2289589803097896E-4</v>
      </c>
      <c r="Y12" s="1">
        <f ca="1">IFERROR('Dynamic Materials'!U21+'Dynamic Materials'!AQ21, 0)</f>
        <v>1.2289509642913489E-4</v>
      </c>
      <c r="Z12" s="1">
        <f ca="1">IFERROR('Dynamic Materials'!S21+'Dynamic Materials'!AQ21, 0)</f>
        <v>1.2290107816281657E-4</v>
      </c>
      <c r="AA12" s="1">
        <f ca="1">'Dynamic Materials'!W21</f>
        <v>3.8645041000000007E-12</v>
      </c>
      <c r="AB12" s="1">
        <v>3.1783999999999999E-7</v>
      </c>
      <c r="AC12" s="1">
        <v>4.1536399999999997E-8</v>
      </c>
      <c r="AD12" s="209">
        <f>BZ12+200*Material_Impacts[[#This Row],[Truck (32+t)]]+1130*CB12</f>
        <v>5.9879456496044861E-7</v>
      </c>
      <c r="AE12" s="1">
        <v>4.0204099999999999E-7</v>
      </c>
      <c r="AF12" s="1">
        <v>8.2305599999999998E-9</v>
      </c>
      <c r="AG12" s="1"/>
      <c r="AH12" s="1">
        <v>4.0425599999999999E-7</v>
      </c>
      <c r="AI12" s="209">
        <f>'Dynamic Materials'!AG21</f>
        <v>5.5281710000000001E-7</v>
      </c>
      <c r="AJ12" s="1">
        <v>9.5781400000000006E-10</v>
      </c>
      <c r="AK12" s="1">
        <v>1.26335E-9</v>
      </c>
      <c r="AL12" s="1"/>
      <c r="AM12" s="1">
        <f t="shared" si="0"/>
        <v>2.092E-16</v>
      </c>
      <c r="AN12" s="1">
        <v>1.77913E-9</v>
      </c>
      <c r="AO12" s="1">
        <v>8.8860300000000006E-8</v>
      </c>
      <c r="AP12" s="209">
        <v>1.1700000000000001E-11</v>
      </c>
      <c r="AQ12" s="1">
        <f ca="1">'Dynamic Materials'!O21</f>
        <v>3.6511598884118512E-8</v>
      </c>
      <c r="AR12" s="1">
        <f ca="1">'Dynamic Materials'!P21</f>
        <v>3.2157463986491588E-8</v>
      </c>
      <c r="AS12" s="1"/>
      <c r="AT12" s="1" cm="1">
        <f t="array" aca="1" ref="AT12" ca="1">IFERROR(INDEX(Electricity_projection,MATCH($B12&amp;$A12,INDEX(Electricity_projection,0,3),0),MATCH(YEAR(TODAY()),Timeline_elec_projec,0)+3)*INDEX(Recyc_mat_energy_input,MATCH(AT$1,'Data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6.2119679414000004E-10</v>
      </c>
      <c r="AU12" s="1" cm="1">
        <f t="array" aca="1" ref="AU12" ca="1">IFERROR(INDEX(Electricity_projection,MATCH($B12&amp;$A12,INDEX(Electricity_projection,0,3),0),MATCH(YEAR(TODAY()),Timeline_elec_projec,0)+3)*INDEX(Recyc_mat_energy_input,MATCH(AU$1,'Data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3.8971446056000004E-10</v>
      </c>
      <c r="AV12" s="1" cm="1">
        <f t="array" aca="1" ref="AV12" ca="1">IFERROR(INDEX(Electricity_projection,MATCH($B12&amp;$A12,INDEX(Electricity_projection,0,3),0),MATCH(YEAR(TODAY()),Timeline_elec_projec,0)+3)*INDEX(Recyc_mat_energy_input,MATCH(AV$1,'Data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2.1601500339999997E-10</v>
      </c>
      <c r="AW12" s="1"/>
      <c r="AX12" s="1"/>
      <c r="AY12" s="1"/>
      <c r="AZ12" s="1"/>
      <c r="BA12" s="1"/>
      <c r="BB12" s="1"/>
      <c r="BC12" s="1">
        <f t="shared" si="1"/>
        <v>5.2300000000000002E-15</v>
      </c>
      <c r="BD12" s="1">
        <v>5.2300000000000002E-15</v>
      </c>
      <c r="BE12" s="1">
        <v>1.81E-8</v>
      </c>
      <c r="BF12" s="1"/>
      <c r="BG12" s="1">
        <f ca="1">'Dynamic Materials'!V21</f>
        <v>3.5563172534999999E-10</v>
      </c>
      <c r="BH12" s="1"/>
      <c r="BI12" s="1" cm="1">
        <f t="array" aca="1" ref="BI12" ca="1">IFERROR(INDEX(Electricity_projection,MATCH($B12&amp;$A12,INDEX(Electricity_projection,0,3),0),MATCH(YEAR(TODAY()),Timeline_elec_projec,0)+3)*INDEX(Recyc_mat_energy_input,MATCH(BI$1,'Data Entry'!$B$91:$B$96,0),1)+Diesel_density*INDEX(Recyc_mat_energy_input,MATCH(BI$1,'Data Entry'!$B$91:$B$96,0),2)*INDEX(Indicators,ROW(),MATCH("Diesel Combustion",Materials!$1:$1,0)), "")</f>
        <v>0</v>
      </c>
      <c r="BJ12" s="1"/>
      <c r="BK12" s="1" cm="1">
        <f t="array" aca="1" ref="BK12" ca="1">IFERROR(INDEX(Electricity_projection,MATCH($B12&amp;$A12,INDEX(Electricity_projection,0,3),0),MATCH(YEAR(TODAY()),Timeline_elec_projec,0)+3)*INDEX(Recyc_mat_energy_input,MATCH(BK$1,'Data Entry'!$B$91:$B$96,0),1)+Diesel_density*INDEX(Recyc_mat_energy_input,MATCH(BK$1,'Data Entry'!$B$91:$B$96,0),2)*INDEX(Indicators,ROW(),MATCH("Diesel Combustion",Materials!$1:$1,0)), "")</f>
        <v>2.8350962640000005E-10</v>
      </c>
      <c r="BL12" s="1" cm="1">
        <f t="array" aca="1" ref="BL12" ca="1">IFERROR(INDEX(Electricity_projection,MATCH($B12&amp;$A12,INDEX(Electricity_projection,0,3),0),MATCH(YEAR(TODAY()),Timeline_elec_projec,0)+3)*INDEX(Recyc_mat_energy_input,MATCH(BL$1,'Data Entry'!$B$91:$B$96,0),1)+Diesel_density*INDEX(Recyc_mat_energy_input,MATCH(BL$1,'Data Entry'!$B$91:$B$96,0),2)*INDEX(Indicators,ROW(),MATCH("Diesel Combustion",Materials!$1:$1,0)), "")</f>
        <v>5.320555555555555E-11</v>
      </c>
      <c r="BM12" s="1"/>
      <c r="BN12" s="1">
        <f>IF(Steel_supplier="Pacific Steel",Material_Impacts[[#This Row],[Pacific Steel]],Material_Impacts[[#This Row],[Infrabuild]])</f>
        <v>2.4900000000000001E-12</v>
      </c>
      <c r="BO12" s="1">
        <v>2.4900000000000001E-12</v>
      </c>
      <c r="BP12" s="1">
        <v>3.2178427199999998E-9</v>
      </c>
      <c r="BQ12" s="1">
        <v>6.48975E-7</v>
      </c>
      <c r="BR12" s="1">
        <v>6.4218000000000005E-7</v>
      </c>
      <c r="BS12" s="443"/>
      <c r="BT12" s="450"/>
      <c r="BU12" s="443"/>
      <c r="BV12" s="443">
        <v>1</v>
      </c>
      <c r="BW12" s="1"/>
      <c r="BX12" s="1">
        <v>4.3621700000000002E-8</v>
      </c>
      <c r="BY12" s="1">
        <f t="shared" si="3"/>
        <v>1.0091775592828225E-9</v>
      </c>
      <c r="BZ12" s="1">
        <v>5.9430399999999997E-7</v>
      </c>
      <c r="CA12" s="1">
        <v>0</v>
      </c>
      <c r="CB12">
        <v>1.4966699999999999E-12</v>
      </c>
      <c r="CC12" s="1">
        <v>4.0137699999999998E-7</v>
      </c>
      <c r="CD12" s="378">
        <f t="shared" si="2"/>
        <v>1.44273899322E-8</v>
      </c>
      <c r="CE12" s="208">
        <f t="shared" si="4"/>
        <v>4.1580438993219998E-7</v>
      </c>
      <c r="CF12" s="208"/>
      <c r="CG12" s="208"/>
      <c r="CH12" s="208"/>
      <c r="CI12" s="208"/>
      <c r="CJ12" s="208"/>
      <c r="CK12" s="209"/>
      <c r="CL12" s="209"/>
      <c r="CM12" s="209"/>
      <c r="CN12" s="208"/>
      <c r="CO12" s="208"/>
      <c r="CP12" s="208"/>
      <c r="CQ12" s="208"/>
      <c r="CZ12" s="208"/>
      <c r="DA12" s="208"/>
      <c r="DB12" s="208"/>
    </row>
    <row r="13" spans="1:106" x14ac:dyDescent="0.35">
      <c r="A13" t="s">
        <v>495</v>
      </c>
      <c r="B13" t="s">
        <v>54</v>
      </c>
      <c r="C13" t="s">
        <v>51</v>
      </c>
      <c r="D13" t="str">
        <f>Material_Impacts[[#This Row],[15804 version]]&amp;Material_Impacts[[#This Row],[Methodology]]&amp;Material_Impacts[[#This Row],[Acronym]]</f>
        <v>A1AttributionalPOCP</v>
      </c>
      <c r="E13" t="s">
        <v>743</v>
      </c>
      <c r="F13" t="s">
        <v>744</v>
      </c>
      <c r="G13" s="1">
        <v>-1.8777832046497399E-3</v>
      </c>
      <c r="H13" s="1">
        <v>1.1131885765882361E-3</v>
      </c>
      <c r="I13" s="1">
        <v>2.342309108780803E-4</v>
      </c>
      <c r="J13" s="1">
        <v>-1.8777832046497399E-3</v>
      </c>
      <c r="K13" s="1">
        <v>-1.4822671137701667E-7</v>
      </c>
      <c r="L13" s="1">
        <v>-3.087329709914227E-7</v>
      </c>
      <c r="M13" s="1">
        <v>-1.243896118270753E-7</v>
      </c>
      <c r="N13" s="1"/>
      <c r="O13" s="443"/>
      <c r="P13" s="1">
        <v>8.9296199999999997E-6</v>
      </c>
      <c r="Q13" s="1">
        <v>0</v>
      </c>
      <c r="R13" s="1">
        <v>0</v>
      </c>
      <c r="S13" s="1">
        <v>0</v>
      </c>
      <c r="T13" s="1">
        <v>0</v>
      </c>
      <c r="U13" s="1">
        <v>0</v>
      </c>
      <c r="V13" s="1">
        <f ca="1">IFERROR('Dynamic Materials'!Q22+'Dynamic Materials'!AQ22, 0)</f>
        <v>1.4141563893795944E-4</v>
      </c>
      <c r="W13" s="1">
        <f ca="1">'Dynamic Materials'!R22</f>
        <v>1.3750937991326633E-4</v>
      </c>
      <c r="X13" s="1">
        <f ca="1">'Dynamic Materials'!T22</f>
        <v>1.3465103533195634E-4</v>
      </c>
      <c r="Y13" s="1">
        <f ca="1">IFERROR('Dynamic Materials'!U22+'Dynamic Materials'!AQ22, 0)</f>
        <v>1.375251671696249E-4</v>
      </c>
      <c r="Z13" s="1">
        <f ca="1">IFERROR('Dynamic Materials'!S22+'Dynamic Materials'!AQ22, 0)</f>
        <v>1.3916550362956298E-4</v>
      </c>
      <c r="AA13" s="1">
        <f ca="1">'Dynamic Materials'!W22</f>
        <v>4.5763927100000003E-5</v>
      </c>
      <c r="AB13" s="1">
        <v>1.8000000000000001E-4</v>
      </c>
      <c r="AC13" s="1">
        <v>1.15E-3</v>
      </c>
      <c r="AD13" s="209">
        <f>BZ13+200*Material_Impacts[[#This Row],[Truck (32+t)]]+1130*CB13</f>
        <v>1.6233333083458495E-4</v>
      </c>
      <c r="AE13" s="1">
        <v>1.2999999999999999E-4</v>
      </c>
      <c r="AF13" s="1">
        <v>7.9797099999999999E-6</v>
      </c>
      <c r="AG13" s="1"/>
      <c r="AH13" s="1">
        <v>3.4000000000000002E-4</v>
      </c>
      <c r="AI13" s="209">
        <f>'Dynamic Materials'!AG22</f>
        <v>4.056170400000001E-4</v>
      </c>
      <c r="AJ13" s="1">
        <v>3.4574999999999999E-6</v>
      </c>
      <c r="AK13" s="1">
        <v>3.4353200000000001E-6</v>
      </c>
      <c r="AL13" s="1"/>
      <c r="AM13" s="1">
        <f t="shared" si="0"/>
        <v>2.7320000000000003E-6</v>
      </c>
      <c r="AN13" s="1">
        <v>5.3272899999999999E-6</v>
      </c>
      <c r="AO13" s="1">
        <v>7.7735299999999994E-5</v>
      </c>
      <c r="AP13" s="209">
        <v>8.8699999999999994E-9</v>
      </c>
      <c r="AQ13" s="1">
        <f ca="1">'Dynamic Materials'!O22</f>
        <v>8.1417036004058743E-6</v>
      </c>
      <c r="AR13" s="1">
        <f ca="1">'Dynamic Materials'!P22</f>
        <v>2.8907237350330775E-5</v>
      </c>
      <c r="AS13" s="1"/>
      <c r="AT13" s="1" cm="1">
        <f t="array" aca="1" ref="AT13" ca="1">IFERROR(INDEX(Electricity_projection,MATCH($B13&amp;$A13,INDEX(Electricity_projection,0,3),0),MATCH(YEAR(TODAY()),Timeline_elec_projec,0)+3)*INDEX(Recyc_mat_energy_input,MATCH(AT$1,'Data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-1.7003151592225781E-6</v>
      </c>
      <c r="AU13" s="1" cm="1">
        <f t="array" aca="1" ref="AU13" ca="1">IFERROR(INDEX(Electricity_projection,MATCH($B13&amp;$A13,INDEX(Electricity_projection,0,3),0),MATCH(YEAR(TODAY()),Timeline_elec_projec,0)+3)*INDEX(Recyc_mat_energy_input,MATCH(AU$1,'Data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-1.0213404620493213E-6</v>
      </c>
      <c r="AV13" s="1" cm="1">
        <f t="array" aca="1" ref="AV13" ca="1">IFERROR(INDEX(Electricity_projection,MATCH($B13&amp;$A13,INDEX(Electricity_projection,0,3),0),MATCH(YEAR(TODAY()),Timeline_elec_projec,0)+3)*INDEX(Recyc_mat_energy_input,MATCH(AV$1,'Data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-1.7581803807662278E-7</v>
      </c>
      <c r="AW13" s="1"/>
      <c r="AX13" s="1"/>
      <c r="AY13" s="1"/>
      <c r="AZ13" s="1"/>
      <c r="BA13" s="1"/>
      <c r="BB13" s="1"/>
      <c r="BC13" s="1">
        <f t="shared" si="1"/>
        <v>6.8300000000000007E-5</v>
      </c>
      <c r="BD13" s="1">
        <v>6.8300000000000007E-5</v>
      </c>
      <c r="BE13" s="1">
        <v>1.4300000000000001E-4</v>
      </c>
      <c r="BF13" s="1"/>
      <c r="BG13" s="1">
        <f ca="1">'Dynamic Materials'!V22</f>
        <v>6.5212009312773383E-5</v>
      </c>
      <c r="BH13" s="1"/>
      <c r="BI13" s="1" cm="1">
        <f t="array" aca="1" ref="BI13" ca="1">IFERROR(INDEX(Electricity_projection,MATCH($B13&amp;$A13,INDEX(Electricity_projection,0,3),0),MATCH(YEAR(TODAY()),Timeline_elec_projec,0)+3)*INDEX(Recyc_mat_energy_input,MATCH(BI$1,'Data Entry'!$B$91:$B$96,0),1)+Diesel_density*INDEX(Recyc_mat_energy_input,MATCH(BI$1,'Data Entry'!$B$91:$B$96,0),2)*INDEX(Indicators,ROW(),MATCH("Diesel Combustion",Materials!$1:$1,0)), "")</f>
        <v>0</v>
      </c>
      <c r="BJ13" s="1"/>
      <c r="BK13" s="1" cm="1">
        <f t="array" aca="1" ref="BK13" ca="1">IFERROR(INDEX(Electricity_projection,MATCH($B13&amp;$A13,INDEX(Electricity_projection,0,3),0),MATCH(YEAR(TODAY()),Timeline_elec_projec,0)+3)*INDEX(Recyc_mat_energy_input,MATCH(BK$1,'Data Entry'!$B$91:$B$96,0),1)+Diesel_density*INDEX(Recyc_mat_energy_input,MATCH(BK$1,'Data Entry'!$B$91:$B$96,0),2)*INDEX(Indicators,ROW(),MATCH("Diesel Combustion",Materials!$1:$1,0)), "")</f>
        <v>-8.2900372918876733E-7</v>
      </c>
      <c r="BL13" s="1" cm="1">
        <f t="array" aca="1" ref="BL13" ca="1">IFERROR(INDEX(Electricity_projection,MATCH($B13&amp;$A13,INDEX(Electricity_projection,0,3),0),MATCH(YEAR(TODAY()),Timeline_elec_projec,0)+3)*INDEX(Recyc_mat_energy_input,MATCH(BL$1,'Data Entry'!$B$91:$B$96,0),1)+Diesel_density*INDEX(Recyc_mat_energy_input,MATCH(BL$1,'Data Entry'!$B$91:$B$96,0),2)*INDEX(Indicators,ROW(),MATCH("Diesel Combustion",Materials!$1:$1,0)), "")</f>
        <v>1.5419444444444444E-6</v>
      </c>
      <c r="BM13" s="1"/>
      <c r="BN13" s="1">
        <f>IF(Steel_supplier="Pacific Steel",Material_Impacts[[#This Row],[Pacific Steel]],Material_Impacts[[#This Row],[Infrabuild]])</f>
        <v>1.9300000000000001E-3</v>
      </c>
      <c r="BO13" s="1">
        <v>1.9300000000000001E-3</v>
      </c>
      <c r="BP13" s="1">
        <v>1.4737205259999998E-3</v>
      </c>
      <c r="BQ13">
        <v>2.5000000000000001E-4</v>
      </c>
      <c r="BR13">
        <v>2.0000000000000001E-4</v>
      </c>
      <c r="BS13" s="443"/>
      <c r="BT13" s="450"/>
      <c r="BU13" s="443"/>
      <c r="BV13" s="443">
        <v>1</v>
      </c>
      <c r="BX13" s="1">
        <v>6.5438999999999995E-5</v>
      </c>
      <c r="BY13" s="1">
        <f t="shared" si="3"/>
        <v>1.5139155581260842E-6</v>
      </c>
      <c r="BZ13">
        <v>1.8000000000000001E-4</v>
      </c>
      <c r="CA13" s="1">
        <v>0</v>
      </c>
      <c r="CB13">
        <v>6.3816399999999999E-9</v>
      </c>
      <c r="CC13">
        <v>3.4000000000000002E-4</v>
      </c>
      <c r="CD13" s="378">
        <f t="shared" si="2"/>
        <v>6.1516839842399996E-5</v>
      </c>
      <c r="CE13" s="208">
        <f t="shared" si="4"/>
        <v>4.0151683984240003E-4</v>
      </c>
      <c r="CF13" s="208"/>
      <c r="CG13" s="208"/>
      <c r="CH13" s="208"/>
      <c r="CI13" s="208"/>
      <c r="CJ13" s="208"/>
      <c r="CK13" s="208"/>
      <c r="CL13" s="208"/>
      <c r="CM13" s="209"/>
      <c r="CN13" s="208"/>
      <c r="CO13" s="208"/>
      <c r="CP13" s="208"/>
      <c r="CQ13" s="208"/>
      <c r="CZ13" s="208"/>
      <c r="DA13" s="208"/>
      <c r="DB13" s="208"/>
    </row>
    <row r="14" spans="1:106" x14ac:dyDescent="0.35">
      <c r="A14" t="s">
        <v>497</v>
      </c>
      <c r="B14" t="s">
        <v>54</v>
      </c>
      <c r="C14" t="s">
        <v>51</v>
      </c>
      <c r="D14" t="str">
        <f>Material_Impacts[[#This Row],[15804 version]]&amp;Material_Impacts[[#This Row],[Methodology]]&amp;Material_Impacts[[#This Row],[Acronym]]</f>
        <v>A1AttributionalCFU</v>
      </c>
      <c r="E14" t="s">
        <v>745</v>
      </c>
      <c r="F14" t="s">
        <v>746</v>
      </c>
      <c r="G14" s="1">
        <v>0</v>
      </c>
      <c r="H14" s="1">
        <v>0</v>
      </c>
      <c r="I14" s="1">
        <v>0</v>
      </c>
      <c r="J14" s="1">
        <v>0</v>
      </c>
      <c r="K14" s="1">
        <v>0</v>
      </c>
      <c r="L14" s="1">
        <v>0</v>
      </c>
      <c r="M14" s="1">
        <v>0</v>
      </c>
      <c r="N14" s="1"/>
      <c r="O14" s="443"/>
      <c r="P14" s="1">
        <v>0</v>
      </c>
      <c r="Q14" s="1">
        <v>0</v>
      </c>
      <c r="R14" s="1">
        <v>0</v>
      </c>
      <c r="S14" s="1">
        <v>0</v>
      </c>
      <c r="T14" s="1">
        <v>0</v>
      </c>
      <c r="U14" s="1">
        <v>0</v>
      </c>
      <c r="V14" s="1">
        <f ca="1">IFERROR('Dynamic Materials'!Q23+'Dynamic Materials'!AQ23, 0)</f>
        <v>1.2286007609406925E-4</v>
      </c>
      <c r="W14" s="1">
        <f ca="1">'Dynamic Materials'!R23</f>
        <v>1.2286007609406925E-4</v>
      </c>
      <c r="X14" s="1">
        <f ca="1">'Dynamic Materials'!T23</f>
        <v>1.2286007609406925E-4</v>
      </c>
      <c r="Y14" s="1">
        <f ca="1">IFERROR('Dynamic Materials'!U23+'Dynamic Materials'!AQ23, 0)</f>
        <v>1.2286007609406925E-4</v>
      </c>
      <c r="Z14" s="1">
        <f ca="1">IFERROR('Dynamic Materials'!S23+'Dynamic Materials'!AQ23, 0)</f>
        <v>1.2286007609406925E-4</v>
      </c>
      <c r="AA14" s="1">
        <f ca="1">'Dynamic Materials'!W23</f>
        <v>1.8157000000000003E-5</v>
      </c>
      <c r="AB14" s="1">
        <v>0</v>
      </c>
      <c r="AC14" s="1">
        <v>0</v>
      </c>
      <c r="AD14" s="209">
        <f>BZ14+200*Material_Impacts[[#This Row],[Truck (32+t)]]+1130*CB14</f>
        <v>0</v>
      </c>
      <c r="AE14" s="1">
        <v>0</v>
      </c>
      <c r="AF14" s="1">
        <v>0</v>
      </c>
      <c r="AG14" s="1"/>
      <c r="AH14" s="1">
        <v>0</v>
      </c>
      <c r="AI14" s="209">
        <f>'Dynamic Materials'!AG23</f>
        <v>0</v>
      </c>
      <c r="AJ14" s="1">
        <v>0</v>
      </c>
      <c r="AK14" s="1">
        <v>0</v>
      </c>
      <c r="AL14" s="1"/>
      <c r="AM14" s="1">
        <f t="shared" si="0"/>
        <v>1.0840000000000001E-6</v>
      </c>
      <c r="AN14" s="1">
        <v>0</v>
      </c>
      <c r="AO14" s="1">
        <v>0</v>
      </c>
      <c r="AP14" s="209">
        <v>0</v>
      </c>
      <c r="AQ14" s="1">
        <f ca="1">'Dynamic Materials'!O23</f>
        <v>0</v>
      </c>
      <c r="AR14" s="1">
        <f ca="1">'Dynamic Materials'!P23</f>
        <v>0</v>
      </c>
      <c r="AS14" s="1"/>
      <c r="AT14" s="1" cm="1">
        <f t="array" aca="1" ref="AT14" ca="1">IFERROR(INDEX(Electricity_projection,MATCH($B14&amp;$A14,INDEX(Electricity_projection,0,3),0),MATCH(YEAR(TODAY()),Timeline_elec_projec,0)+3)*INDEX(Recyc_mat_energy_input,MATCH(AT$1,'Data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14" s="1" cm="1">
        <f t="array" aca="1" ref="AU14" ca="1">IFERROR(INDEX(Electricity_projection,MATCH($B14&amp;$A14,INDEX(Electricity_projection,0,3),0),MATCH(YEAR(TODAY()),Timeline_elec_projec,0)+3)*INDEX(Recyc_mat_energy_input,MATCH(AU$1,'Data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14" s="1" cm="1">
        <f t="array" aca="1" ref="AV14" ca="1">IFERROR(INDEX(Electricity_projection,MATCH($B14&amp;$A14,INDEX(Electricity_projection,0,3),0),MATCH(YEAR(TODAY()),Timeline_elec_projec,0)+3)*INDEX(Recyc_mat_energy_input,MATCH(AV$1,'Data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14" s="1"/>
      <c r="AX14" s="1"/>
      <c r="AY14" s="1"/>
      <c r="AZ14" s="1"/>
      <c r="BA14" s="1"/>
      <c r="BB14" s="1"/>
      <c r="BC14" s="1">
        <f t="shared" si="1"/>
        <v>2.7100000000000001E-5</v>
      </c>
      <c r="BD14" s="1">
        <v>2.7100000000000001E-5</v>
      </c>
      <c r="BE14" s="1">
        <v>0</v>
      </c>
      <c r="BF14" s="1"/>
      <c r="BG14" s="1">
        <f ca="1">'Dynamic Materials'!V23</f>
        <v>3.252E-6</v>
      </c>
      <c r="BH14" s="1"/>
      <c r="BI14" s="1" t="str" cm="1">
        <f t="array" aca="1" ref="BI14" ca="1">IFERROR(INDEX(Electricity_projection,MATCH($B14&amp;$A14,INDEX(Electricity_projection,0,3),0),MATCH(YEAR(TODAY()),Timeline_elec_projec,0)+3)*INDEX(Recyc_mat_energy_input,MATCH(BI$1,'Data Entry'!$B$91:$B$96,0),1)+Diesel_density*INDEX(Recyc_mat_energy_input,MATCH(BI$1,'Data Entry'!$B$91:$B$96,0),2)*INDEX(Indicators,ROW(),MATCH("Diesel Combustion",Materials!$1:$1,0)), "")</f>
        <v/>
      </c>
      <c r="BJ14" s="1"/>
      <c r="BK14" s="1" t="str" cm="1">
        <f t="array" aca="1" ref="BK14" ca="1">IFERROR(INDEX(Electricity_projection,MATCH($B14&amp;$A14,INDEX(Electricity_projection,0,3),0),MATCH(YEAR(TODAY()),Timeline_elec_projec,0)+3)*INDEX(Recyc_mat_energy_input,MATCH(BK$1,'Data Entry'!$B$91:$B$96,0),1)+Diesel_density*INDEX(Recyc_mat_energy_input,MATCH(BK$1,'Data Entry'!$B$91:$B$96,0),2)*INDEX(Indicators,ROW(),MATCH("Diesel Combustion",Materials!$1:$1,0)), "")</f>
        <v/>
      </c>
      <c r="BL14" s="1" t="str" cm="1">
        <f t="array" aca="1" ref="BL14" ca="1">IFERROR(INDEX(Electricity_projection,MATCH($B14&amp;$A14,INDEX(Electricity_projection,0,3),0),MATCH(YEAR(TODAY()),Timeline_elec_projec,0)+3)*INDEX(Recyc_mat_energy_input,MATCH(BL$1,'Data Entry'!$B$91:$B$96,0),1)+Diesel_density*INDEX(Recyc_mat_energy_input,MATCH(BL$1,'Data Entry'!$B$91:$B$96,0),2)*INDEX(Indicators,ROW(),MATCH("Diesel Combustion",Materials!$1:$1,0)), "")</f>
        <v/>
      </c>
      <c r="BM14" s="1"/>
      <c r="BN14" s="1">
        <f>IF(Steel_supplier="Pacific Steel",Material_Impacts[[#This Row],[Pacific Steel]],Material_Impacts[[#This Row],[Infrabuild]])</f>
        <v>0</v>
      </c>
      <c r="BO14" s="1">
        <v>0</v>
      </c>
      <c r="BP14" s="1">
        <v>0</v>
      </c>
      <c r="BQ14">
        <v>0</v>
      </c>
      <c r="BR14">
        <v>0</v>
      </c>
      <c r="BS14" s="443"/>
      <c r="BT14" s="443"/>
      <c r="BU14" s="443"/>
      <c r="BV14" s="443">
        <v>1</v>
      </c>
      <c r="BX14" s="1">
        <v>0</v>
      </c>
      <c r="BY14" s="1">
        <f t="shared" si="3"/>
        <v>0</v>
      </c>
      <c r="BZ14">
        <v>0</v>
      </c>
      <c r="CA14" s="1">
        <v>0</v>
      </c>
      <c r="CB14">
        <v>0</v>
      </c>
      <c r="CC14">
        <v>0</v>
      </c>
      <c r="CD14" s="378">
        <f t="shared" si="2"/>
        <v>0</v>
      </c>
      <c r="CE14" s="208">
        <f t="shared" si="4"/>
        <v>0</v>
      </c>
      <c r="CF14" s="208"/>
      <c r="CG14" s="208"/>
      <c r="CH14" s="208"/>
      <c r="CI14" s="208"/>
      <c r="CJ14" s="208"/>
      <c r="CK14" s="208"/>
      <c r="CL14" s="208"/>
      <c r="CM14" s="208"/>
      <c r="CN14" s="208"/>
      <c r="CO14" s="208"/>
      <c r="CP14" s="208"/>
      <c r="CQ14" s="208"/>
      <c r="CZ14" s="208"/>
      <c r="DA14" s="208"/>
      <c r="DB14" s="208"/>
    </row>
    <row r="15" spans="1:106" x14ac:dyDescent="0.35">
      <c r="A15" t="s">
        <v>499</v>
      </c>
      <c r="B15" t="s">
        <v>54</v>
      </c>
      <c r="C15" t="s">
        <v>51</v>
      </c>
      <c r="D15" t="str">
        <f>Material_Impacts[[#This Row],[15804 version]]&amp;Material_Impacts[[#This Row],[Methodology]]&amp;Material_Impacts[[#This Row],[Acronym]]</f>
        <v>A1AttributionalEE</v>
      </c>
      <c r="E15" t="s">
        <v>747</v>
      </c>
      <c r="F15" t="s">
        <v>748</v>
      </c>
      <c r="G15" s="1">
        <v>0</v>
      </c>
      <c r="H15" s="1">
        <v>0</v>
      </c>
      <c r="I15" s="1">
        <v>0</v>
      </c>
      <c r="J15" s="1">
        <v>0</v>
      </c>
      <c r="K15" s="1">
        <v>0</v>
      </c>
      <c r="L15" s="1">
        <v>0</v>
      </c>
      <c r="M15" s="1">
        <v>0</v>
      </c>
      <c r="N15" s="1"/>
      <c r="O15" s="443"/>
      <c r="P15" s="1">
        <v>0</v>
      </c>
      <c r="Q15" s="1">
        <v>0</v>
      </c>
      <c r="R15" s="1">
        <v>0</v>
      </c>
      <c r="S15" s="1">
        <v>0</v>
      </c>
      <c r="T15" s="1">
        <v>0</v>
      </c>
      <c r="U15" s="1">
        <v>0</v>
      </c>
      <c r="V15" s="1">
        <f ca="1">IFERROR('Dynamic Materials'!Q24+'Dynamic Materials'!AQ24, 0)</f>
        <v>1.2286007609406925E-4</v>
      </c>
      <c r="W15" s="1">
        <f ca="1">'Dynamic Materials'!R24</f>
        <v>1.2286007609406925E-4</v>
      </c>
      <c r="X15" s="1">
        <f ca="1">'Dynamic Materials'!T24</f>
        <v>1.2286007609406925E-4</v>
      </c>
      <c r="Y15" s="1">
        <f ca="1">IFERROR('Dynamic Materials'!U24+'Dynamic Materials'!AQ24, 0)</f>
        <v>1.2286007609406925E-4</v>
      </c>
      <c r="Z15" s="1">
        <f ca="1">IFERROR('Dynamic Materials'!S24+'Dynamic Materials'!AQ24, 0)</f>
        <v>1.2286007609406925E-4</v>
      </c>
      <c r="AA15" s="1">
        <f ca="1">'Dynamic Materials'!W24</f>
        <v>0</v>
      </c>
      <c r="AB15" s="1">
        <v>0</v>
      </c>
      <c r="AC15" s="1">
        <v>0</v>
      </c>
      <c r="AD15" s="209">
        <f>BZ15+200*Material_Impacts[[#This Row],[Truck (32+t)]]+1130*CB15</f>
        <v>0</v>
      </c>
      <c r="AE15" s="1">
        <v>0</v>
      </c>
      <c r="AF15" s="1">
        <v>0</v>
      </c>
      <c r="AG15" s="1"/>
      <c r="AH15" s="1">
        <v>0</v>
      </c>
      <c r="AI15" s="209">
        <f>'Dynamic Materials'!AG24</f>
        <v>0</v>
      </c>
      <c r="AJ15" s="1">
        <v>0</v>
      </c>
      <c r="AK15" s="1">
        <v>0</v>
      </c>
      <c r="AL15" s="1"/>
      <c r="AM15" s="1">
        <f t="shared" si="0"/>
        <v>0</v>
      </c>
      <c r="AN15" s="1">
        <v>0</v>
      </c>
      <c r="AO15" s="1">
        <v>0</v>
      </c>
      <c r="AP15" s="209">
        <v>0</v>
      </c>
      <c r="AQ15" s="1">
        <f ca="1">'Dynamic Materials'!O24</f>
        <v>0</v>
      </c>
      <c r="AR15" s="1">
        <f ca="1">'Dynamic Materials'!P24</f>
        <v>0</v>
      </c>
      <c r="AS15" s="1"/>
      <c r="AT15" s="1" cm="1">
        <f t="array" aca="1" ref="AT15" ca="1">IFERROR(INDEX(Electricity_projection,MATCH($B15&amp;$A15,INDEX(Electricity_projection,0,3),0),MATCH(YEAR(TODAY()),Timeline_elec_projec,0)+3)*INDEX(Recyc_mat_energy_input,MATCH(AT$1,'Data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15" s="1" cm="1">
        <f t="array" aca="1" ref="AU15" ca="1">IFERROR(INDEX(Electricity_projection,MATCH($B15&amp;$A15,INDEX(Electricity_projection,0,3),0),MATCH(YEAR(TODAY()),Timeline_elec_projec,0)+3)*INDEX(Recyc_mat_energy_input,MATCH(AU$1,'Data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15" s="1" cm="1">
        <f t="array" aca="1" ref="AV15" ca="1">IFERROR(INDEX(Electricity_projection,MATCH($B15&amp;$A15,INDEX(Electricity_projection,0,3),0),MATCH(YEAR(TODAY()),Timeline_elec_projec,0)+3)*INDEX(Recyc_mat_energy_input,MATCH(AV$1,'Data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15" s="1"/>
      <c r="AX15" s="1"/>
      <c r="AY15" s="1"/>
      <c r="AZ15" s="1"/>
      <c r="BA15" s="1"/>
      <c r="BB15" s="1"/>
      <c r="BC15" s="1">
        <f t="shared" si="1"/>
        <v>0</v>
      </c>
      <c r="BD15" s="1">
        <v>0</v>
      </c>
      <c r="BE15" s="1">
        <v>0.30099999999999999</v>
      </c>
      <c r="BF15" s="1"/>
      <c r="BG15" s="1">
        <f ca="1">'Dynamic Materials'!V24</f>
        <v>0</v>
      </c>
      <c r="BH15" s="1"/>
      <c r="BI15" s="1" t="str" cm="1">
        <f t="array" aca="1" ref="BI15" ca="1">IFERROR(INDEX(Electricity_projection,MATCH($B15&amp;$A15,INDEX(Electricity_projection,0,3),0),MATCH(YEAR(TODAY()),Timeline_elec_projec,0)+3)*INDEX(Recyc_mat_energy_input,MATCH(BI$1,'Data Entry'!$B$91:$B$96,0),1)+Diesel_density*INDEX(Recyc_mat_energy_input,MATCH(BI$1,'Data Entry'!$B$91:$B$96,0),2)*INDEX(Indicators,ROW(),MATCH("Diesel Combustion",Materials!$1:$1,0)), "")</f>
        <v/>
      </c>
      <c r="BJ15" s="1"/>
      <c r="BK15" s="1" t="str" cm="1">
        <f t="array" aca="1" ref="BK15" ca="1">IFERROR(INDEX(Electricity_projection,MATCH($B15&amp;$A15,INDEX(Electricity_projection,0,3),0),MATCH(YEAR(TODAY()),Timeline_elec_projec,0)+3)*INDEX(Recyc_mat_energy_input,MATCH(BK$1,'Data Entry'!$B$91:$B$96,0),1)+Diesel_density*INDEX(Recyc_mat_energy_input,MATCH(BK$1,'Data Entry'!$B$91:$B$96,0),2)*INDEX(Indicators,ROW(),MATCH("Diesel Combustion",Materials!$1:$1,0)), "")</f>
        <v/>
      </c>
      <c r="BL15" s="1" t="str" cm="1">
        <f t="array" aca="1" ref="BL15" ca="1">IFERROR(INDEX(Electricity_projection,MATCH($B15&amp;$A15,INDEX(Electricity_projection,0,3),0),MATCH(YEAR(TODAY()),Timeline_elec_projec,0)+3)*INDEX(Recyc_mat_energy_input,MATCH(BL$1,'Data Entry'!$B$91:$B$96,0),1)+Diesel_density*INDEX(Recyc_mat_energy_input,MATCH(BL$1,'Data Entry'!$B$91:$B$96,0),2)*INDEX(Indicators,ROW(),MATCH("Diesel Combustion",Materials!$1:$1,0)), "")</f>
        <v/>
      </c>
      <c r="BM15" s="1"/>
      <c r="BN15" s="1">
        <f>IF(Steel_supplier="Pacific Steel",Material_Impacts[[#This Row],[Pacific Steel]],Material_Impacts[[#This Row],[Infrabuild]])</f>
        <v>0</v>
      </c>
      <c r="BO15" s="1">
        <v>0</v>
      </c>
      <c r="BP15" s="1">
        <v>0</v>
      </c>
      <c r="BQ15">
        <v>0</v>
      </c>
      <c r="BR15">
        <v>0</v>
      </c>
      <c r="BS15" s="443"/>
      <c r="BT15" s="443"/>
      <c r="BU15" s="443"/>
      <c r="BV15" s="443">
        <v>1</v>
      </c>
      <c r="BX15" s="1">
        <v>0</v>
      </c>
      <c r="BY15" s="1">
        <f t="shared" si="3"/>
        <v>0</v>
      </c>
      <c r="BZ15">
        <v>0</v>
      </c>
      <c r="CA15" s="1">
        <v>0</v>
      </c>
      <c r="CB15">
        <v>0</v>
      </c>
      <c r="CC15">
        <v>0</v>
      </c>
      <c r="CD15" s="378">
        <f t="shared" si="2"/>
        <v>0</v>
      </c>
      <c r="CE15" s="208">
        <f t="shared" si="4"/>
        <v>0</v>
      </c>
      <c r="CF15" s="208"/>
      <c r="CG15" s="208"/>
      <c r="CH15" s="208"/>
      <c r="CI15" s="208"/>
      <c r="CJ15" s="208"/>
      <c r="CK15" s="208"/>
      <c r="CL15" s="208"/>
      <c r="CM15" s="208"/>
      <c r="CN15" s="208"/>
      <c r="CO15" s="208"/>
      <c r="CP15" s="208"/>
      <c r="CQ15" s="208"/>
      <c r="CZ15" s="208"/>
      <c r="DA15" s="208"/>
      <c r="DB15" s="208"/>
    </row>
    <row r="16" spans="1:106" x14ac:dyDescent="0.35">
      <c r="A16" t="s">
        <v>501</v>
      </c>
      <c r="B16" t="s">
        <v>54</v>
      </c>
      <c r="C16" t="s">
        <v>51</v>
      </c>
      <c r="D16" t="str">
        <f>Material_Impacts[[#This Row],[15804 version]]&amp;Material_Impacts[[#This Row],[Methodology]]&amp;Material_Impacts[[#This Row],[Acronym]]</f>
        <v>A1AttributionalMER</v>
      </c>
      <c r="E16" t="s">
        <v>749</v>
      </c>
      <c r="F16" t="s">
        <v>750</v>
      </c>
      <c r="G16" s="1">
        <v>0</v>
      </c>
      <c r="H16" s="1">
        <v>0</v>
      </c>
      <c r="I16" s="1">
        <v>0</v>
      </c>
      <c r="J16" s="1">
        <v>0</v>
      </c>
      <c r="K16" s="1">
        <v>0</v>
      </c>
      <c r="L16" s="1">
        <v>0</v>
      </c>
      <c r="M16" s="1">
        <v>0</v>
      </c>
      <c r="N16" s="1"/>
      <c r="O16" s="443"/>
      <c r="P16" s="1">
        <v>0</v>
      </c>
      <c r="Q16" s="1">
        <v>0</v>
      </c>
      <c r="R16" s="1">
        <v>0</v>
      </c>
      <c r="S16" s="1">
        <v>0</v>
      </c>
      <c r="T16" s="1">
        <v>0</v>
      </c>
      <c r="U16" s="1">
        <v>0</v>
      </c>
      <c r="V16" s="1">
        <f ca="1">IFERROR('Dynamic Materials'!Q25+'Dynamic Materials'!AQ25, 0)</f>
        <v>1.2286007609406925E-4</v>
      </c>
      <c r="W16" s="1">
        <f ca="1">'Dynamic Materials'!R25</f>
        <v>1.2286007609406925E-4</v>
      </c>
      <c r="X16" s="1">
        <f ca="1">'Dynamic Materials'!T25</f>
        <v>1.2286007609406925E-4</v>
      </c>
      <c r="Y16" s="1">
        <f ca="1">IFERROR('Dynamic Materials'!U25+'Dynamic Materials'!AQ25, 0)</f>
        <v>1.2286007609406925E-4</v>
      </c>
      <c r="Z16" s="1">
        <f ca="1">IFERROR('Dynamic Materials'!S25+'Dynamic Materials'!AQ25, 0)</f>
        <v>1.2286007609406925E-4</v>
      </c>
      <c r="AA16" s="1">
        <f ca="1">'Dynamic Materials'!W25</f>
        <v>0</v>
      </c>
      <c r="AB16" s="1">
        <v>0</v>
      </c>
      <c r="AC16" s="1">
        <v>0</v>
      </c>
      <c r="AD16" s="209">
        <f>BZ16+200*Material_Impacts[[#This Row],[Truck (32+t)]]+1130*CB16</f>
        <v>0</v>
      </c>
      <c r="AE16" s="1">
        <v>0</v>
      </c>
      <c r="AF16" s="1">
        <v>0</v>
      </c>
      <c r="AG16" s="1"/>
      <c r="AH16" s="1">
        <v>0</v>
      </c>
      <c r="AI16" s="209">
        <f>'Dynamic Materials'!AG25</f>
        <v>0</v>
      </c>
      <c r="AJ16" s="1">
        <v>0</v>
      </c>
      <c r="AK16" s="1">
        <v>0</v>
      </c>
      <c r="AL16" s="1"/>
      <c r="AM16" s="1">
        <f t="shared" si="0"/>
        <v>0</v>
      </c>
      <c r="AN16" s="1">
        <v>0</v>
      </c>
      <c r="AO16" s="1">
        <v>0</v>
      </c>
      <c r="AP16" s="209">
        <v>0</v>
      </c>
      <c r="AQ16" s="1">
        <f ca="1">'Dynamic Materials'!O25</f>
        <v>0</v>
      </c>
      <c r="AR16" s="1">
        <f ca="1">'Dynamic Materials'!P25</f>
        <v>0</v>
      </c>
      <c r="AS16" s="1"/>
      <c r="AT16" s="1" cm="1">
        <f t="array" aca="1" ref="AT16" ca="1">IFERROR(INDEX(Electricity_projection,MATCH($B16&amp;$A16,INDEX(Electricity_projection,0,3),0),MATCH(YEAR(TODAY()),Timeline_elec_projec,0)+3)*INDEX(Recyc_mat_energy_input,MATCH(AT$1,'Data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16" s="1" cm="1">
        <f t="array" aca="1" ref="AU16" ca="1">IFERROR(INDEX(Electricity_projection,MATCH($B16&amp;$A16,INDEX(Electricity_projection,0,3),0),MATCH(YEAR(TODAY()),Timeline_elec_projec,0)+3)*INDEX(Recyc_mat_energy_input,MATCH(AU$1,'Data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16" s="1" cm="1">
        <f t="array" aca="1" ref="AV16" ca="1">IFERROR(INDEX(Electricity_projection,MATCH($B16&amp;$A16,INDEX(Electricity_projection,0,3),0),MATCH(YEAR(TODAY()),Timeline_elec_projec,0)+3)*INDEX(Recyc_mat_energy_input,MATCH(AV$1,'Data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16" s="1"/>
      <c r="AX16" s="1"/>
      <c r="AY16" s="1"/>
      <c r="AZ16" s="1"/>
      <c r="BA16" s="1"/>
      <c r="BB16" s="1"/>
      <c r="BC16" s="1">
        <f t="shared" si="1"/>
        <v>0</v>
      </c>
      <c r="BD16" s="1">
        <v>0</v>
      </c>
      <c r="BE16" s="1">
        <v>0</v>
      </c>
      <c r="BF16" s="1"/>
      <c r="BG16" s="1">
        <f ca="1">'Dynamic Materials'!V25</f>
        <v>0</v>
      </c>
      <c r="BH16" s="1"/>
      <c r="BI16" s="1" t="str" cm="1">
        <f t="array" aca="1" ref="BI16" ca="1">IFERROR(INDEX(Electricity_projection,MATCH($B16&amp;$A16,INDEX(Electricity_projection,0,3),0),MATCH(YEAR(TODAY()),Timeline_elec_projec,0)+3)*INDEX(Recyc_mat_energy_input,MATCH(BI$1,'Data Entry'!$B$91:$B$96,0),1)+Diesel_density*INDEX(Recyc_mat_energy_input,MATCH(BI$1,'Data Entry'!$B$91:$B$96,0),2)*INDEX(Indicators,ROW(),MATCH("Diesel Combustion",Materials!$1:$1,0)), "")</f>
        <v/>
      </c>
      <c r="BJ16" s="1"/>
      <c r="BK16" s="1" t="str" cm="1">
        <f t="array" aca="1" ref="BK16" ca="1">IFERROR(INDEX(Electricity_projection,MATCH($B16&amp;$A16,INDEX(Electricity_projection,0,3),0),MATCH(YEAR(TODAY()),Timeline_elec_projec,0)+3)*INDEX(Recyc_mat_energy_input,MATCH(BK$1,'Data Entry'!$B$91:$B$96,0),1)+Diesel_density*INDEX(Recyc_mat_energy_input,MATCH(BK$1,'Data Entry'!$B$91:$B$96,0),2)*INDEX(Indicators,ROW(),MATCH("Diesel Combustion",Materials!$1:$1,0)), "")</f>
        <v/>
      </c>
      <c r="BL16" s="1" t="str" cm="1">
        <f t="array" aca="1" ref="BL16" ca="1">IFERROR(INDEX(Electricity_projection,MATCH($B16&amp;$A16,INDEX(Electricity_projection,0,3),0),MATCH(YEAR(TODAY()),Timeline_elec_projec,0)+3)*INDEX(Recyc_mat_energy_input,MATCH(BL$1,'Data Entry'!$B$91:$B$96,0),1)+Diesel_density*INDEX(Recyc_mat_energy_input,MATCH(BL$1,'Data Entry'!$B$91:$B$96,0),2)*INDEX(Indicators,ROW(),MATCH("Diesel Combustion",Materials!$1:$1,0)), "")</f>
        <v/>
      </c>
      <c r="BM16" s="1"/>
      <c r="BN16" s="1">
        <f>IF(Steel_supplier="Pacific Steel",Material_Impacts[[#This Row],[Pacific Steel]],Material_Impacts[[#This Row],[Infrabuild]])</f>
        <v>0</v>
      </c>
      <c r="BO16" s="1">
        <v>0</v>
      </c>
      <c r="BP16" s="1">
        <v>5.0199999999999995E-4</v>
      </c>
      <c r="BQ16">
        <v>0</v>
      </c>
      <c r="BR16">
        <v>0</v>
      </c>
      <c r="BS16" s="443"/>
      <c r="BT16" s="443"/>
      <c r="BU16" s="443"/>
      <c r="BV16" s="443">
        <v>1</v>
      </c>
      <c r="BX16" s="1">
        <v>0</v>
      </c>
      <c r="BY16" s="1">
        <f t="shared" si="3"/>
        <v>0</v>
      </c>
      <c r="BZ16">
        <v>0</v>
      </c>
      <c r="CA16" s="1">
        <v>0</v>
      </c>
      <c r="CB16">
        <v>0</v>
      </c>
      <c r="CC16">
        <v>0</v>
      </c>
      <c r="CD16" s="378">
        <f t="shared" si="2"/>
        <v>0</v>
      </c>
      <c r="CE16" s="208">
        <f t="shared" si="4"/>
        <v>0</v>
      </c>
      <c r="CF16" s="208"/>
      <c r="CG16" s="208"/>
      <c r="CH16" s="208"/>
      <c r="CI16" s="208"/>
      <c r="CJ16" s="208"/>
      <c r="CK16" s="208"/>
      <c r="CL16" s="208"/>
      <c r="CM16" s="208"/>
      <c r="CN16" s="208"/>
      <c r="CO16" s="208"/>
      <c r="CP16" s="208"/>
      <c r="CQ16" s="208"/>
      <c r="CZ16" s="208"/>
      <c r="DA16" s="208"/>
      <c r="DB16" s="208"/>
    </row>
    <row r="17" spans="1:106" x14ac:dyDescent="0.35">
      <c r="A17" t="s">
        <v>503</v>
      </c>
      <c r="B17" t="s">
        <v>54</v>
      </c>
      <c r="C17" t="s">
        <v>51</v>
      </c>
      <c r="D17" t="str">
        <f>Material_Impacts[[#This Row],[15804 version]]&amp;Material_Impacts[[#This Row],[Methodology]]&amp;Material_Impacts[[#This Row],[Acronym]]</f>
        <v>A1AttributionalMFR</v>
      </c>
      <c r="E17" t="s">
        <v>751</v>
      </c>
      <c r="F17" t="s">
        <v>752</v>
      </c>
      <c r="G17" s="1">
        <v>0</v>
      </c>
      <c r="H17" s="1">
        <v>0</v>
      </c>
      <c r="I17" s="1">
        <v>0</v>
      </c>
      <c r="J17" s="1">
        <v>0</v>
      </c>
      <c r="K17" s="1">
        <v>0</v>
      </c>
      <c r="L17" s="1">
        <v>0</v>
      </c>
      <c r="M17" s="1">
        <v>0</v>
      </c>
      <c r="N17" s="1"/>
      <c r="O17" s="443"/>
      <c r="P17" s="1">
        <v>0</v>
      </c>
      <c r="Q17" s="1">
        <v>0</v>
      </c>
      <c r="R17" s="1">
        <v>0</v>
      </c>
      <c r="S17" s="1">
        <v>0</v>
      </c>
      <c r="T17" s="1">
        <v>0</v>
      </c>
      <c r="U17" s="1">
        <v>0</v>
      </c>
      <c r="V17" s="1">
        <f ca="1">IFERROR('Dynamic Materials'!Q26+'Dynamic Materials'!AQ26, 0)</f>
        <v>1.2286007609406925E-4</v>
      </c>
      <c r="W17" s="1">
        <f ca="1">'Dynamic Materials'!R26</f>
        <v>1.2286007609406925E-4</v>
      </c>
      <c r="X17" s="1">
        <f ca="1">'Dynamic Materials'!T26</f>
        <v>1.2286007609406925E-4</v>
      </c>
      <c r="Y17" s="1">
        <f ca="1">IFERROR('Dynamic Materials'!U26+'Dynamic Materials'!AQ26, 0)</f>
        <v>1.2286007609406925E-4</v>
      </c>
      <c r="Z17" s="1">
        <f ca="1">IFERROR('Dynamic Materials'!S26+'Dynamic Materials'!AQ26, 0)</f>
        <v>1.2286007609406925E-4</v>
      </c>
      <c r="AA17" s="1">
        <f ca="1">'Dynamic Materials'!W26</f>
        <v>0</v>
      </c>
      <c r="AB17" s="1">
        <v>0</v>
      </c>
      <c r="AC17" s="1">
        <v>0</v>
      </c>
      <c r="AD17" s="209">
        <f>BZ17+200*Material_Impacts[[#This Row],[Truck (32+t)]]+1130*CB17</f>
        <v>0</v>
      </c>
      <c r="AE17" s="1">
        <v>0</v>
      </c>
      <c r="AF17" s="1">
        <v>0</v>
      </c>
      <c r="AG17" s="1"/>
      <c r="AH17" s="1">
        <v>0</v>
      </c>
      <c r="AI17" s="209">
        <f>'Dynamic Materials'!AG26</f>
        <v>0</v>
      </c>
      <c r="AJ17" s="1">
        <v>0</v>
      </c>
      <c r="AK17" s="1">
        <v>0</v>
      </c>
      <c r="AL17" s="1"/>
      <c r="AM17" s="1">
        <f t="shared" si="0"/>
        <v>0</v>
      </c>
      <c r="AN17" s="1">
        <v>0</v>
      </c>
      <c r="AO17" s="1">
        <v>0</v>
      </c>
      <c r="AP17" s="209">
        <v>0</v>
      </c>
      <c r="AQ17" s="1">
        <f ca="1">'Dynamic Materials'!O26</f>
        <v>0</v>
      </c>
      <c r="AR17" s="1">
        <f ca="1">'Dynamic Materials'!P26</f>
        <v>0</v>
      </c>
      <c r="AS17" s="1"/>
      <c r="AT17" s="1" cm="1">
        <f t="array" aca="1" ref="AT17" ca="1">IFERROR(INDEX(Electricity_projection,MATCH($B17&amp;$A17,INDEX(Electricity_projection,0,3),0),MATCH(YEAR(TODAY()),Timeline_elec_projec,0)+3)*INDEX(Recyc_mat_energy_input,MATCH(AT$1,'Data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17" s="1" cm="1">
        <f t="array" aca="1" ref="AU17" ca="1">IFERROR(INDEX(Electricity_projection,MATCH($B17&amp;$A17,INDEX(Electricity_projection,0,3),0),MATCH(YEAR(TODAY()),Timeline_elec_projec,0)+3)*INDEX(Recyc_mat_energy_input,MATCH(AU$1,'Data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17" s="1" cm="1">
        <f t="array" aca="1" ref="AV17" ca="1">IFERROR(INDEX(Electricity_projection,MATCH($B17&amp;$A17,INDEX(Electricity_projection,0,3),0),MATCH(YEAR(TODAY()),Timeline_elec_projec,0)+3)*INDEX(Recyc_mat_energy_input,MATCH(AV$1,'Data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17" s="1"/>
      <c r="AX17" s="1"/>
      <c r="AY17" s="1"/>
      <c r="AZ17" s="1"/>
      <c r="BA17" s="1"/>
      <c r="BB17" s="1"/>
      <c r="BC17" s="1">
        <f t="shared" si="1"/>
        <v>0</v>
      </c>
      <c r="BD17" s="1">
        <v>0</v>
      </c>
      <c r="BE17" s="1">
        <v>0</v>
      </c>
      <c r="BF17" s="1"/>
      <c r="BG17" s="1">
        <f ca="1">'Dynamic Materials'!V26</f>
        <v>0</v>
      </c>
      <c r="BH17" s="1"/>
      <c r="BI17" s="1" t="str" cm="1">
        <f t="array" aca="1" ref="BI17" ca="1">IFERROR(INDEX(Electricity_projection,MATCH($B17&amp;$A17,INDEX(Electricity_projection,0,3),0),MATCH(YEAR(TODAY()),Timeline_elec_projec,0)+3)*INDEX(Recyc_mat_energy_input,MATCH(BI$1,'Data Entry'!$B$91:$B$96,0),1)+Diesel_density*INDEX(Recyc_mat_energy_input,MATCH(BI$1,'Data Entry'!$B$91:$B$96,0),2)*INDEX(Indicators,ROW(),MATCH("Diesel Combustion",Materials!$1:$1,0)), "")</f>
        <v/>
      </c>
      <c r="BJ17" s="1"/>
      <c r="BK17" s="1" t="str" cm="1">
        <f t="array" aca="1" ref="BK17" ca="1">IFERROR(INDEX(Electricity_projection,MATCH($B17&amp;$A17,INDEX(Electricity_projection,0,3),0),MATCH(YEAR(TODAY()),Timeline_elec_projec,0)+3)*INDEX(Recyc_mat_energy_input,MATCH(BK$1,'Data Entry'!$B$91:$B$96,0),1)+Diesel_density*INDEX(Recyc_mat_energy_input,MATCH(BK$1,'Data Entry'!$B$91:$B$96,0),2)*INDEX(Indicators,ROW(),MATCH("Diesel Combustion",Materials!$1:$1,0)), "")</f>
        <v/>
      </c>
      <c r="BL17" s="1" t="str" cm="1">
        <f t="array" aca="1" ref="BL17" ca="1">IFERROR(INDEX(Electricity_projection,MATCH($B17&amp;$A17,INDEX(Electricity_projection,0,3),0),MATCH(YEAR(TODAY()),Timeline_elec_projec,0)+3)*INDEX(Recyc_mat_energy_input,MATCH(BL$1,'Data Entry'!$B$91:$B$96,0),1)+Diesel_density*INDEX(Recyc_mat_energy_input,MATCH(BL$1,'Data Entry'!$B$91:$B$96,0),2)*INDEX(Indicators,ROW(),MATCH("Diesel Combustion",Materials!$1:$1,0)), "")</f>
        <v/>
      </c>
      <c r="BM17" s="1"/>
      <c r="BN17" s="1">
        <f>IF(Steel_supplier="Pacific Steel",Material_Impacts[[#This Row],[Pacific Steel]],Material_Impacts[[#This Row],[Infrabuild]])</f>
        <v>0</v>
      </c>
      <c r="BO17" s="1">
        <v>0</v>
      </c>
      <c r="BP17" s="1">
        <v>7.5200000000000003E-2</v>
      </c>
      <c r="BQ17">
        <v>0</v>
      </c>
      <c r="BR17">
        <v>0</v>
      </c>
      <c r="BS17" s="443"/>
      <c r="BT17" s="443"/>
      <c r="BU17" s="443"/>
      <c r="BV17" s="443">
        <v>1</v>
      </c>
      <c r="BX17" s="1">
        <v>0</v>
      </c>
      <c r="BY17" s="1">
        <f t="shared" si="3"/>
        <v>0</v>
      </c>
      <c r="BZ17">
        <v>0</v>
      </c>
      <c r="CA17" s="1">
        <v>0</v>
      </c>
      <c r="CB17">
        <v>0</v>
      </c>
      <c r="CC17">
        <v>0</v>
      </c>
      <c r="CD17" s="378">
        <f t="shared" si="2"/>
        <v>0</v>
      </c>
      <c r="CE17" s="208">
        <f t="shared" si="4"/>
        <v>0</v>
      </c>
      <c r="CF17" s="208"/>
      <c r="CG17" s="208"/>
      <c r="CH17" s="208"/>
      <c r="CI17" s="208"/>
      <c r="CJ17" s="208"/>
      <c r="CK17" s="208"/>
      <c r="CL17" s="208"/>
      <c r="CM17" s="208"/>
      <c r="CN17" s="208"/>
      <c r="CO17" s="208"/>
      <c r="CP17" s="208"/>
      <c r="CQ17" s="208"/>
      <c r="CZ17" s="208"/>
      <c r="DA17" s="208"/>
      <c r="DB17" s="208"/>
    </row>
    <row r="18" spans="1:106" x14ac:dyDescent="0.35">
      <c r="A18" t="s">
        <v>409</v>
      </c>
      <c r="B18" t="s">
        <v>54</v>
      </c>
      <c r="C18" t="s">
        <v>51</v>
      </c>
      <c r="D18" t="str">
        <f>Material_Impacts[[#This Row],[15804 version]]&amp;Material_Impacts[[#This Row],[Methodology]]&amp;Material_Impacts[[#This Row],[Acronym]]</f>
        <v>A1AttributionalPENRT</v>
      </c>
      <c r="E18" t="s">
        <v>753</v>
      </c>
      <c r="F18" t="s">
        <v>408</v>
      </c>
      <c r="G18" s="1">
        <v>48.876060000000003</v>
      </c>
      <c r="H18" s="1">
        <v>48.876060000000003</v>
      </c>
      <c r="I18" s="1">
        <v>49.481389999999998</v>
      </c>
      <c r="J18" s="1">
        <v>48.876060000000003</v>
      </c>
      <c r="K18" s="1">
        <v>1.265058147392186E-3</v>
      </c>
      <c r="L18" s="1">
        <v>3.0632481386555768E-3</v>
      </c>
      <c r="M18" s="1">
        <v>1.0652785548207545E-3</v>
      </c>
      <c r="N18" s="1"/>
      <c r="O18" s="443"/>
      <c r="P18" s="1">
        <v>1.4550000000000001</v>
      </c>
      <c r="Q18" s="1">
        <v>0</v>
      </c>
      <c r="R18" s="1">
        <v>0</v>
      </c>
      <c r="S18" s="1">
        <v>0</v>
      </c>
      <c r="T18" s="1">
        <v>0</v>
      </c>
      <c r="U18" s="1">
        <v>0</v>
      </c>
      <c r="V18" s="1">
        <f ca="1">IFERROR('Dynamic Materials'!Q27+'Dynamic Materials'!AQ27, 0)</f>
        <v>3.5859991162943503</v>
      </c>
      <c r="W18" s="1">
        <f ca="1">'Dynamic Materials'!R27</f>
        <v>3.2959889084222436</v>
      </c>
      <c r="X18" s="1">
        <f ca="1">'Dynamic Materials'!T27</f>
        <v>2.8388902761254178</v>
      </c>
      <c r="Y18" s="1">
        <f ca="1">IFERROR('Dynamic Materials'!U27+'Dynamic Materials'!AQ27, 0)</f>
        <v>2.6835947414940469</v>
      </c>
      <c r="Z18" s="1">
        <f ca="1">IFERROR('Dynamic Materials'!S27+'Dynamic Materials'!AQ27, 0)</f>
        <v>3.1385394692201141</v>
      </c>
      <c r="AA18" s="1">
        <f ca="1">'Dynamic Materials'!W27</f>
        <v>1.9168666000000001</v>
      </c>
      <c r="AB18" s="1">
        <v>28.115870000000001</v>
      </c>
      <c r="AC18" s="1">
        <v>105.20132</v>
      </c>
      <c r="AD18" s="209">
        <f>BZ18+200*Material_Impacts[[#This Row],[Truck (32+t)]]+1130*CB18</f>
        <v>45.545737910964149</v>
      </c>
      <c r="AE18" s="1">
        <v>30.423169999999999</v>
      </c>
      <c r="AF18" s="1">
        <v>0.85197999999999996</v>
      </c>
      <c r="AG18" s="1"/>
      <c r="AH18" s="1">
        <v>44.779760000000003</v>
      </c>
      <c r="AI18" s="209">
        <f>'Dynamic Materials'!AG27</f>
        <v>49.401332000000011</v>
      </c>
      <c r="AJ18" s="1">
        <v>0.19384000000000001</v>
      </c>
      <c r="AK18" s="1">
        <v>0.16275000000000001</v>
      </c>
      <c r="AL18" s="1"/>
      <c r="AM18" s="1">
        <f t="shared" si="0"/>
        <v>0.1144</v>
      </c>
      <c r="AN18" s="1">
        <v>0.33139000000000002</v>
      </c>
      <c r="AO18" s="1">
        <v>9.9890699999999999</v>
      </c>
      <c r="AP18" s="209">
        <v>2.0200000000000001E-3</v>
      </c>
      <c r="AQ18" s="1">
        <f ca="1">'Dynamic Materials'!O27</f>
        <v>2.780933504713786</v>
      </c>
      <c r="AR18" s="1">
        <f ca="1">'Dynamic Materials'!P27</f>
        <v>3.0841975100559371</v>
      </c>
      <c r="AS18" s="1"/>
      <c r="AT18" s="1" cm="1">
        <f t="array" aca="1" ref="AT18" ca="1">IFERROR(INDEX(Electricity_projection,MATCH($B18&amp;$A18,INDEX(Electricity_projection,0,3),0),MATCH(YEAR(TODAY()),Timeline_elec_projec,0)+3)*INDEX(Recyc_mat_energy_input,MATCH(AT$1,'Data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5.1265138357380002E-2</v>
      </c>
      <c r="AU18" s="1" cm="1">
        <f t="array" aca="1" ref="AU18" ca="1">IFERROR(INDEX(Electricity_projection,MATCH($B18&amp;$A18,INDEX(Electricity_projection,0,3),0),MATCH(YEAR(TODAY()),Timeline_elec_projec,0)+3)*INDEX(Recyc_mat_energy_input,MATCH(AU$1,'Data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3.3839408657519998E-2</v>
      </c>
      <c r="AV18" s="1" cm="1">
        <f t="array" aca="1" ref="AV18" ca="1">IFERROR(INDEX(Electricity_projection,MATCH($B18&amp;$A18,INDEX(Electricity_projection,0,3),0),MATCH(YEAR(TODAY()),Timeline_elec_projec,0)+3)*INDEX(Recyc_mat_energy_input,MATCH(AV$1,'Data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3.2552436727799991E-2</v>
      </c>
      <c r="AW18" s="1"/>
      <c r="AX18" s="1"/>
      <c r="AY18" s="1"/>
      <c r="AZ18" s="1"/>
      <c r="BA18" s="1"/>
      <c r="BB18" s="1"/>
      <c r="BC18" s="1">
        <f t="shared" si="1"/>
        <v>2.86</v>
      </c>
      <c r="BD18" s="1">
        <v>2.86</v>
      </c>
      <c r="BE18" s="1">
        <v>2.76</v>
      </c>
      <c r="BF18" s="1"/>
      <c r="BG18" s="1">
        <f ca="1">'Dynamic Materials'!V27</f>
        <v>1.8576460565242499</v>
      </c>
      <c r="BH18" s="1"/>
      <c r="BI18" s="1" cm="1">
        <f t="array" aca="1" ref="BI18" ca="1">IFERROR(INDEX(Electricity_projection,MATCH($B18&amp;$A18,INDEX(Electricity_projection,0,3),0),MATCH(YEAR(TODAY()),Timeline_elec_projec,0)+3)*INDEX(Recyc_mat_energy_input,MATCH(BI$1,'Data Entry'!$B$91:$B$96,0),1)+Diesel_density*INDEX(Recyc_mat_energy_input,MATCH(BI$1,'Data Entry'!$B$91:$B$96,0),2)*INDEX(Indicators,ROW(),MATCH("Diesel Combustion",Materials!$1:$1,0)), "")</f>
        <v>0</v>
      </c>
      <c r="BJ18" s="1"/>
      <c r="BK18" s="1" cm="1">
        <f t="array" aca="1" ref="BK18" ca="1">IFERROR(INDEX(Electricity_projection,MATCH($B18&amp;$A18,INDEX(Electricity_projection,0,3),0),MATCH(YEAR(TODAY()),Timeline_elec_projec,0)+3)*INDEX(Recyc_mat_energy_input,MATCH(BK$1,'Data Entry'!$B$91:$B$96,0),1)+Diesel_density*INDEX(Recyc_mat_energy_input,MATCH(BK$1,'Data Entry'!$B$91:$B$96,0),2)*INDEX(Indicators,ROW(),MATCH("Diesel Combustion",Materials!$1:$1,0)), "")</f>
        <v>2.1577802968800006E-2</v>
      </c>
      <c r="BL18" s="1" cm="1">
        <f t="array" aca="1" ref="BL18" ca="1">IFERROR(INDEX(Electricity_projection,MATCH($B18&amp;$A18,INDEX(Electricity_projection,0,3),0),MATCH(YEAR(TODAY()),Timeline_elec_projec,0)+3)*INDEX(Recyc_mat_energy_input,MATCH(BL$1,'Data Entry'!$B$91:$B$96,0),1)+Diesel_density*INDEX(Recyc_mat_energy_input,MATCH(BL$1,'Data Entry'!$B$91:$B$96,0),2)*INDEX(Indicators,ROW(),MATCH("Diesel Combustion",Materials!$1:$1,0)), "")</f>
        <v>6.4049999999999982E-2</v>
      </c>
      <c r="BM18" s="1"/>
      <c r="BN18" s="1">
        <f>IF(Steel_supplier="Pacific Steel",Material_Impacts[[#This Row],[Pacific Steel]],Material_Impacts[[#This Row],[Infrabuild]])</f>
        <v>49.4</v>
      </c>
      <c r="BO18" s="1">
        <v>49.4</v>
      </c>
      <c r="BP18" s="1">
        <v>23.057871000000002</v>
      </c>
      <c r="BQ18">
        <v>49.481389999999998</v>
      </c>
      <c r="BR18">
        <v>48.876060000000003</v>
      </c>
      <c r="BS18" s="443"/>
      <c r="BT18" s="443"/>
      <c r="BU18" s="443"/>
      <c r="BV18" s="443">
        <v>1</v>
      </c>
      <c r="BX18" s="1">
        <v>3.4571299999999998</v>
      </c>
      <c r="BY18" s="1">
        <f t="shared" si="3"/>
        <v>7.9979872758820125E-2</v>
      </c>
      <c r="BZ18">
        <v>45.197150000000001</v>
      </c>
      <c r="CA18" s="1">
        <v>0</v>
      </c>
      <c r="CB18">
        <v>1.1994000000000001E-4</v>
      </c>
      <c r="CC18">
        <v>44.872399999999999</v>
      </c>
      <c r="CD18" s="378">
        <f t="shared" si="2"/>
        <v>1.1561808204000001</v>
      </c>
      <c r="CE18" s="208">
        <f t="shared" si="4"/>
        <v>46.028580820400002</v>
      </c>
      <c r="CF18" s="208"/>
      <c r="CG18" s="208"/>
      <c r="CH18" s="208"/>
      <c r="CI18" s="208"/>
      <c r="CJ18" s="208"/>
      <c r="CK18" s="208"/>
      <c r="CL18" s="208"/>
      <c r="CM18" s="208"/>
      <c r="CN18" s="208"/>
      <c r="CO18" s="208"/>
      <c r="CP18" s="208"/>
      <c r="CQ18" s="208"/>
      <c r="CZ18" s="208"/>
      <c r="DA18" s="208"/>
      <c r="DB18" s="208"/>
    </row>
    <row r="19" spans="1:106" x14ac:dyDescent="0.35">
      <c r="A19" t="s">
        <v>411</v>
      </c>
      <c r="B19" t="s">
        <v>54</v>
      </c>
      <c r="C19" t="s">
        <v>51</v>
      </c>
      <c r="D19" t="str">
        <f>Material_Impacts[[#This Row],[15804 version]]&amp;Material_Impacts[[#This Row],[Methodology]]&amp;Material_Impacts[[#This Row],[Acronym]]</f>
        <v>A1AttributionalPERT</v>
      </c>
      <c r="E19" t="s">
        <v>754</v>
      </c>
      <c r="F19" t="s">
        <v>408</v>
      </c>
      <c r="G19" s="1">
        <v>9.5060000000000006E-2</v>
      </c>
      <c r="H19" s="1">
        <v>9.5060000000000006E-2</v>
      </c>
      <c r="I19" s="1">
        <v>9.8650000000000002E-2</v>
      </c>
      <c r="J19" s="1">
        <v>9.5060000000000006E-2</v>
      </c>
      <c r="K19" s="1">
        <v>2.4604362031452864E-6</v>
      </c>
      <c r="L19" s="1">
        <v>5.9577709017584301E-6</v>
      </c>
      <c r="M19" s="1">
        <v>2.0718809867501784E-6</v>
      </c>
      <c r="N19" s="1"/>
      <c r="O19" s="443"/>
      <c r="P19" s="1">
        <v>1.2529999999999999E-2</v>
      </c>
      <c r="Q19" s="1">
        <v>0</v>
      </c>
      <c r="R19" s="1">
        <v>0</v>
      </c>
      <c r="S19" s="1">
        <v>0</v>
      </c>
      <c r="T19" s="1">
        <v>0</v>
      </c>
      <c r="U19" s="1">
        <v>0</v>
      </c>
      <c r="V19" s="1">
        <f ca="1">IFERROR('Dynamic Materials'!Q28+'Dynamic Materials'!AQ28, 0)</f>
        <v>4.3823450677021494E-2</v>
      </c>
      <c r="W19" s="1">
        <f ca="1">'Dynamic Materials'!R28</f>
        <v>2.5309793020596352E-2</v>
      </c>
      <c r="X19" s="1">
        <f ca="1">'Dynamic Materials'!T28</f>
        <v>1.6231645763692022E-2</v>
      </c>
      <c r="Y19" s="1">
        <f ca="1">IFERROR('Dynamic Materials'!U28+'Dynamic Materials'!AQ28, 0)</f>
        <v>3.4749090023594095E-2</v>
      </c>
      <c r="Z19" s="1">
        <f ca="1">IFERROR('Dynamic Materials'!S28+'Dynamic Materials'!AQ28, 0)</f>
        <v>3.5593449229623791E-2</v>
      </c>
      <c r="AA19" s="1">
        <f ca="1">'Dynamic Materials'!W28</f>
        <v>0.46803620000000001</v>
      </c>
      <c r="AB19" s="1">
        <v>0.20766000000000001</v>
      </c>
      <c r="AC19" s="1">
        <v>3.64758</v>
      </c>
      <c r="AD19" s="209">
        <f>BZ19+200*Material_Impacts[[#This Row],[Truck (32+t)]]+1130*CB19</f>
        <v>9.0389676197350027E-2</v>
      </c>
      <c r="AE19" s="1">
        <v>9.7909999999999997E-2</v>
      </c>
      <c r="AF19" s="1">
        <v>1.5980000000000001E-2</v>
      </c>
      <c r="AG19" s="1"/>
      <c r="AH19" s="1">
        <v>1.1540699999999999</v>
      </c>
      <c r="AI19" s="209">
        <f>'Dynamic Materials'!AG28</f>
        <v>0.42964800000000003</v>
      </c>
      <c r="AJ19" s="1">
        <v>1.336E-2</v>
      </c>
      <c r="AK19" s="1">
        <v>1.0290000000000001E-2</v>
      </c>
      <c r="AL19" s="1"/>
      <c r="AM19" s="1">
        <f t="shared" si="0"/>
        <v>2.792E-2</v>
      </c>
      <c r="AN19" s="1">
        <v>1.9699999999999999E-2</v>
      </c>
      <c r="AO19" s="1">
        <v>0.25422</v>
      </c>
      <c r="AP19" s="209">
        <v>1.14E-3</v>
      </c>
      <c r="AQ19" s="1">
        <f ca="1">'Dynamic Materials'!O28</f>
        <v>1.1019910830558203E-2</v>
      </c>
      <c r="AR19" s="1">
        <f ca="1">'Dynamic Materials'!P28</f>
        <v>4.0879950258717199E-2</v>
      </c>
      <c r="AS19" s="1"/>
      <c r="AT19" s="1" cm="1">
        <f t="array" aca="1" ref="AT19" ca="1">IFERROR(INDEX(Electricity_projection,MATCH($B19&amp;$A19,INDEX(Electricity_projection,0,3),0),MATCH(YEAR(TODAY()),Timeline_elec_projec,0)+3)*INDEX(Recyc_mat_energy_input,MATCH(AT$1,'Data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5.9537555943800016E-3</v>
      </c>
      <c r="AU19" s="1" cm="1">
        <f t="array" aca="1" ref="AU19" ca="1">IFERROR(INDEX(Electricity_projection,MATCH($B19&amp;$A19,INDEX(Electricity_projection,0,3),0),MATCH(YEAR(TODAY()),Timeline_elec_projec,0)+3)*INDEX(Recyc_mat_energy_input,MATCH(AU$1,'Data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6.3819398055200002E-3</v>
      </c>
      <c r="AV19" s="1" cm="1">
        <f t="array" aca="1" ref="AV19" ca="1">IFERROR(INDEX(Electricity_projection,MATCH($B19&amp;$A19,INDEX(Electricity_projection,0,3),0),MATCH(YEAR(TODAY()),Timeline_elec_projec,0)+3)*INDEX(Recyc_mat_energy_input,MATCH(AV$1,'Data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2.4417861197800001E-2</v>
      </c>
      <c r="AW19" s="1"/>
      <c r="AX19" s="1"/>
      <c r="AY19" s="1"/>
      <c r="AZ19" s="1"/>
      <c r="BA19" s="1"/>
      <c r="BB19" s="1"/>
      <c r="BC19" s="1">
        <f t="shared" si="1"/>
        <v>0.69799999999999995</v>
      </c>
      <c r="BD19" s="1">
        <v>0.69799999999999995</v>
      </c>
      <c r="BE19" s="1">
        <v>0.26300000000000001</v>
      </c>
      <c r="BF19" s="1"/>
      <c r="BG19" s="1">
        <f ca="1">'Dynamic Materials'!V28</f>
        <v>0.29669145003675002</v>
      </c>
      <c r="BH19" s="1"/>
      <c r="BI19" s="1" cm="1">
        <f t="array" aca="1" ref="BI19" ca="1">IFERROR(INDEX(Electricity_projection,MATCH($B19&amp;$A19,INDEX(Electricity_projection,0,3),0),MATCH(YEAR(TODAY()),Timeline_elec_projec,0)+3)*INDEX(Recyc_mat_energy_input,MATCH(BI$1,'Data Entry'!$B$91:$B$96,0),1)+Diesel_density*INDEX(Recyc_mat_energy_input,MATCH(BI$1,'Data Entry'!$B$91:$B$96,0),2)*INDEX(Indicators,ROW(),MATCH("Diesel Combustion",Materials!$1:$1,0)), "")</f>
        <v>0</v>
      </c>
      <c r="BJ19" s="1"/>
      <c r="BK19" s="1" cm="1">
        <f t="array" aca="1" ref="BK19" ca="1">IFERROR(INDEX(Electricity_projection,MATCH($B19&amp;$A19,INDEX(Electricity_projection,0,3),0),MATCH(YEAR(TODAY()),Timeline_elec_projec,0)+3)*INDEX(Recyc_mat_energy_input,MATCH(BK$1,'Data Entry'!$B$91:$B$96,0),1)+Diesel_density*INDEX(Recyc_mat_energy_input,MATCH(BK$1,'Data Entry'!$B$91:$B$96,0),2)*INDEX(Indicators,ROW(),MATCH("Diesel Combustion",Materials!$1:$1,0)), "")</f>
        <v>4.1967088800000007E-5</v>
      </c>
      <c r="BL19" s="1" cm="1">
        <f t="array" aca="1" ref="BL19" ca="1">IFERROR(INDEX(Electricity_projection,MATCH($B19&amp;$A19,INDEX(Electricity_projection,0,3),0),MATCH(YEAR(TODAY()),Timeline_elec_projec,0)+3)*INDEX(Recyc_mat_energy_input,MATCH(BL$1,'Data Entry'!$B$91:$B$96,0),1)+Diesel_density*INDEX(Recyc_mat_energy_input,MATCH(BL$1,'Data Entry'!$B$91:$B$96,0),2)*INDEX(Indicators,ROW(),MATCH("Diesel Combustion",Materials!$1:$1,0)), "")</f>
        <v>9.0822222222222221E-2</v>
      </c>
      <c r="BM19" s="1"/>
      <c r="BN19" s="1">
        <f>IF(Steel_supplier="Pacific Steel",Material_Impacts[[#This Row],[Pacific Steel]],Material_Impacts[[#This Row],[Infrabuild]])</f>
        <v>6.83</v>
      </c>
      <c r="BO19" s="1">
        <v>6.83</v>
      </c>
      <c r="BP19" s="1">
        <v>22.801741500000002</v>
      </c>
      <c r="BQ19">
        <v>9.8650000000000002E-2</v>
      </c>
      <c r="BR19">
        <v>9.5060000000000006E-2</v>
      </c>
      <c r="BS19" s="443"/>
      <c r="BT19" s="443"/>
      <c r="BU19" s="443"/>
      <c r="BV19" s="443">
        <v>1</v>
      </c>
      <c r="BX19" s="1">
        <v>3.0839999999999999E-2</v>
      </c>
      <c r="BY19" s="1">
        <f t="shared" si="3"/>
        <v>7.1347599768652398E-4</v>
      </c>
      <c r="BZ19">
        <v>8.906E-2</v>
      </c>
      <c r="CA19" s="1">
        <v>0</v>
      </c>
      <c r="CB19">
        <v>8.0999999999999997E-7</v>
      </c>
      <c r="CC19">
        <v>1.1159300000000001</v>
      </c>
      <c r="CD19" s="378">
        <f t="shared" si="2"/>
        <v>7.8081245999999998E-3</v>
      </c>
      <c r="CE19" s="208">
        <f t="shared" si="4"/>
        <v>1.1237381246</v>
      </c>
      <c r="CF19" s="208"/>
      <c r="CG19" s="208"/>
      <c r="CH19" s="208"/>
      <c r="CI19" s="208"/>
      <c r="CJ19" s="208"/>
      <c r="CK19" s="208"/>
      <c r="CL19" s="208"/>
      <c r="CM19" s="208"/>
      <c r="CN19" s="208"/>
      <c r="CO19" s="208"/>
      <c r="CP19" s="208"/>
      <c r="CQ19" s="208"/>
      <c r="CZ19" s="208"/>
      <c r="DA19" s="208"/>
      <c r="DB19" s="208"/>
    </row>
    <row r="20" spans="1:106" x14ac:dyDescent="0.35">
      <c r="A20" t="s">
        <v>413</v>
      </c>
      <c r="B20" t="s">
        <v>54</v>
      </c>
      <c r="C20" t="s">
        <v>51</v>
      </c>
      <c r="D20" t="str">
        <f>Material_Impacts[[#This Row],[15804 version]]&amp;Material_Impacts[[#This Row],[Methodology]]&amp;Material_Impacts[[#This Row],[Acronym]]</f>
        <v>A1AttributionalFW</v>
      </c>
      <c r="E20" t="s">
        <v>755</v>
      </c>
      <c r="F20" t="s">
        <v>756</v>
      </c>
      <c r="G20" s="1">
        <v>0.45202999999999999</v>
      </c>
      <c r="H20" s="1">
        <v>0.45202999999999999</v>
      </c>
      <c r="I20" s="1">
        <v>0.47156999999999999</v>
      </c>
      <c r="J20" s="1">
        <v>0.45202999999999999</v>
      </c>
      <c r="K20" s="1">
        <v>1.1699884040687605E-5</v>
      </c>
      <c r="L20" s="1">
        <v>2.8330435311612276E-5</v>
      </c>
      <c r="M20" s="1">
        <v>9.8522234635039249E-6</v>
      </c>
      <c r="N20" s="1"/>
      <c r="O20" s="443"/>
      <c r="P20" s="1">
        <v>6.1589999999999999E-2</v>
      </c>
      <c r="Q20" s="1">
        <v>0</v>
      </c>
      <c r="R20" s="1">
        <v>0</v>
      </c>
      <c r="S20" s="1">
        <v>0</v>
      </c>
      <c r="T20" s="1">
        <v>0</v>
      </c>
      <c r="U20" s="1">
        <v>0</v>
      </c>
      <c r="V20" s="1">
        <f ca="1">IFERROR('Dynamic Materials'!Q29+'Dynamic Materials'!AQ29, 0)</f>
        <v>3.1020704409508829E-2</v>
      </c>
      <c r="W20" s="1">
        <f ca="1">'Dynamic Materials'!R29</f>
        <v>5.5920205877386567E-2</v>
      </c>
      <c r="X20" s="1">
        <f ca="1">'Dynamic Materials'!T29</f>
        <v>4.9210692525914208E-2</v>
      </c>
      <c r="Y20" s="1">
        <f ca="1">IFERROR('Dynamic Materials'!U29+'Dynamic Materials'!AQ29, 0)</f>
        <v>2.3693614376384613E-2</v>
      </c>
      <c r="Z20" s="1">
        <f ca="1">IFERROR('Dynamic Materials'!S29+'Dynamic Materials'!AQ29, 0)</f>
        <v>2.786826269630472E-2</v>
      </c>
      <c r="AA20" s="1">
        <f ca="1">'Dynamic Materials'!W29</f>
        <v>3.8382000000000004E-3</v>
      </c>
      <c r="AB20" s="1">
        <v>0.89290999999999998</v>
      </c>
      <c r="AC20" s="1">
        <v>1.8451</v>
      </c>
      <c r="AD20" s="209">
        <f>BZ20+200*Material_Impacts[[#This Row],[Truck (32+t)]]+1130*CB20</f>
        <v>0.42016234469270081</v>
      </c>
      <c r="AE20" s="1">
        <v>0.31763000000000002</v>
      </c>
      <c r="AF20" s="1">
        <v>7.1209999999999996E-2</v>
      </c>
      <c r="AG20" s="1"/>
      <c r="AH20" s="1">
        <v>2.07925</v>
      </c>
      <c r="AI20" s="209">
        <f>'Dynamic Materials'!AG29</f>
        <v>1.842991</v>
      </c>
      <c r="AJ20" s="1">
        <v>5.9889999999999999E-2</v>
      </c>
      <c r="AK20" s="1">
        <v>6.6089999999999996E-2</v>
      </c>
      <c r="AL20" s="1"/>
      <c r="AM20" s="1">
        <f t="shared" si="0"/>
        <v>8.0400000000000003E-5</v>
      </c>
      <c r="AN20" s="1">
        <v>9.8960000000000006E-2</v>
      </c>
      <c r="AO20" s="1">
        <v>0.48347000000000001</v>
      </c>
      <c r="AP20" s="209">
        <v>7.5500000000000003E-3</v>
      </c>
      <c r="AQ20" s="1">
        <f ca="1">'Dynamic Materials'!O29</f>
        <v>2.7745402620210649E-2</v>
      </c>
      <c r="AR20" s="1">
        <f ca="1">'Dynamic Materials'!P29</f>
        <v>0.15326325193864859</v>
      </c>
      <c r="AS20" s="1"/>
      <c r="AT20" s="1" cm="1">
        <f t="array" aca="1" ref="AT20" ca="1">IFERROR(INDEX(Electricity_projection,MATCH($B20&amp;$A20,INDEX(Electricity_projection,0,3),0),MATCH(YEAR(TODAY()),Timeline_elec_projec,0)+3)*INDEX(Recyc_mat_energy_input,MATCH(AT$1,'Data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2.6975127006899999E-3</v>
      </c>
      <c r="AU20" s="1" cm="1">
        <f t="array" aca="1" ref="AU20" ca="1">IFERROR(INDEX(Electricity_projection,MATCH($B20&amp;$A20,INDEX(Electricity_projection,0,3),0),MATCH(YEAR(TODAY()),Timeline_elec_projec,0)+3)*INDEX(Recyc_mat_energy_input,MATCH(AU$1,'Data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2.7171161676000001E-4</v>
      </c>
      <c r="AV20" s="1" cm="1">
        <f t="array" aca="1" ref="AV20" ca="1">IFERROR(INDEX(Electricity_projection,MATCH($B20&amp;$A20,INDEX(Electricity_projection,0,3),0),MATCH(YEAR(TODAY()),Timeline_elec_projec,0)+3)*INDEX(Recyc_mat_energy_input,MATCH(AV$1,'Data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1.4199618389999999E-4</v>
      </c>
      <c r="AW20" s="1"/>
      <c r="AX20" s="1"/>
      <c r="AY20" s="1"/>
      <c r="AZ20" s="1"/>
      <c r="BA20" s="1"/>
      <c r="BB20" s="1"/>
      <c r="BC20" s="1">
        <f t="shared" si="1"/>
        <v>2.0100000000000001E-3</v>
      </c>
      <c r="BD20" s="1">
        <v>2.0100000000000001E-3</v>
      </c>
      <c r="BE20" s="1">
        <v>3.7499999999999999E-3</v>
      </c>
      <c r="BF20" s="1"/>
      <c r="BG20" s="1">
        <f ca="1">'Dynamic Materials'!V29</f>
        <v>4.112855587125E-3</v>
      </c>
      <c r="BH20" s="1"/>
      <c r="BI20" s="1" t="str" cm="1">
        <f t="array" aca="1" ref="BI20" ca="1">IFERROR(INDEX(Electricity_projection,MATCH($B20&amp;$A20,INDEX(Electricity_projection,0,3),0),MATCH(YEAR(TODAY()),Timeline_elec_projec,0)+3)*INDEX(Recyc_mat_energy_input,MATCH(BI$1,'Data Entry'!$B$91:$B$96,0),1)+Diesel_density*INDEX(Recyc_mat_energy_input,MATCH(BI$1,'Data Entry'!$B$91:$B$96,0),2)*INDEX(Indicators,ROW(),MATCH("Diesel Combustion",Materials!$1:$1,0)), "")</f>
        <v/>
      </c>
      <c r="BJ20" s="1"/>
      <c r="BK20" s="1" t="str" cm="1">
        <f t="array" aca="1" ref="BK20" ca="1">IFERROR(INDEX(Electricity_projection,MATCH($B20&amp;$A20,INDEX(Electricity_projection,0,3),0),MATCH(YEAR(TODAY()),Timeline_elec_projec,0)+3)*INDEX(Recyc_mat_energy_input,MATCH(BK$1,'Data Entry'!$B$91:$B$96,0),1)+Diesel_density*INDEX(Recyc_mat_energy_input,MATCH(BK$1,'Data Entry'!$B$91:$B$96,0),2)*INDEX(Indicators,ROW(),MATCH("Diesel Combustion",Materials!$1:$1,0)), "")</f>
        <v/>
      </c>
      <c r="BL20" s="1" t="str" cm="1">
        <f t="array" aca="1" ref="BL20" ca="1">IFERROR(INDEX(Electricity_projection,MATCH($B20&amp;$A20,INDEX(Electricity_projection,0,3),0),MATCH(YEAR(TODAY()),Timeline_elec_projec,0)+3)*INDEX(Recyc_mat_energy_input,MATCH(BL$1,'Data Entry'!$B$91:$B$96,0),1)+Diesel_density*INDEX(Recyc_mat_energy_input,MATCH(BL$1,'Data Entry'!$B$91:$B$96,0),2)*INDEX(Indicators,ROW(),MATCH("Diesel Combustion",Materials!$1:$1,0)), "")</f>
        <v/>
      </c>
      <c r="BM20" s="1"/>
      <c r="BN20" s="1">
        <f>IF(Steel_supplier="Pacific Steel",Material_Impacts[[#This Row],[Pacific Steel]],Material_Impacts[[#This Row],[Infrabuild]])</f>
        <v>4.5400000000000003E-2</v>
      </c>
      <c r="BO20" s="1">
        <v>4.5400000000000003E-2</v>
      </c>
      <c r="BP20" s="1">
        <v>1.5544499999999999E-2</v>
      </c>
      <c r="BQ20">
        <v>0.47156999999999999</v>
      </c>
      <c r="BR20">
        <v>0.45202999999999999</v>
      </c>
      <c r="BS20" s="443"/>
      <c r="BT20" s="443"/>
      <c r="BU20" s="443"/>
      <c r="BV20" s="443">
        <v>1</v>
      </c>
      <c r="BX20" s="1">
        <v>9.5019999999999993E-2</v>
      </c>
      <c r="BY20" s="1">
        <f t="shared" si="3"/>
        <v>2.1982648930017352E-3</v>
      </c>
      <c r="BZ20">
        <v>0.41409000000000001</v>
      </c>
      <c r="CA20" s="1">
        <v>0</v>
      </c>
      <c r="CB20">
        <v>3.63E-6</v>
      </c>
      <c r="CC20">
        <v>2.02948</v>
      </c>
      <c r="CD20" s="378">
        <f t="shared" si="2"/>
        <v>3.4991965799999997E-2</v>
      </c>
      <c r="CE20" s="208">
        <f t="shared" si="4"/>
        <v>2.0644719658000001</v>
      </c>
      <c r="CF20" s="208"/>
      <c r="CG20" s="208"/>
      <c r="CH20" s="208"/>
      <c r="CI20" s="208"/>
      <c r="CJ20" s="208"/>
      <c r="CK20" s="208"/>
      <c r="CL20" s="208"/>
      <c r="CM20" s="208"/>
      <c r="CN20" s="208"/>
      <c r="CO20" s="208"/>
      <c r="CP20" s="208"/>
      <c r="CQ20" s="208"/>
      <c r="CZ20" s="208"/>
      <c r="DA20" s="208"/>
      <c r="DB20" s="208"/>
    </row>
    <row r="21" spans="1:106" x14ac:dyDescent="0.35">
      <c r="A21" t="s">
        <v>508</v>
      </c>
      <c r="B21" t="s">
        <v>54</v>
      </c>
      <c r="C21" t="s">
        <v>51</v>
      </c>
      <c r="D21" t="str">
        <f>Material_Impacts[[#This Row],[15804 version]]&amp;Material_Impacts[[#This Row],[Methodology]]&amp;Material_Impacts[[#This Row],[Acronym]]</f>
        <v>A1AttributionalSM</v>
      </c>
      <c r="E21" t="s">
        <v>757</v>
      </c>
      <c r="F21" t="s">
        <v>758</v>
      </c>
      <c r="G21" s="1">
        <v>0</v>
      </c>
      <c r="H21" s="1">
        <v>0</v>
      </c>
      <c r="I21" s="1">
        <v>0</v>
      </c>
      <c r="J21" s="1">
        <v>0</v>
      </c>
      <c r="K21" s="1">
        <v>0</v>
      </c>
      <c r="L21" s="1">
        <v>0</v>
      </c>
      <c r="M21" s="1">
        <v>0</v>
      </c>
      <c r="N21" s="1"/>
      <c r="O21" s="443"/>
      <c r="P21" s="1">
        <v>0</v>
      </c>
      <c r="Q21" s="1">
        <v>0</v>
      </c>
      <c r="R21" s="1">
        <v>0</v>
      </c>
      <c r="S21" s="1">
        <v>0</v>
      </c>
      <c r="T21" s="1">
        <v>0</v>
      </c>
      <c r="U21" s="1">
        <v>0</v>
      </c>
      <c r="V21" s="1">
        <f ca="1">IFERROR('Dynamic Materials'!Q30+'Dynamic Materials'!AQ30, 0)</f>
        <v>1.2286007609406925E-4</v>
      </c>
      <c r="W21" s="1">
        <f ca="1">'Dynamic Materials'!R30</f>
        <v>1.2286007609406925E-4</v>
      </c>
      <c r="X21" s="1">
        <f ca="1">'Dynamic Materials'!T30</f>
        <v>1.2286007609406925E-4</v>
      </c>
      <c r="Y21" s="1">
        <f ca="1">IFERROR('Dynamic Materials'!U30+'Dynamic Materials'!AQ30, 0)</f>
        <v>1.2286007609406925E-4</v>
      </c>
      <c r="Z21" s="1">
        <f ca="1">IFERROR('Dynamic Materials'!S30+'Dynamic Materials'!AQ30, 0)</f>
        <v>1.2286007609406925E-4</v>
      </c>
      <c r="AA21" s="1">
        <f ca="1">'Dynamic Materials'!W30</f>
        <v>6.1974999999999999E-3</v>
      </c>
      <c r="AB21" s="1">
        <v>0</v>
      </c>
      <c r="AC21" s="1">
        <v>0</v>
      </c>
      <c r="AD21" s="209">
        <f>BZ21+200*Material_Impacts[[#This Row],[Truck (32+t)]]+1130*CB21</f>
        <v>0</v>
      </c>
      <c r="AE21" s="1">
        <v>0</v>
      </c>
      <c r="AF21" s="1">
        <v>0</v>
      </c>
      <c r="AG21" s="1"/>
      <c r="AH21" s="1">
        <v>0</v>
      </c>
      <c r="AI21" s="209">
        <f>'Dynamic Materials'!AG30</f>
        <v>0</v>
      </c>
      <c r="AJ21" s="1">
        <v>0</v>
      </c>
      <c r="AK21" s="1">
        <v>0</v>
      </c>
      <c r="AL21" s="1"/>
      <c r="AM21" s="1">
        <f t="shared" si="0"/>
        <v>3.6999999999999999E-4</v>
      </c>
      <c r="AN21" s="1">
        <v>0</v>
      </c>
      <c r="AO21" s="1">
        <v>0</v>
      </c>
      <c r="AP21" s="209">
        <v>0</v>
      </c>
      <c r="AQ21" s="1">
        <f ca="1">'Dynamic Materials'!O30</f>
        <v>0</v>
      </c>
      <c r="AR21" s="1">
        <f ca="1">'Dynamic Materials'!P30</f>
        <v>0</v>
      </c>
      <c r="AS21" s="1"/>
      <c r="AT21" s="1" cm="1">
        <f t="array" aca="1" ref="AT21" ca="1">IFERROR(INDEX(Electricity_projection,MATCH($B21&amp;$A21,INDEX(Electricity_projection,0,3),0),MATCH(YEAR(TODAY()),Timeline_elec_projec,0)+3)*INDEX(Recyc_mat_energy_input,MATCH(AT$1,'Data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21" s="1" cm="1">
        <f t="array" aca="1" ref="AU21" ca="1">IFERROR(INDEX(Electricity_projection,MATCH($B21&amp;$A21,INDEX(Electricity_projection,0,3),0),MATCH(YEAR(TODAY()),Timeline_elec_projec,0)+3)*INDEX(Recyc_mat_energy_input,MATCH(AU$1,'Data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21" s="1" cm="1">
        <f t="array" aca="1" ref="AV21" ca="1">IFERROR(INDEX(Electricity_projection,MATCH($B21&amp;$A21,INDEX(Electricity_projection,0,3),0),MATCH(YEAR(TODAY()),Timeline_elec_projec,0)+3)*INDEX(Recyc_mat_energy_input,MATCH(AV$1,'Data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21" s="1"/>
      <c r="AX21" s="1"/>
      <c r="AY21" s="1"/>
      <c r="AZ21" s="1"/>
      <c r="BA21" s="1"/>
      <c r="BB21" s="1"/>
      <c r="BC21" s="1">
        <f t="shared" si="1"/>
        <v>9.2499999999999995E-3</v>
      </c>
      <c r="BD21" s="1">
        <v>9.2499999999999995E-3</v>
      </c>
      <c r="BE21" s="1">
        <v>0.307</v>
      </c>
      <c r="BF21" s="1"/>
      <c r="BG21" s="1">
        <f ca="1">'Dynamic Materials'!V30</f>
        <v>1.1099999999999999E-3</v>
      </c>
      <c r="BH21" s="1"/>
      <c r="BI21" s="1" t="str" cm="1">
        <f t="array" aca="1" ref="BI21" ca="1">IFERROR(INDEX(Electricity_projection,MATCH($B21&amp;$A21,INDEX(Electricity_projection,0,3),0),MATCH(YEAR(TODAY()),Timeline_elec_projec,0)+3)*INDEX(Recyc_mat_energy_input,MATCH(BI$1,'Data Entry'!$B$91:$B$96,0),1)+Diesel_density*INDEX(Recyc_mat_energy_input,MATCH(BI$1,'Data Entry'!$B$91:$B$96,0),2)*INDEX(Indicators,ROW(),MATCH("Diesel Combustion",Materials!$1:$1,0)), "")</f>
        <v/>
      </c>
      <c r="BJ21" s="1"/>
      <c r="BK21" s="1" t="str" cm="1">
        <f t="array" aca="1" ref="BK21" ca="1">IFERROR(INDEX(Electricity_projection,MATCH($B21&amp;$A21,INDEX(Electricity_projection,0,3),0),MATCH(YEAR(TODAY()),Timeline_elec_projec,0)+3)*INDEX(Recyc_mat_energy_input,MATCH(BK$1,'Data Entry'!$B$91:$B$96,0),1)+Diesel_density*INDEX(Recyc_mat_energy_input,MATCH(BK$1,'Data Entry'!$B$91:$B$96,0),2)*INDEX(Indicators,ROW(),MATCH("Diesel Combustion",Materials!$1:$1,0)), "")</f>
        <v/>
      </c>
      <c r="BL21" s="1" t="str" cm="1">
        <f t="array" aca="1" ref="BL21" ca="1">IFERROR(INDEX(Electricity_projection,MATCH($B21&amp;$A21,INDEX(Electricity_projection,0,3),0),MATCH(YEAR(TODAY()),Timeline_elec_projec,0)+3)*INDEX(Recyc_mat_energy_input,MATCH(BL$1,'Data Entry'!$B$91:$B$96,0),1)+Diesel_density*INDEX(Recyc_mat_energy_input,MATCH(BL$1,'Data Entry'!$B$91:$B$96,0),2)*INDEX(Indicators,ROW(),MATCH("Diesel Combustion",Materials!$1:$1,0)), "")</f>
        <v/>
      </c>
      <c r="BM21" s="1"/>
      <c r="BN21" s="1">
        <f>IF(Steel_supplier="Pacific Steel",Material_Impacts[[#This Row],[Pacific Steel]],Material_Impacts[[#This Row],[Infrabuild]])</f>
        <v>0</v>
      </c>
      <c r="BO21" s="1">
        <v>0</v>
      </c>
      <c r="BP21" s="1">
        <v>0.75700000000000001</v>
      </c>
      <c r="BQ21">
        <v>0</v>
      </c>
      <c r="BR21">
        <v>0</v>
      </c>
      <c r="BS21" s="443"/>
      <c r="BT21" s="443"/>
      <c r="BU21" s="443"/>
      <c r="BV21" s="443">
        <v>1</v>
      </c>
      <c r="BX21" s="1">
        <v>0</v>
      </c>
      <c r="BY21" s="1">
        <f t="shared" si="3"/>
        <v>0</v>
      </c>
      <c r="BZ21">
        <v>0</v>
      </c>
      <c r="CA21" s="1">
        <v>0</v>
      </c>
      <c r="CB21">
        <v>0</v>
      </c>
      <c r="CC21">
        <v>0</v>
      </c>
      <c r="CD21" s="378">
        <f t="shared" si="2"/>
        <v>0</v>
      </c>
      <c r="CE21" s="208">
        <f t="shared" si="4"/>
        <v>0</v>
      </c>
      <c r="CF21" s="208"/>
      <c r="CG21" s="208"/>
      <c r="CH21" s="208"/>
      <c r="CI21" s="208"/>
      <c r="CJ21" s="208"/>
      <c r="CK21" s="208"/>
      <c r="CL21" s="208"/>
      <c r="CM21" s="208"/>
      <c r="CN21" s="208"/>
      <c r="CO21" s="208"/>
      <c r="CP21" s="208"/>
      <c r="CQ21" s="208"/>
      <c r="CZ21" s="208"/>
      <c r="DA21" s="208"/>
      <c r="DB21" s="208"/>
    </row>
    <row r="22" spans="1:106" x14ac:dyDescent="0.35">
      <c r="A22" t="s">
        <v>510</v>
      </c>
      <c r="B22" t="s">
        <v>54</v>
      </c>
      <c r="C22" t="s">
        <v>51</v>
      </c>
      <c r="D22" t="str">
        <f>Material_Impacts[[#This Row],[15804 version]]&amp;Material_Impacts[[#This Row],[Methodology]]&amp;Material_Impacts[[#This Row],[Acronym]]</f>
        <v>A1AttributionalNRSF</v>
      </c>
      <c r="E22" t="s">
        <v>759</v>
      </c>
      <c r="F22" t="s">
        <v>760</v>
      </c>
      <c r="G22" s="1">
        <v>0</v>
      </c>
      <c r="H22" s="1">
        <v>0</v>
      </c>
      <c r="I22" s="1">
        <v>0</v>
      </c>
      <c r="J22" s="1">
        <v>0</v>
      </c>
      <c r="K22" s="1">
        <v>0</v>
      </c>
      <c r="L22" s="1">
        <v>0</v>
      </c>
      <c r="M22" s="1">
        <v>0</v>
      </c>
      <c r="N22" s="1"/>
      <c r="O22" s="443"/>
      <c r="P22" s="1">
        <v>0</v>
      </c>
      <c r="Q22" s="1">
        <v>0</v>
      </c>
      <c r="R22" s="1">
        <v>0</v>
      </c>
      <c r="S22" s="1">
        <v>0</v>
      </c>
      <c r="T22" s="1">
        <v>0</v>
      </c>
      <c r="U22" s="1">
        <v>0</v>
      </c>
      <c r="V22" s="1">
        <f ca="1">IFERROR('Dynamic Materials'!Q31+'Dynamic Materials'!AQ31, 0)</f>
        <v>1.2286007609406925E-4</v>
      </c>
      <c r="W22" s="1">
        <f ca="1">'Dynamic Materials'!R31</f>
        <v>1.2286007609406925E-4</v>
      </c>
      <c r="X22" s="1">
        <f ca="1">'Dynamic Materials'!T31</f>
        <v>1.2286007609406925E-4</v>
      </c>
      <c r="Y22" s="1">
        <f ca="1">IFERROR('Dynamic Materials'!U31+'Dynamic Materials'!AQ31, 0)</f>
        <v>1.2286007609406925E-4</v>
      </c>
      <c r="Z22" s="1">
        <f ca="1">IFERROR('Dynamic Materials'!S31+'Dynamic Materials'!AQ31, 0)</f>
        <v>1.2286007609406925E-4</v>
      </c>
      <c r="AA22" s="1">
        <f ca="1">'Dynamic Materials'!W31</f>
        <v>0</v>
      </c>
      <c r="AB22" s="1">
        <v>0</v>
      </c>
      <c r="AC22" s="1">
        <v>0</v>
      </c>
      <c r="AD22" s="209">
        <f>BZ22+200*Material_Impacts[[#This Row],[Truck (32+t)]]+1130*CB22</f>
        <v>0</v>
      </c>
      <c r="AE22" s="1">
        <v>0</v>
      </c>
      <c r="AF22" s="1">
        <v>0</v>
      </c>
      <c r="AG22" s="1"/>
      <c r="AH22" s="1">
        <v>0</v>
      </c>
      <c r="AI22" s="209">
        <f>'Dynamic Materials'!AG31</f>
        <v>0</v>
      </c>
      <c r="AJ22" s="1">
        <v>0</v>
      </c>
      <c r="AK22" s="1">
        <v>0</v>
      </c>
      <c r="AL22" s="1"/>
      <c r="AM22" s="1">
        <f t="shared" si="0"/>
        <v>0</v>
      </c>
      <c r="AN22" s="1">
        <v>0</v>
      </c>
      <c r="AO22" s="1">
        <v>0</v>
      </c>
      <c r="AP22" s="209">
        <v>0</v>
      </c>
      <c r="AQ22" s="1">
        <f ca="1">'Dynamic Materials'!O31</f>
        <v>0</v>
      </c>
      <c r="AR22" s="1">
        <f ca="1">'Dynamic Materials'!P31</f>
        <v>0</v>
      </c>
      <c r="AS22" s="1"/>
      <c r="AT22" s="1" cm="1">
        <f t="array" aca="1" ref="AT22" ca="1">IFERROR(INDEX(Electricity_projection,MATCH($B22&amp;$A22,INDEX(Electricity_projection,0,3),0),MATCH(YEAR(TODAY()),Timeline_elec_projec,0)+3)*INDEX(Recyc_mat_energy_input,MATCH(AT$1,'Data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22" s="1" cm="1">
        <f t="array" aca="1" ref="AU22" ca="1">IFERROR(INDEX(Electricity_projection,MATCH($B22&amp;$A22,INDEX(Electricity_projection,0,3),0),MATCH(YEAR(TODAY()),Timeline_elec_projec,0)+3)*INDEX(Recyc_mat_energy_input,MATCH(AU$1,'Data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22" s="1" cm="1">
        <f t="array" aca="1" ref="AV22" ca="1">IFERROR(INDEX(Electricity_projection,MATCH($B22&amp;$A22,INDEX(Electricity_projection,0,3),0),MATCH(YEAR(TODAY()),Timeline_elec_projec,0)+3)*INDEX(Recyc_mat_energy_input,MATCH(AV$1,'Data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22" s="1"/>
      <c r="AX22" s="1"/>
      <c r="AY22" s="1"/>
      <c r="AZ22" s="1"/>
      <c r="BA22" s="1"/>
      <c r="BB22" s="1"/>
      <c r="BC22" s="1">
        <f t="shared" si="1"/>
        <v>0</v>
      </c>
      <c r="BD22" s="1">
        <v>0</v>
      </c>
      <c r="BE22" s="1">
        <v>0.34399999999999997</v>
      </c>
      <c r="BF22" s="1"/>
      <c r="BG22" s="1">
        <f ca="1">'Dynamic Materials'!V31</f>
        <v>1.5000000000000001E-12</v>
      </c>
      <c r="BH22" s="1"/>
      <c r="BI22" s="1" t="str" cm="1">
        <f t="array" aca="1" ref="BI22" ca="1">IFERROR(INDEX(Electricity_projection,MATCH($B22&amp;$A22,INDEX(Electricity_projection,0,3),0),MATCH(YEAR(TODAY()),Timeline_elec_projec,0)+3)*INDEX(Recyc_mat_energy_input,MATCH(BI$1,'Data Entry'!$B$91:$B$96,0),1)+Diesel_density*INDEX(Recyc_mat_energy_input,MATCH(BI$1,'Data Entry'!$B$91:$B$96,0),2)*INDEX(Indicators,ROW(),MATCH("Diesel Combustion",Materials!$1:$1,0)), "")</f>
        <v/>
      </c>
      <c r="BJ22" s="1"/>
      <c r="BK22" s="1" t="str" cm="1">
        <f t="array" aca="1" ref="BK22" ca="1">IFERROR(INDEX(Electricity_projection,MATCH($B22&amp;$A22,INDEX(Electricity_projection,0,3),0),MATCH(YEAR(TODAY()),Timeline_elec_projec,0)+3)*INDEX(Recyc_mat_energy_input,MATCH(BK$1,'Data Entry'!$B$91:$B$96,0),1)+Diesel_density*INDEX(Recyc_mat_energy_input,MATCH(BK$1,'Data Entry'!$B$91:$B$96,0),2)*INDEX(Indicators,ROW(),MATCH("Diesel Combustion",Materials!$1:$1,0)), "")</f>
        <v/>
      </c>
      <c r="BL22" s="1" t="str" cm="1">
        <f t="array" aca="1" ref="BL22" ca="1">IFERROR(INDEX(Electricity_projection,MATCH($B22&amp;$A22,INDEX(Electricity_projection,0,3),0),MATCH(YEAR(TODAY()),Timeline_elec_projec,0)+3)*INDEX(Recyc_mat_energy_input,MATCH(BL$1,'Data Entry'!$B$91:$B$96,0),1)+Diesel_density*INDEX(Recyc_mat_energy_input,MATCH(BL$1,'Data Entry'!$B$91:$B$96,0),2)*INDEX(Indicators,ROW(),MATCH("Diesel Combustion",Materials!$1:$1,0)), "")</f>
        <v/>
      </c>
      <c r="BM22" s="1"/>
      <c r="BN22" s="1">
        <f>IF(Steel_supplier="Pacific Steel",Material_Impacts[[#This Row],[Pacific Steel]],Material_Impacts[[#This Row],[Infrabuild]])</f>
        <v>5.0000000000000002E-11</v>
      </c>
      <c r="BO22" s="1">
        <v>5.0000000000000002E-11</v>
      </c>
      <c r="BP22" s="1">
        <v>4.9100000000000005E-2</v>
      </c>
      <c r="BQ22">
        <v>0</v>
      </c>
      <c r="BR22">
        <v>0</v>
      </c>
      <c r="BS22" s="443"/>
      <c r="BT22" s="443"/>
      <c r="BU22" s="443"/>
      <c r="BV22" s="443">
        <v>1</v>
      </c>
      <c r="BX22" s="1">
        <v>0</v>
      </c>
      <c r="BY22" s="1">
        <f t="shared" si="3"/>
        <v>0</v>
      </c>
      <c r="BZ22">
        <v>0</v>
      </c>
      <c r="CA22" s="1">
        <v>0</v>
      </c>
      <c r="CB22">
        <v>0</v>
      </c>
      <c r="CC22">
        <v>0</v>
      </c>
      <c r="CD22" s="378">
        <f t="shared" si="2"/>
        <v>0</v>
      </c>
      <c r="CE22" s="208">
        <f t="shared" si="4"/>
        <v>0</v>
      </c>
      <c r="CF22" s="208"/>
      <c r="CG22" s="208"/>
      <c r="CH22" s="208"/>
      <c r="CI22" s="208"/>
      <c r="CJ22" s="208"/>
      <c r="CK22" s="208"/>
      <c r="CL22" s="208"/>
      <c r="CM22" s="208"/>
      <c r="CN22" s="208"/>
      <c r="CO22" s="208"/>
      <c r="CP22" s="208"/>
      <c r="CQ22" s="208"/>
      <c r="CZ22" s="208"/>
      <c r="DA22" s="208"/>
      <c r="DB22" s="208"/>
    </row>
    <row r="23" spans="1:106" x14ac:dyDescent="0.35">
      <c r="A23" t="s">
        <v>512</v>
      </c>
      <c r="B23" t="s">
        <v>54</v>
      </c>
      <c r="C23" t="s">
        <v>51</v>
      </c>
      <c r="D23" t="str">
        <f>Material_Impacts[[#This Row],[15804 version]]&amp;Material_Impacts[[#This Row],[Methodology]]&amp;Material_Impacts[[#This Row],[Acronym]]</f>
        <v>A1AttributionalRSF</v>
      </c>
      <c r="E23" t="s">
        <v>761</v>
      </c>
      <c r="F23" t="s">
        <v>760</v>
      </c>
      <c r="G23" s="1">
        <v>0</v>
      </c>
      <c r="H23" s="1">
        <v>0</v>
      </c>
      <c r="I23" s="1">
        <v>0</v>
      </c>
      <c r="J23" s="1">
        <v>0</v>
      </c>
      <c r="K23" s="1">
        <v>0</v>
      </c>
      <c r="L23" s="1">
        <v>0</v>
      </c>
      <c r="M23" s="1">
        <v>0</v>
      </c>
      <c r="N23" s="1"/>
      <c r="O23" s="443"/>
      <c r="P23" s="1">
        <v>0</v>
      </c>
      <c r="Q23" s="1">
        <v>0</v>
      </c>
      <c r="R23" s="1">
        <v>0</v>
      </c>
      <c r="S23" s="1">
        <v>0</v>
      </c>
      <c r="T23" s="1">
        <v>0</v>
      </c>
      <c r="U23" s="1">
        <v>0</v>
      </c>
      <c r="V23" s="1">
        <f ca="1">IFERROR('Dynamic Materials'!Q32+'Dynamic Materials'!AQ32, 0)</f>
        <v>1.2286007609406925E-4</v>
      </c>
      <c r="W23" s="1">
        <f ca="1">'Dynamic Materials'!R32</f>
        <v>1.2286007609406925E-4</v>
      </c>
      <c r="X23" s="1">
        <f ca="1">'Dynamic Materials'!T32</f>
        <v>1.2286007609406925E-4</v>
      </c>
      <c r="Y23" s="1">
        <f ca="1">IFERROR('Dynamic Materials'!U32+'Dynamic Materials'!AQ32, 0)</f>
        <v>1.2286007609406925E-4</v>
      </c>
      <c r="Z23" s="1">
        <f ca="1">IFERROR('Dynamic Materials'!S32+'Dynamic Materials'!AQ32, 0)</f>
        <v>1.2286007609406925E-4</v>
      </c>
      <c r="AA23" s="1">
        <f ca="1">'Dynamic Materials'!W32</f>
        <v>0.47838000000000003</v>
      </c>
      <c r="AB23" s="1">
        <v>0</v>
      </c>
      <c r="AC23" s="1">
        <v>0</v>
      </c>
      <c r="AD23" s="209">
        <f>BZ23+200*Material_Impacts[[#This Row],[Truck (32+t)]]+1130*CB23</f>
        <v>0</v>
      </c>
      <c r="AE23" s="1">
        <v>0</v>
      </c>
      <c r="AF23" s="1">
        <v>0</v>
      </c>
      <c r="AG23" s="1"/>
      <c r="AH23" s="1">
        <v>0</v>
      </c>
      <c r="AI23" s="209">
        <f>'Dynamic Materials'!AG32</f>
        <v>0</v>
      </c>
      <c r="AJ23" s="1">
        <v>0</v>
      </c>
      <c r="AK23" s="1">
        <v>0</v>
      </c>
      <c r="AL23" s="1"/>
      <c r="AM23" s="1">
        <f t="shared" si="0"/>
        <v>2.8559999999999999E-2</v>
      </c>
      <c r="AN23" s="1">
        <v>0</v>
      </c>
      <c r="AO23" s="1">
        <v>0</v>
      </c>
      <c r="AP23" s="209">
        <v>0</v>
      </c>
      <c r="AQ23" s="1">
        <f ca="1">'Dynamic Materials'!O32</f>
        <v>0</v>
      </c>
      <c r="AR23" s="1">
        <f ca="1">'Dynamic Materials'!P32</f>
        <v>0</v>
      </c>
      <c r="AS23" s="1"/>
      <c r="AT23" s="1" cm="1">
        <f t="array" aca="1" ref="AT23" ca="1">IFERROR(INDEX(Electricity_projection,MATCH($B23&amp;$A23,INDEX(Electricity_projection,0,3),0),MATCH(YEAR(TODAY()),Timeline_elec_projec,0)+3)*INDEX(Recyc_mat_energy_input,MATCH(AT$1,'Data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23" s="1" cm="1">
        <f t="array" aca="1" ref="AU23" ca="1">IFERROR(INDEX(Electricity_projection,MATCH($B23&amp;$A23,INDEX(Electricity_projection,0,3),0),MATCH(YEAR(TODAY()),Timeline_elec_projec,0)+3)*INDEX(Recyc_mat_energy_input,MATCH(AU$1,'Data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23" s="1" cm="1">
        <f t="array" aca="1" ref="AV23" ca="1">IFERROR(INDEX(Electricity_projection,MATCH($B23&amp;$A23,INDEX(Electricity_projection,0,3),0),MATCH(YEAR(TODAY()),Timeline_elec_projec,0)+3)*INDEX(Recyc_mat_energy_input,MATCH(AV$1,'Data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23" s="1"/>
      <c r="AX23" s="1"/>
      <c r="AY23" s="1"/>
      <c r="AZ23" s="1"/>
      <c r="BA23" s="1"/>
      <c r="BB23" s="1"/>
      <c r="BC23" s="1">
        <f t="shared" si="1"/>
        <v>0.71399999999999997</v>
      </c>
      <c r="BD23" s="1">
        <v>0.71399999999999997</v>
      </c>
      <c r="BE23" s="1">
        <v>4.0099999999999997E-2</v>
      </c>
      <c r="BF23" s="1"/>
      <c r="BG23" s="1">
        <f ca="1">'Dynamic Materials'!V32</f>
        <v>8.5680000000126585E-2</v>
      </c>
      <c r="BH23" s="1"/>
      <c r="BI23" s="1" t="str" cm="1">
        <f t="array" aca="1" ref="BI23" ca="1">IFERROR(INDEX(Electricity_projection,MATCH($B23&amp;$A23,INDEX(Electricity_projection,0,3),0),MATCH(YEAR(TODAY()),Timeline_elec_projec,0)+3)*INDEX(Recyc_mat_energy_input,MATCH(BI$1,'Data Entry'!$B$91:$B$96,0),1)+Diesel_density*INDEX(Recyc_mat_energy_input,MATCH(BI$1,'Data Entry'!$B$91:$B$96,0),2)*INDEX(Indicators,ROW(),MATCH("Diesel Combustion",Materials!$1:$1,0)), "")</f>
        <v/>
      </c>
      <c r="BJ23" s="1"/>
      <c r="BK23" s="1" t="str" cm="1">
        <f t="array" aca="1" ref="BK23" ca="1">IFERROR(INDEX(Electricity_projection,MATCH($B23&amp;$A23,INDEX(Electricity_projection,0,3),0),MATCH(YEAR(TODAY()),Timeline_elec_projec,0)+3)*INDEX(Recyc_mat_energy_input,MATCH(BK$1,'Data Entry'!$B$91:$B$96,0),1)+Diesel_density*INDEX(Recyc_mat_energy_input,MATCH(BK$1,'Data Entry'!$B$91:$B$96,0),2)*INDEX(Indicators,ROW(),MATCH("Diesel Combustion",Materials!$1:$1,0)), "")</f>
        <v/>
      </c>
      <c r="BL23" s="1" t="str" cm="1">
        <f t="array" aca="1" ref="BL23" ca="1">IFERROR(INDEX(Electricity_projection,MATCH($B23&amp;$A23,INDEX(Electricity_projection,0,3),0),MATCH(YEAR(TODAY()),Timeline_elec_projec,0)+3)*INDEX(Recyc_mat_energy_input,MATCH(BL$1,'Data Entry'!$B$91:$B$96,0),1)+Diesel_density*INDEX(Recyc_mat_energy_input,MATCH(BL$1,'Data Entry'!$B$91:$B$96,0),2)*INDEX(Indicators,ROW(),MATCH("Diesel Combustion",Materials!$1:$1,0)), "")</f>
        <v/>
      </c>
      <c r="BM23" s="1"/>
      <c r="BN23" s="1">
        <f>IF(Steel_supplier="Pacific Steel",Material_Impacts[[#This Row],[Pacific Steel]],Material_Impacts[[#This Row],[Infrabuild]])</f>
        <v>4.2200000000000002E-12</v>
      </c>
      <c r="BO23" s="1">
        <v>4.2200000000000002E-12</v>
      </c>
      <c r="BP23" s="1">
        <v>0</v>
      </c>
      <c r="BQ23">
        <v>0</v>
      </c>
      <c r="BR23">
        <v>0</v>
      </c>
      <c r="BS23" s="443"/>
      <c r="BT23" s="443"/>
      <c r="BU23" s="443"/>
      <c r="BV23" s="443">
        <v>1</v>
      </c>
      <c r="BX23" s="1">
        <v>0</v>
      </c>
      <c r="BY23" s="1">
        <f t="shared" si="3"/>
        <v>0</v>
      </c>
      <c r="BZ23">
        <v>0</v>
      </c>
      <c r="CA23" s="1">
        <v>0</v>
      </c>
      <c r="CB23">
        <v>0</v>
      </c>
      <c r="CC23">
        <v>0</v>
      </c>
      <c r="CD23" s="378">
        <f t="shared" si="2"/>
        <v>0</v>
      </c>
      <c r="CE23" s="208">
        <f t="shared" si="4"/>
        <v>0</v>
      </c>
      <c r="CF23" s="208"/>
      <c r="CG23" s="208"/>
      <c r="CH23" s="208"/>
      <c r="CI23" s="208"/>
      <c r="CJ23" s="208"/>
      <c r="CK23" s="208"/>
      <c r="CL23" s="208"/>
      <c r="CM23" s="208"/>
      <c r="CN23" s="208"/>
      <c r="CO23" s="208"/>
      <c r="CP23" s="208"/>
      <c r="CQ23" s="208"/>
      <c r="CZ23" s="208"/>
      <c r="DA23" s="208"/>
      <c r="DB23" s="208"/>
    </row>
    <row r="24" spans="1:106" x14ac:dyDescent="0.35">
      <c r="A24" t="s">
        <v>546</v>
      </c>
      <c r="B24" t="s">
        <v>54</v>
      </c>
      <c r="C24" t="s">
        <v>51</v>
      </c>
      <c r="D24" t="str">
        <f>Material_Impacts[[#This Row],[15804 version]]&amp;Material_Impacts[[#This Row],[Methodology]]&amp;Material_Impacts[[#This Row],[Acronym]]</f>
        <v>A1AttributionalHWD</v>
      </c>
      <c r="E24" t="s">
        <v>762</v>
      </c>
      <c r="F24" t="s">
        <v>763</v>
      </c>
      <c r="G24" s="1">
        <v>0</v>
      </c>
      <c r="H24" s="1">
        <v>0</v>
      </c>
      <c r="I24" s="1">
        <v>0</v>
      </c>
      <c r="J24" s="1">
        <v>0</v>
      </c>
      <c r="K24" s="1">
        <v>0</v>
      </c>
      <c r="L24" s="1">
        <v>0</v>
      </c>
      <c r="M24" s="1">
        <v>0</v>
      </c>
      <c r="N24" s="1"/>
      <c r="O24" s="443"/>
      <c r="P24" s="1">
        <v>0</v>
      </c>
      <c r="Q24" s="1">
        <v>0</v>
      </c>
      <c r="R24" s="1">
        <v>0</v>
      </c>
      <c r="S24" s="1">
        <v>0</v>
      </c>
      <c r="T24" s="1">
        <v>0</v>
      </c>
      <c r="U24" s="1">
        <v>0</v>
      </c>
      <c r="V24" s="1">
        <f ca="1">IFERROR('Dynamic Materials'!Q33+'Dynamic Materials'!AQ33, 0)</f>
        <v>1.2286007609406925E-4</v>
      </c>
      <c r="W24" s="1">
        <f ca="1">'Dynamic Materials'!R33</f>
        <v>1.2286007609406925E-4</v>
      </c>
      <c r="X24" s="1">
        <f ca="1">'Dynamic Materials'!T33</f>
        <v>1.2286007609406925E-4</v>
      </c>
      <c r="Y24" s="1">
        <f ca="1">IFERROR('Dynamic Materials'!U33+'Dynamic Materials'!AQ33, 0)</f>
        <v>1.2286007609406925E-4</v>
      </c>
      <c r="Z24" s="1">
        <f ca="1">IFERROR('Dynamic Materials'!S33+'Dynamic Materials'!AQ33, 0)</f>
        <v>1.2286007609406925E-4</v>
      </c>
      <c r="AA24" s="1">
        <f ca="1">'Dynamic Materials'!W33</f>
        <v>8.3750000000000005E-10</v>
      </c>
      <c r="AB24" s="1">
        <v>0</v>
      </c>
      <c r="AC24" s="1">
        <v>0</v>
      </c>
      <c r="AD24" s="209">
        <f>BZ24+200*Material_Impacts[[#This Row],[Truck (32+t)]]+1130*CB24</f>
        <v>0</v>
      </c>
      <c r="AE24" s="1">
        <v>0</v>
      </c>
      <c r="AF24" s="1">
        <v>0</v>
      </c>
      <c r="AG24" s="1"/>
      <c r="AH24" s="1">
        <v>0</v>
      </c>
      <c r="AI24" s="209">
        <f>'Dynamic Materials'!AG33</f>
        <v>0</v>
      </c>
      <c r="AJ24" s="1">
        <v>0</v>
      </c>
      <c r="AK24" s="1">
        <v>0</v>
      </c>
      <c r="AL24" s="1"/>
      <c r="AM24" s="1">
        <f t="shared" si="0"/>
        <v>5.0000000000000002E-11</v>
      </c>
      <c r="AN24" s="1">
        <v>0</v>
      </c>
      <c r="AO24" s="1">
        <v>0</v>
      </c>
      <c r="AP24" s="209">
        <v>0</v>
      </c>
      <c r="AQ24" s="1">
        <f ca="1">'Dynamic Materials'!O33</f>
        <v>0</v>
      </c>
      <c r="AR24" s="1">
        <f ca="1">'Dynamic Materials'!P33</f>
        <v>0</v>
      </c>
      <c r="AS24" s="1"/>
      <c r="AT24" s="1" cm="1">
        <f t="array" aca="1" ref="AT24" ca="1">IFERROR(INDEX(Electricity_projection,MATCH($B24&amp;$A24,INDEX(Electricity_projection,0,3),0),MATCH(YEAR(TODAY()),Timeline_elec_projec,0)+3)*INDEX(Recyc_mat_energy_input,MATCH(AT$1,'Data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24" s="1" cm="1">
        <f t="array" aca="1" ref="AU24" ca="1">IFERROR(INDEX(Electricity_projection,MATCH($B24&amp;$A24,INDEX(Electricity_projection,0,3),0),MATCH(YEAR(TODAY()),Timeline_elec_projec,0)+3)*INDEX(Recyc_mat_energy_input,MATCH(AU$1,'Data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24" s="1" cm="1">
        <f t="array" aca="1" ref="AV24" ca="1">IFERROR(INDEX(Electricity_projection,MATCH($B24&amp;$A24,INDEX(Electricity_projection,0,3),0),MATCH(YEAR(TODAY()),Timeline_elec_projec,0)+3)*INDEX(Recyc_mat_energy_input,MATCH(AV$1,'Data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24" s="1"/>
      <c r="AX24" s="1"/>
      <c r="AY24" s="1"/>
      <c r="AZ24" s="1"/>
      <c r="BA24" s="1"/>
      <c r="BB24" s="1"/>
      <c r="BC24" s="1">
        <f t="shared" si="1"/>
        <v>1.25E-9</v>
      </c>
      <c r="BD24" s="1">
        <v>1.25E-9</v>
      </c>
      <c r="BE24" s="1">
        <v>0</v>
      </c>
      <c r="BF24" s="1"/>
      <c r="BG24" s="1">
        <f ca="1">'Dynamic Materials'!V33</f>
        <v>8.6400000000000001E-10</v>
      </c>
      <c r="BH24" s="1"/>
      <c r="BI24" s="1" t="str" cm="1">
        <f t="array" aca="1" ref="BI24" ca="1">IFERROR(INDEX(Electricity_projection,MATCH($B24&amp;$A24,INDEX(Electricity_projection,0,3),0),MATCH(YEAR(TODAY()),Timeline_elec_projec,0)+3)*INDEX(Recyc_mat_energy_input,MATCH(BI$1,'Data Entry'!$B$91:$B$96,0),1)+Diesel_density*INDEX(Recyc_mat_energy_input,MATCH(BI$1,'Data Entry'!$B$91:$B$96,0),2)*INDEX(Indicators,ROW(),MATCH("Diesel Combustion",Materials!$1:$1,0)), "")</f>
        <v/>
      </c>
      <c r="BJ24" s="1"/>
      <c r="BK24" s="1" t="str" cm="1">
        <f t="array" aca="1" ref="BK24" ca="1">IFERROR(INDEX(Electricity_projection,MATCH($B24&amp;$A24,INDEX(Electricity_projection,0,3),0),MATCH(YEAR(TODAY()),Timeline_elec_projec,0)+3)*INDEX(Recyc_mat_energy_input,MATCH(BK$1,'Data Entry'!$B$91:$B$96,0),1)+Diesel_density*INDEX(Recyc_mat_energy_input,MATCH(BK$1,'Data Entry'!$B$91:$B$96,0),2)*INDEX(Indicators,ROW(),MATCH("Diesel Combustion",Materials!$1:$1,0)), "")</f>
        <v/>
      </c>
      <c r="BL24" s="1" t="str" cm="1">
        <f t="array" aca="1" ref="BL24" ca="1">IFERROR(INDEX(Electricity_projection,MATCH($B24&amp;$A24,INDEX(Electricity_projection,0,3),0),MATCH(YEAR(TODAY()),Timeline_elec_projec,0)+3)*INDEX(Recyc_mat_energy_input,MATCH(BL$1,'Data Entry'!$B$91:$B$96,0),1)+Diesel_density*INDEX(Recyc_mat_energy_input,MATCH(BL$1,'Data Entry'!$B$91:$B$96,0),2)*INDEX(Indicators,ROW(),MATCH("Diesel Combustion",Materials!$1:$1,0)), "")</f>
        <v/>
      </c>
      <c r="BM24" s="1"/>
      <c r="BN24" s="1">
        <f>IF(Steel_supplier="Pacific Steel",Material_Impacts[[#This Row],[Pacific Steel]],Material_Impacts[[#This Row],[Infrabuild]])</f>
        <v>2.3800000000000001E-8</v>
      </c>
      <c r="BO24" s="1">
        <v>2.3800000000000001E-8</v>
      </c>
      <c r="BP24" s="1">
        <v>5.5400000000000003E-9</v>
      </c>
      <c r="BQ24">
        <v>0</v>
      </c>
      <c r="BR24">
        <v>0</v>
      </c>
      <c r="BS24" s="443"/>
      <c r="BT24" s="443"/>
      <c r="BU24" s="443"/>
      <c r="BV24" s="443">
        <v>1</v>
      </c>
      <c r="BX24" s="1">
        <v>0</v>
      </c>
      <c r="BY24" s="1">
        <f t="shared" si="3"/>
        <v>0</v>
      </c>
      <c r="BZ24">
        <v>0</v>
      </c>
      <c r="CA24" s="1">
        <v>0</v>
      </c>
      <c r="CB24">
        <v>0</v>
      </c>
      <c r="CC24">
        <v>0</v>
      </c>
      <c r="CD24" s="378">
        <f t="shared" si="2"/>
        <v>0</v>
      </c>
      <c r="CE24" s="208">
        <f t="shared" si="4"/>
        <v>0</v>
      </c>
      <c r="CF24" s="208"/>
      <c r="CG24" s="208"/>
      <c r="CH24" s="208"/>
      <c r="CI24" s="208"/>
      <c r="CJ24" s="208"/>
      <c r="CK24" s="208"/>
      <c r="CL24" s="208"/>
      <c r="CM24" s="208"/>
      <c r="CN24" s="208"/>
      <c r="CO24" s="208"/>
      <c r="CP24" s="208"/>
      <c r="CQ24" s="208"/>
      <c r="CZ24" s="208"/>
      <c r="DA24" s="208"/>
      <c r="DB24" s="208"/>
    </row>
    <row r="25" spans="1:106" x14ac:dyDescent="0.35">
      <c r="A25" t="s">
        <v>516</v>
      </c>
      <c r="B25" t="s">
        <v>54</v>
      </c>
      <c r="C25" t="s">
        <v>51</v>
      </c>
      <c r="D25" t="str">
        <f>Material_Impacts[[#This Row],[15804 version]]&amp;Material_Impacts[[#This Row],[Methodology]]&amp;Material_Impacts[[#This Row],[Acronym]]</f>
        <v>A1AttributionalNHWD</v>
      </c>
      <c r="E25" t="s">
        <v>764</v>
      </c>
      <c r="F25" t="s">
        <v>765</v>
      </c>
      <c r="G25" s="1">
        <v>0</v>
      </c>
      <c r="H25" s="1">
        <v>0</v>
      </c>
      <c r="I25" s="1">
        <v>0</v>
      </c>
      <c r="J25" s="1">
        <v>0</v>
      </c>
      <c r="K25" s="1">
        <v>0</v>
      </c>
      <c r="L25" s="1">
        <v>0</v>
      </c>
      <c r="M25" s="1">
        <v>0</v>
      </c>
      <c r="N25" s="1"/>
      <c r="O25" s="443"/>
      <c r="P25" s="1">
        <v>0</v>
      </c>
      <c r="Q25" s="1">
        <v>0</v>
      </c>
      <c r="R25" s="1">
        <v>0</v>
      </c>
      <c r="S25" s="1">
        <v>0</v>
      </c>
      <c r="T25" s="1">
        <v>0</v>
      </c>
      <c r="U25" s="1">
        <v>0</v>
      </c>
      <c r="V25" s="1">
        <f ca="1">IFERROR('Dynamic Materials'!Q34+'Dynamic Materials'!AQ34, 0)</f>
        <v>1.2286007609406925E-4</v>
      </c>
      <c r="W25" s="1">
        <f ca="1">'Dynamic Materials'!R34</f>
        <v>1.2286007609406925E-4</v>
      </c>
      <c r="X25" s="1">
        <f ca="1">'Dynamic Materials'!T34</f>
        <v>1.2286007609406925E-4</v>
      </c>
      <c r="Y25" s="1">
        <f ca="1">IFERROR('Dynamic Materials'!U34+'Dynamic Materials'!AQ34, 0)</f>
        <v>1.2286007609406925E-4</v>
      </c>
      <c r="Z25" s="1">
        <f ca="1">IFERROR('Dynamic Materials'!S34+'Dynamic Materials'!AQ34, 0)</f>
        <v>1.2286007609406925E-4</v>
      </c>
      <c r="AA25" s="1">
        <f ca="1">'Dynamic Materials'!W34</f>
        <v>8.7100000000000003E-5</v>
      </c>
      <c r="AB25" s="1">
        <v>0</v>
      </c>
      <c r="AC25" s="1">
        <v>0</v>
      </c>
      <c r="AD25" s="209">
        <f>BZ25+200*Material_Impacts[[#This Row],[Truck (32+t)]]+1130*CB25</f>
        <v>0</v>
      </c>
      <c r="AE25" s="1">
        <v>0</v>
      </c>
      <c r="AF25" s="1">
        <v>0</v>
      </c>
      <c r="AG25" s="1"/>
      <c r="AH25" s="1">
        <v>0</v>
      </c>
      <c r="AI25" s="209">
        <f>'Dynamic Materials'!AG34</f>
        <v>0</v>
      </c>
      <c r="AJ25" s="1">
        <v>0</v>
      </c>
      <c r="AK25" s="1">
        <v>0</v>
      </c>
      <c r="AL25" s="1"/>
      <c r="AM25" s="1">
        <f t="shared" si="0"/>
        <v>5.1999999999999993E-6</v>
      </c>
      <c r="AN25" s="1">
        <v>0</v>
      </c>
      <c r="AO25" s="1">
        <v>0</v>
      </c>
      <c r="AP25" s="209">
        <v>0</v>
      </c>
      <c r="AQ25" s="1">
        <f ca="1">'Dynamic Materials'!O34</f>
        <v>0</v>
      </c>
      <c r="AR25" s="1">
        <f ca="1">'Dynamic Materials'!P34</f>
        <v>0</v>
      </c>
      <c r="AS25" s="1"/>
      <c r="AT25" s="1" cm="1">
        <f t="array" aca="1" ref="AT25" ca="1">IFERROR(INDEX(Electricity_projection,MATCH($B25&amp;$A25,INDEX(Electricity_projection,0,3),0),MATCH(YEAR(TODAY()),Timeline_elec_projec,0)+3)*INDEX(Recyc_mat_energy_input,MATCH(AT$1,'Data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25" s="1" cm="1">
        <f t="array" aca="1" ref="AU25" ca="1">IFERROR(INDEX(Electricity_projection,MATCH($B25&amp;$A25,INDEX(Electricity_projection,0,3),0),MATCH(YEAR(TODAY()),Timeline_elec_projec,0)+3)*INDEX(Recyc_mat_energy_input,MATCH(AU$1,'Data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25" s="1" cm="1">
        <f t="array" aca="1" ref="AV25" ca="1">IFERROR(INDEX(Electricity_projection,MATCH($B25&amp;$A25,INDEX(Electricity_projection,0,3),0),MATCH(YEAR(TODAY()),Timeline_elec_projec,0)+3)*INDEX(Recyc_mat_energy_input,MATCH(AV$1,'Data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25" s="1"/>
      <c r="AX25" s="1"/>
      <c r="AY25" s="1"/>
      <c r="AZ25" s="1"/>
      <c r="BA25" s="1"/>
      <c r="BB25" s="1"/>
      <c r="BC25" s="1">
        <f t="shared" si="1"/>
        <v>1.2999999999999999E-4</v>
      </c>
      <c r="BD25" s="1">
        <v>1.2999999999999999E-4</v>
      </c>
      <c r="BE25" s="1">
        <v>5.77E-5</v>
      </c>
      <c r="BF25" s="1"/>
      <c r="BG25" s="1">
        <f ca="1">'Dynamic Materials'!V34</f>
        <v>8.1755999999999999E-3</v>
      </c>
      <c r="BH25" s="1"/>
      <c r="BI25" s="1" t="str" cm="1">
        <f t="array" aca="1" ref="BI25" ca="1">IFERROR(INDEX(Electricity_projection,MATCH($B25&amp;$A25,INDEX(Electricity_projection,0,3),0),MATCH(YEAR(TODAY()),Timeline_elec_projec,0)+3)*INDEX(Recyc_mat_energy_input,MATCH(BI$1,'Data Entry'!$B$91:$B$96,0),1)+Diesel_density*INDEX(Recyc_mat_energy_input,MATCH(BI$1,'Data Entry'!$B$91:$B$96,0),2)*INDEX(Indicators,ROW(),MATCH("Diesel Combustion",Materials!$1:$1,0)), "")</f>
        <v/>
      </c>
      <c r="BJ25" s="1"/>
      <c r="BK25" s="1" t="str" cm="1">
        <f t="array" aca="1" ref="BK25" ca="1">IFERROR(INDEX(Electricity_projection,MATCH($B25&amp;$A25,INDEX(Electricity_projection,0,3),0),MATCH(YEAR(TODAY()),Timeline_elec_projec,0)+3)*INDEX(Recyc_mat_energy_input,MATCH(BK$1,'Data Entry'!$B$91:$B$96,0),1)+Diesel_density*INDEX(Recyc_mat_energy_input,MATCH(BK$1,'Data Entry'!$B$91:$B$96,0),2)*INDEX(Indicators,ROW(),MATCH("Diesel Combustion",Materials!$1:$1,0)), "")</f>
        <v/>
      </c>
      <c r="BL25" s="1" t="str" cm="1">
        <f t="array" aca="1" ref="BL25" ca="1">IFERROR(INDEX(Electricity_projection,MATCH($B25&amp;$A25,INDEX(Electricity_projection,0,3),0),MATCH(YEAR(TODAY()),Timeline_elec_projec,0)+3)*INDEX(Recyc_mat_energy_input,MATCH(BL$1,'Data Entry'!$B$91:$B$96,0),1)+Diesel_density*INDEX(Recyc_mat_energy_input,MATCH(BL$1,'Data Entry'!$B$91:$B$96,0),2)*INDEX(Indicators,ROW(),MATCH("Diesel Combustion",Materials!$1:$1,0)), "")</f>
        <v/>
      </c>
      <c r="BM25" s="1"/>
      <c r="BN25" s="1">
        <f>IF(Steel_supplier="Pacific Steel",Material_Impacts[[#This Row],[Pacific Steel]],Material_Impacts[[#This Row],[Infrabuild]])</f>
        <v>0.27200000000000002</v>
      </c>
      <c r="BO25" s="1">
        <v>0.27200000000000002</v>
      </c>
      <c r="BP25" s="1">
        <v>0.44600000000000001</v>
      </c>
      <c r="BQ25">
        <v>0</v>
      </c>
      <c r="BR25">
        <v>0</v>
      </c>
      <c r="BS25" s="443"/>
      <c r="BT25" s="443"/>
      <c r="BU25" s="443"/>
      <c r="BV25" s="443">
        <v>1</v>
      </c>
      <c r="BX25" s="1">
        <v>0</v>
      </c>
      <c r="BY25" s="1">
        <f t="shared" si="3"/>
        <v>0</v>
      </c>
      <c r="BZ25">
        <v>0</v>
      </c>
      <c r="CA25" s="1">
        <v>0</v>
      </c>
      <c r="CB25">
        <v>0</v>
      </c>
      <c r="CC25">
        <v>0</v>
      </c>
      <c r="CD25" s="378">
        <f t="shared" si="2"/>
        <v>0</v>
      </c>
      <c r="CE25" s="208">
        <f t="shared" si="4"/>
        <v>0</v>
      </c>
      <c r="CF25" s="208"/>
      <c r="CG25" s="208"/>
      <c r="CH25" s="208"/>
      <c r="CI25" s="208"/>
      <c r="CJ25" s="208"/>
      <c r="CK25" s="208"/>
      <c r="CL25" s="208"/>
      <c r="CM25" s="208"/>
      <c r="CN25" s="208"/>
      <c r="CO25" s="208"/>
      <c r="CP25" s="208"/>
      <c r="CQ25" s="208"/>
      <c r="CZ25" s="208"/>
      <c r="DA25" s="208"/>
      <c r="DB25" s="208"/>
    </row>
    <row r="26" spans="1:106" x14ac:dyDescent="0.35">
      <c r="A26" t="s">
        <v>518</v>
      </c>
      <c r="B26" t="s">
        <v>54</v>
      </c>
      <c r="C26" t="s">
        <v>51</v>
      </c>
      <c r="D26" t="str">
        <f>Material_Impacts[[#This Row],[15804 version]]&amp;Material_Impacts[[#This Row],[Methodology]]&amp;Material_Impacts[[#This Row],[Acronym]]</f>
        <v>A1AttributionalRWD</v>
      </c>
      <c r="E26" t="s">
        <v>766</v>
      </c>
      <c r="F26" t="s">
        <v>767</v>
      </c>
      <c r="G26" s="1">
        <v>0</v>
      </c>
      <c r="H26" s="1">
        <v>0</v>
      </c>
      <c r="I26" s="1">
        <v>0</v>
      </c>
      <c r="J26" s="1">
        <v>0</v>
      </c>
      <c r="K26" s="1">
        <v>0</v>
      </c>
      <c r="L26" s="1">
        <v>0</v>
      </c>
      <c r="M26" s="1">
        <v>0</v>
      </c>
      <c r="N26" s="1"/>
      <c r="O26" s="443"/>
      <c r="P26" s="1">
        <v>0</v>
      </c>
      <c r="Q26" s="1">
        <v>0</v>
      </c>
      <c r="R26" s="1">
        <v>0</v>
      </c>
      <c r="S26" s="1">
        <v>0</v>
      </c>
      <c r="T26" s="1">
        <v>0</v>
      </c>
      <c r="U26" s="1">
        <v>0</v>
      </c>
      <c r="V26" s="1">
        <f ca="1">IFERROR('Dynamic Materials'!Q35+'Dynamic Materials'!AQ35, 0)</f>
        <v>1.2286007609406925E-4</v>
      </c>
      <c r="W26" s="1">
        <f ca="1">'Dynamic Materials'!R35</f>
        <v>1.2286007609406925E-4</v>
      </c>
      <c r="X26" s="1">
        <f ca="1">'Dynamic Materials'!T35</f>
        <v>1.2286007609406925E-4</v>
      </c>
      <c r="Y26" s="1">
        <f ca="1">IFERROR('Dynamic Materials'!U35+'Dynamic Materials'!AQ35, 0)</f>
        <v>1.2286007609406925E-4</v>
      </c>
      <c r="Z26" s="1">
        <f ca="1">IFERROR('Dynamic Materials'!S35+'Dynamic Materials'!AQ35, 0)</f>
        <v>1.2286007609406925E-4</v>
      </c>
      <c r="AA26" s="1">
        <f ca="1">'Dynamic Materials'!W35</f>
        <v>3.0686000000000004E-7</v>
      </c>
      <c r="AB26" s="1">
        <v>0</v>
      </c>
      <c r="AC26" s="1">
        <v>0</v>
      </c>
      <c r="AD26" s="209">
        <f>BZ26+200*Material_Impacts[[#This Row],[Truck (32+t)]]+1130*CB26</f>
        <v>0</v>
      </c>
      <c r="AE26" s="1">
        <v>0</v>
      </c>
      <c r="AF26" s="1">
        <v>0</v>
      </c>
      <c r="AG26" s="1"/>
      <c r="AH26" s="1">
        <v>0</v>
      </c>
      <c r="AI26" s="209">
        <f>'Dynamic Materials'!AG35</f>
        <v>0</v>
      </c>
      <c r="AJ26" s="1">
        <v>0</v>
      </c>
      <c r="AK26" s="1">
        <v>0</v>
      </c>
      <c r="AL26" s="1"/>
      <c r="AM26" s="1">
        <f t="shared" si="0"/>
        <v>1.8320000000000001E-8</v>
      </c>
      <c r="AN26" s="1">
        <v>0</v>
      </c>
      <c r="AO26" s="1">
        <v>0</v>
      </c>
      <c r="AP26" s="209">
        <v>0</v>
      </c>
      <c r="AQ26" s="1">
        <f ca="1">'Dynamic Materials'!O35</f>
        <v>0</v>
      </c>
      <c r="AR26" s="1">
        <f ca="1">'Dynamic Materials'!P35</f>
        <v>0</v>
      </c>
      <c r="AS26" s="1"/>
      <c r="AT26" s="1" cm="1">
        <f t="array" aca="1" ref="AT26" ca="1">IFERROR(INDEX(Electricity_projection,MATCH($B26&amp;$A26,INDEX(Electricity_projection,0,3),0),MATCH(YEAR(TODAY()),Timeline_elec_projec,0)+3)*INDEX(Recyc_mat_energy_input,MATCH(AT$1,'Data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26" s="1" cm="1">
        <f t="array" aca="1" ref="AU26" ca="1">IFERROR(INDEX(Electricity_projection,MATCH($B26&amp;$A26,INDEX(Electricity_projection,0,3),0),MATCH(YEAR(TODAY()),Timeline_elec_projec,0)+3)*INDEX(Recyc_mat_energy_input,MATCH(AU$1,'Data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26" s="1" cm="1">
        <f t="array" aca="1" ref="AV26" ca="1">IFERROR(INDEX(Electricity_projection,MATCH($B26&amp;$A26,INDEX(Electricity_projection,0,3),0),MATCH(YEAR(TODAY()),Timeline_elec_projec,0)+3)*INDEX(Recyc_mat_energy_input,MATCH(AV$1,'Data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26" s="1"/>
      <c r="AX26" s="1"/>
      <c r="AY26" s="1"/>
      <c r="AZ26" s="1"/>
      <c r="BA26" s="1"/>
      <c r="BB26" s="1"/>
      <c r="BC26" s="1">
        <f t="shared" si="1"/>
        <v>4.58E-7</v>
      </c>
      <c r="BD26" s="1">
        <v>4.58E-7</v>
      </c>
      <c r="BE26" s="1">
        <v>0</v>
      </c>
      <c r="BF26" s="1"/>
      <c r="BG26" s="1">
        <f ca="1">'Dynamic Materials'!V35</f>
        <v>3.4749599999999999E-6</v>
      </c>
      <c r="BH26" s="1"/>
      <c r="BI26" s="1" t="str" cm="1">
        <f t="array" aca="1" ref="BI26" ca="1">IFERROR(INDEX(Electricity_projection,MATCH($B26&amp;$A26,INDEX(Electricity_projection,0,3),0),MATCH(YEAR(TODAY()),Timeline_elec_projec,0)+3)*INDEX(Recyc_mat_energy_input,MATCH(BI$1,'Data Entry'!$B$91:$B$96,0),1)+Diesel_density*INDEX(Recyc_mat_energy_input,MATCH(BI$1,'Data Entry'!$B$91:$B$96,0),2)*INDEX(Indicators,ROW(),MATCH("Diesel Combustion",Materials!$1:$1,0)), "")</f>
        <v/>
      </c>
      <c r="BJ26" s="1"/>
      <c r="BK26" s="1" t="str" cm="1">
        <f t="array" aca="1" ref="BK26" ca="1">IFERROR(INDEX(Electricity_projection,MATCH($B26&amp;$A26,INDEX(Electricity_projection,0,3),0),MATCH(YEAR(TODAY()),Timeline_elec_projec,0)+3)*INDEX(Recyc_mat_energy_input,MATCH(BK$1,'Data Entry'!$B$91:$B$96,0),1)+Diesel_density*INDEX(Recyc_mat_energy_input,MATCH(BK$1,'Data Entry'!$B$91:$B$96,0),2)*INDEX(Indicators,ROW(),MATCH("Diesel Combustion",Materials!$1:$1,0)), "")</f>
        <v/>
      </c>
      <c r="BL26" s="1" t="str" cm="1">
        <f t="array" aca="1" ref="BL26" ca="1">IFERROR(INDEX(Electricity_projection,MATCH($B26&amp;$A26,INDEX(Electricity_projection,0,3),0),MATCH(YEAR(TODAY()),Timeline_elec_projec,0)+3)*INDEX(Recyc_mat_energy_input,MATCH(BL$1,'Data Entry'!$B$91:$B$96,0),1)+Diesel_density*INDEX(Recyc_mat_energy_input,MATCH(BL$1,'Data Entry'!$B$91:$B$96,0),2)*INDEX(Indicators,ROW(),MATCH("Diesel Combustion",Materials!$1:$1,0)), "")</f>
        <v/>
      </c>
      <c r="BM26" s="1"/>
      <c r="BN26" s="1">
        <f>IF(Steel_supplier="Pacific Steel",Material_Impacts[[#This Row],[Pacific Steel]],Material_Impacts[[#This Row],[Infrabuild]])</f>
        <v>1.1400000000000001E-4</v>
      </c>
      <c r="BO26" s="1">
        <v>1.1400000000000001E-4</v>
      </c>
      <c r="BP26" s="1">
        <v>4.0200000000000001E-5</v>
      </c>
      <c r="BQ26">
        <v>0</v>
      </c>
      <c r="BR26">
        <v>0</v>
      </c>
      <c r="BS26" s="443"/>
      <c r="BT26" s="443"/>
      <c r="BU26" s="443"/>
      <c r="BV26" s="443">
        <v>1</v>
      </c>
      <c r="BX26" s="1">
        <v>0</v>
      </c>
      <c r="BY26" s="1">
        <f t="shared" si="3"/>
        <v>0</v>
      </c>
      <c r="BZ26">
        <v>0</v>
      </c>
      <c r="CA26" s="1">
        <v>0</v>
      </c>
      <c r="CB26">
        <v>0</v>
      </c>
      <c r="CC26">
        <v>0</v>
      </c>
      <c r="CD26" s="378">
        <f t="shared" si="2"/>
        <v>0</v>
      </c>
      <c r="CE26" s="208">
        <f t="shared" si="4"/>
        <v>0</v>
      </c>
      <c r="CF26" s="208"/>
      <c r="CG26" s="208"/>
      <c r="CH26" s="208"/>
      <c r="CI26" s="208"/>
      <c r="CJ26" s="208"/>
      <c r="CK26" s="208"/>
      <c r="CL26" s="208"/>
      <c r="CM26" s="208"/>
      <c r="CN26" s="208"/>
      <c r="CO26" s="208"/>
      <c r="CP26" s="208"/>
      <c r="CQ26" s="208"/>
      <c r="CZ26" s="208"/>
      <c r="DA26" s="208"/>
      <c r="DB26" s="208"/>
    </row>
    <row r="27" spans="1:106" x14ac:dyDescent="0.35">
      <c r="A27" t="s">
        <v>379</v>
      </c>
      <c r="B27" t="s">
        <v>54</v>
      </c>
      <c r="C27" t="s">
        <v>768</v>
      </c>
      <c r="D27" t="str">
        <f>Material_Impacts[[#This Row],[15804 version]]&amp;Material_Impacts[[#This Row],[Methodology]]&amp;Material_Impacts[[#This Row],[Acronym]]</f>
        <v>A2AttributionalAP</v>
      </c>
      <c r="E27" t="s">
        <v>769</v>
      </c>
      <c r="F27" s="1" t="s">
        <v>770</v>
      </c>
      <c r="G27" s="1">
        <v>1.5750641039604E-2</v>
      </c>
      <c r="H27" s="1">
        <v>2.08563960784314E-2</v>
      </c>
      <c r="I27" s="1">
        <v>9.6679092543630902E-3</v>
      </c>
      <c r="J27" s="1">
        <v>1.5750641039604E-2</v>
      </c>
      <c r="K27" s="1">
        <v>6.4582644658838099E-7</v>
      </c>
      <c r="L27" s="1">
        <v>1.4036070378736796E-6</v>
      </c>
      <c r="M27" s="1">
        <v>5.4205341693500056E-7</v>
      </c>
      <c r="N27" s="1"/>
      <c r="O27" s="443"/>
      <c r="P27" s="1">
        <v>1E-4</v>
      </c>
      <c r="Q27" s="1">
        <v>0</v>
      </c>
      <c r="R27" s="1">
        <v>0</v>
      </c>
      <c r="S27" s="1">
        <v>0</v>
      </c>
      <c r="T27" s="1">
        <v>0</v>
      </c>
      <c r="U27" s="1">
        <v>0</v>
      </c>
      <c r="V27" s="1">
        <f ca="1">IFERROR('Dynamic Materials'!Q36+'Dynamic Materials'!AQ36, 0)</f>
        <v>7.0049118746596888E-4</v>
      </c>
      <c r="W27" s="1">
        <f ca="1">'Dynamic Materials'!R36</f>
        <v>5.5967996959385669E-4</v>
      </c>
      <c r="X27" s="1">
        <f ca="1">'Dynamic Materials'!T36</f>
        <v>4.9886904192123502E-4</v>
      </c>
      <c r="Y27" s="1">
        <f ca="1">IFERROR('Dynamic Materials'!U36+'Dynamic Materials'!AQ36, 0)</f>
        <v>5.8637240800712412E-4</v>
      </c>
      <c r="Z27" s="1">
        <f ca="1">IFERROR('Dynamic Materials'!S36+'Dynamic Materials'!AQ36, 0)</f>
        <v>6.4276848308487977E-4</v>
      </c>
      <c r="AA27" s="1">
        <f ca="1">'Dynamic Materials'!W36</f>
        <v>5.5149514000000003E-4</v>
      </c>
      <c r="AB27" s="1">
        <v>3.6900000000000001E-3</v>
      </c>
      <c r="AC27" s="1">
        <v>2.7890000000000002E-2</v>
      </c>
      <c r="AD27" s="209">
        <f>BZ27+200*Material_Impacts[[#This Row],[Truck (32+t)]]+1130*CB27</f>
        <v>5.6587106833870006E-3</v>
      </c>
      <c r="AE27" s="1">
        <v>3.5300000000000002E-3</v>
      </c>
      <c r="AF27" s="1">
        <v>1.8000000000000001E-4</v>
      </c>
      <c r="AG27" s="1"/>
      <c r="AH27" s="1">
        <v>7.2500000000000004E-3</v>
      </c>
      <c r="AI27" s="209">
        <f>'Dynamic Materials'!AG36</f>
        <v>6.8940000000000008E-3</v>
      </c>
      <c r="AJ27" s="1">
        <v>7.8331700000000001E-5</v>
      </c>
      <c r="AK27" s="1">
        <v>1E-4</v>
      </c>
      <c r="AL27" s="1"/>
      <c r="AM27" s="1">
        <f t="shared" si="0"/>
        <v>3.2919999999999997E-5</v>
      </c>
      <c r="AN27" s="1">
        <v>1.4999999999999999E-4</v>
      </c>
      <c r="AO27" s="1">
        <v>1.66E-3</v>
      </c>
      <c r="AP27" s="209">
        <v>2.5800000000000001E-7</v>
      </c>
      <c r="AQ27" s="1">
        <f ca="1">'Dynamic Materials'!O36</f>
        <v>3.5747962607797084E-4</v>
      </c>
      <c r="AR27" s="1">
        <f ca="1">'Dynamic Materials'!P36</f>
        <v>4.7371698507475067E-4</v>
      </c>
      <c r="AS27" s="1"/>
      <c r="AT27" s="1" cm="1">
        <f t="array" aca="1" ref="AT27" ca="1">IFERROR(INDEX(Electricity_projection,MATCH($B27&amp;$A27,INDEX(Electricity_projection,0,3),0),MATCH(YEAR(TODAY()),Timeline_elec_projec,0)+3)*INDEX(Recyc_mat_energy_input,MATCH(AT$1,'Data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1.9103175611437017E-5</v>
      </c>
      <c r="AU27" s="1" cm="1">
        <f t="array" aca="1" ref="AU27" ca="1">IFERROR(INDEX(Electricity_projection,MATCH($B27&amp;$A27,INDEX(Electricity_projection,0,3),0),MATCH(YEAR(TODAY()),Timeline_elec_projec,0)+3)*INDEX(Recyc_mat_energy_input,MATCH(AU$1,'Data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1.3998784323777648E-5</v>
      </c>
      <c r="AV27" s="1" cm="1">
        <f t="array" aca="1" ref="AV27" ca="1">IFERROR(INDEX(Electricity_projection,MATCH($B27&amp;$A27,INDEX(Electricity_projection,0,3),0),MATCH(YEAR(TODAY()),Timeline_elec_projec,0)+3)*INDEX(Recyc_mat_energy_input,MATCH(AV$1,'Data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2.2419748869770804E-5</v>
      </c>
      <c r="AW27" s="1"/>
      <c r="AX27" s="1"/>
      <c r="AY27" s="1"/>
      <c r="AZ27" s="1"/>
      <c r="BA27" s="1"/>
      <c r="BB27" s="1"/>
      <c r="BC27" s="1">
        <f t="shared" si="1"/>
        <v>8.2299999999999995E-4</v>
      </c>
      <c r="BD27" s="1">
        <v>8.2299999999999995E-4</v>
      </c>
      <c r="BE27" s="1"/>
      <c r="BF27" s="1"/>
      <c r="BG27" s="1">
        <f ca="1">'Dynamic Materials'!V36</f>
        <v>1.1283423757967266E-4</v>
      </c>
      <c r="BH27" s="1"/>
      <c r="BI27" s="1" cm="1">
        <f t="array" aca="1" ref="BI27" ca="1">IFERROR(INDEX(Electricity_projection,MATCH($B27&amp;$A27,INDEX(Electricity_projection,0,3),0),MATCH(YEAR(TODAY()),Timeline_elec_projec,0)+3)*INDEX(Recyc_mat_energy_input,MATCH(BI$1,'Data Entry'!$B$91:$B$96,0),1)+Diesel_density*INDEX(Recyc_mat_energy_input,MATCH(BI$1,'Data Entry'!$B$91:$B$96,0),2)*INDEX(Indicators,ROW(),MATCH("Diesel Combustion",Materials!$1:$1,0)), "")</f>
        <v>0</v>
      </c>
      <c r="BJ27" s="1"/>
      <c r="BK27" s="1" cm="1">
        <f t="array" aca="1" ref="BK27" ca="1">IFERROR(INDEX(Electricity_projection,MATCH($B27&amp;$A27,INDEX(Electricity_projection,0,3),0),MATCH(YEAR(TODAY()),Timeline_elec_projec,0)+3)*INDEX(Recyc_mat_energy_input,MATCH(BK$1,'Data Entry'!$B$91:$B$96,0),1)+Diesel_density*INDEX(Recyc_mat_energy_input,MATCH(BK$1,'Data Entry'!$B$91:$B$96,0),2)*INDEX(Indicators,ROW(),MATCH("Diesel Combustion",Materials!$1:$1,0)), "")</f>
        <v>6.9535930061643753E-6</v>
      </c>
      <c r="BL27" s="1" cm="1">
        <f t="array" aca="1" ref="BL27" ca="1">IFERROR(INDEX(Electricity_projection,MATCH($B27&amp;$A27,INDEX(Electricity_projection,0,3),0),MATCH(YEAR(TODAY()),Timeline_elec_projec,0)+3)*INDEX(Recyc_mat_energy_input,MATCH(BL$1,'Data Entry'!$B$91:$B$96,0),1)+Diesel_density*INDEX(Recyc_mat_energy_input,MATCH(BL$1,'Data Entry'!$B$91:$B$96,0),2)*INDEX(Indicators,ROW(),MATCH("Diesel Combustion",Materials!$1:$1,0)), "")</f>
        <v>6.5066666666666672E-5</v>
      </c>
      <c r="BM27" s="1"/>
      <c r="BN27" s="1">
        <f>IF(Steel_supplier="Pacific Steel",Material_Impacts[[#This Row],[Pacific Steel]],Material_Impacts[[#This Row],[Infrabuild]])</f>
        <v>0</v>
      </c>
      <c r="BO27" s="1"/>
      <c r="BP27" s="1">
        <v>6.6649999999999999E-4</v>
      </c>
      <c r="BQ27">
        <v>7.1199999999999996E-3</v>
      </c>
      <c r="BR27">
        <v>5.7400000000000003E-3</v>
      </c>
      <c r="BS27" s="450"/>
      <c r="BT27" s="450"/>
      <c r="BU27" s="450"/>
      <c r="BV27" s="443">
        <v>1</v>
      </c>
      <c r="BX27" s="1">
        <v>3.2399999999999998E-3</v>
      </c>
      <c r="BY27" s="1">
        <f t="shared" si="3"/>
        <v>7.4956622325043378E-5</v>
      </c>
      <c r="BZ27">
        <v>5.1999999999999998E-3</v>
      </c>
      <c r="CA27" s="1">
        <v>0</v>
      </c>
      <c r="CB27">
        <v>3.1E-7</v>
      </c>
      <c r="CC27">
        <v>7.3499999999999998E-3</v>
      </c>
      <c r="CD27" s="378">
        <f t="shared" si="2"/>
        <v>2.9882946000000001E-3</v>
      </c>
      <c r="CE27" s="208">
        <f t="shared" si="4"/>
        <v>1.0338294599999999E-2</v>
      </c>
      <c r="CF27" s="208"/>
      <c r="CG27" s="208"/>
      <c r="CH27" s="208"/>
      <c r="CI27" s="208"/>
      <c r="CJ27" s="208"/>
      <c r="CK27" s="208"/>
      <c r="CL27" s="208"/>
      <c r="CM27" s="209"/>
      <c r="CN27" s="208"/>
      <c r="CO27" s="208"/>
      <c r="CP27" s="208"/>
      <c r="CQ27" s="208"/>
      <c r="CZ27" s="208"/>
      <c r="DA27" s="208"/>
      <c r="DB27" s="208"/>
    </row>
    <row r="28" spans="1:106" x14ac:dyDescent="0.35">
      <c r="A28" t="s">
        <v>384</v>
      </c>
      <c r="B28" t="s">
        <v>54</v>
      </c>
      <c r="C28" t="s">
        <v>768</v>
      </c>
      <c r="D28" t="str">
        <f>Material_Impacts[[#This Row],[15804 version]]&amp;Material_Impacts[[#This Row],[Methodology]]&amp;Material_Impacts[[#This Row],[Acronym]]</f>
        <v>A2AttributionalGWP_bio</v>
      </c>
      <c r="E28" t="s">
        <v>771</v>
      </c>
      <c r="F28" s="1" t="s">
        <v>381</v>
      </c>
      <c r="G28" s="1">
        <v>8.4999999999999995E-4</v>
      </c>
      <c r="H28" s="1">
        <v>8.4999999999999995E-4</v>
      </c>
      <c r="I28" s="1">
        <v>8.4999999999999995E-4</v>
      </c>
      <c r="J28" s="1">
        <v>8.4999999999999995E-4</v>
      </c>
      <c r="K28" s="1">
        <v>2.2000534111860858E-8</v>
      </c>
      <c r="L28" s="1">
        <v>5.3272725294494686E-8</v>
      </c>
      <c r="M28" s="1">
        <v>1.8526181766648973E-8</v>
      </c>
      <c r="N28" s="1"/>
      <c r="O28" s="443"/>
      <c r="P28" s="1">
        <v>5.2935899999999997E-6</v>
      </c>
      <c r="Q28" s="1">
        <v>0</v>
      </c>
      <c r="R28" s="1">
        <v>0</v>
      </c>
      <c r="S28" s="1">
        <v>0</v>
      </c>
      <c r="T28" s="1">
        <v>0</v>
      </c>
      <c r="U28" s="1">
        <v>0</v>
      </c>
      <c r="V28" s="1">
        <f ca="1">IFERROR('Dynamic Materials'!Q37+'Dynamic Materials'!AQ37, 0)</f>
        <v>1.8596131741530233E-4</v>
      </c>
      <c r="W28" s="1">
        <f ca="1">'Dynamic Materials'!R37</f>
        <v>1.4704342282536906E-4</v>
      </c>
      <c r="X28" s="1">
        <f ca="1">'Dynamic Materials'!T37</f>
        <v>1.442695437594691E-4</v>
      </c>
      <c r="Y28" s="1">
        <f ca="1">IFERROR('Dynamic Materials'!U37+'Dynamic Materials'!AQ37, 0)</f>
        <v>1.6876484520923573E-4</v>
      </c>
      <c r="Z28" s="1">
        <f ca="1">IFERROR('Dynamic Materials'!S37+'Dynamic Materials'!AQ37, 0)</f>
        <v>1.7762773912226903E-4</v>
      </c>
      <c r="AA28" s="1">
        <f ca="1">'Dynamic Materials'!W37</f>
        <v>8.5470000000000005E-7</v>
      </c>
      <c r="AB28" s="1">
        <v>-1.9000000000000001E-4</v>
      </c>
      <c r="AC28" s="1">
        <v>0.12479999999999999</v>
      </c>
      <c r="AD28" s="209">
        <f>BZ28+200*Material_Impacts[[#This Row],[Truck (32+t)]]+1130*CB28</f>
        <v>8.8787969085332979E-4</v>
      </c>
      <c r="AE28" s="1">
        <v>-2.33E-3</v>
      </c>
      <c r="AF28" s="1">
        <v>8.2490800000000006E-5</v>
      </c>
      <c r="AG28" s="1"/>
      <c r="AH28" s="1">
        <v>-1.891E-2</v>
      </c>
      <c r="AI28" s="209">
        <f>'Dynamic Materials'!AG37</f>
        <v>-1.3359999999999997E-3</v>
      </c>
      <c r="AJ28" s="1">
        <v>1.1E-4</v>
      </c>
      <c r="AK28" s="1">
        <v>-5.4379999999999998E-5</v>
      </c>
      <c r="AL28" s="1"/>
      <c r="AM28" s="1">
        <f t="shared" si="0"/>
        <v>0</v>
      </c>
      <c r="AN28" s="1">
        <v>3.8000000000000002E-4</v>
      </c>
      <c r="AO28" s="1">
        <v>-4.0099999999999997E-3</v>
      </c>
      <c r="AP28" s="209">
        <v>2.5900000000000002E-6</v>
      </c>
      <c r="AQ28" s="1">
        <f ca="1">'Dynamic Materials'!O37</f>
        <v>5.4767663028199786E-5</v>
      </c>
      <c r="AR28" s="1">
        <f ca="1">'Dynamic Materials'!P37</f>
        <v>-1.3194511842299999E-4</v>
      </c>
      <c r="AS28" s="1"/>
      <c r="AT28" s="1" cm="1">
        <f t="array" aca="1" ref="AT28" ca="1">IFERROR(INDEX(Electricity_projection,MATCH($B28&amp;$A28,INDEX(Electricity_projection,0,3),0),MATCH(YEAR(TODAY()),Timeline_elec_projec,0)+3)*INDEX(Recyc_mat_energy_input,MATCH(AT$1,'Data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1.5902995500000001E-6</v>
      </c>
      <c r="AU28" s="1" cm="1">
        <f t="array" aca="1" ref="AU28" ca="1">IFERROR(INDEX(Electricity_projection,MATCH($B28&amp;$A28,INDEX(Electricity_projection,0,3),0),MATCH(YEAR(TODAY()),Timeline_elec_projec,0)+3)*INDEX(Recyc_mat_energy_input,MATCH(AU$1,'Data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5.1092819999999997E-7</v>
      </c>
      <c r="AV28" s="1" cm="1">
        <f t="array" aca="1" ref="AV28" ca="1">IFERROR(INDEX(Electricity_projection,MATCH($B28&amp;$A28,INDEX(Electricity_projection,0,3),0),MATCH(YEAR(TODAY()),Timeline_elec_projec,0)+3)*INDEX(Recyc_mat_energy_input,MATCH(AV$1,'Data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2.6701049999999997E-7</v>
      </c>
      <c r="AW28" s="1"/>
      <c r="AX28" s="1"/>
      <c r="AY28" s="1"/>
      <c r="AZ28" s="1"/>
      <c r="BA28" s="1"/>
      <c r="BB28" s="1"/>
      <c r="BC28" s="1">
        <f t="shared" si="1"/>
        <v>0</v>
      </c>
      <c r="BD28" s="1"/>
      <c r="BE28" s="1"/>
      <c r="BF28" s="1"/>
      <c r="BG28" s="1">
        <f ca="1">'Dynamic Materials'!V37</f>
        <v>1.237051875E-6</v>
      </c>
      <c r="BH28" s="1"/>
      <c r="BI28" s="1" t="str" cm="1">
        <f t="array" aca="1" ref="BI28" ca="1">IFERROR(INDEX(Electricity_projection,MATCH($B28&amp;$A28,INDEX(Electricity_projection,0,3),0),MATCH(YEAR(TODAY()),Timeline_elec_projec,0)+3)*INDEX(Recyc_mat_energy_input,MATCH(BI$1,'Data Entry'!$B$91:$B$96,0),1)+Diesel_density*INDEX(Recyc_mat_energy_input,MATCH(BI$1,'Data Entry'!$B$91:$B$96,0),2)*INDEX(Indicators,ROW(),MATCH("Diesel Combustion",Materials!$1:$1,0)), "")</f>
        <v/>
      </c>
      <c r="BJ28" s="1"/>
      <c r="BK28" s="1" t="str" cm="1">
        <f t="array" aca="1" ref="BK28" ca="1">IFERROR(INDEX(Electricity_projection,MATCH($B28&amp;$A28,INDEX(Electricity_projection,0,3),0),MATCH(YEAR(TODAY()),Timeline_elec_projec,0)+3)*INDEX(Recyc_mat_energy_input,MATCH(BK$1,'Data Entry'!$B$91:$B$96,0),1)+Diesel_density*INDEX(Recyc_mat_energy_input,MATCH(BK$1,'Data Entry'!$B$91:$B$96,0),2)*INDEX(Indicators,ROW(),MATCH("Diesel Combustion",Materials!$1:$1,0)), "")</f>
        <v/>
      </c>
      <c r="BL28" s="1" t="str" cm="1">
        <f t="array" aca="1" ref="BL28" ca="1">IFERROR(INDEX(Electricity_projection,MATCH($B28&amp;$A28,INDEX(Electricity_projection,0,3),0),MATCH(YEAR(TODAY()),Timeline_elec_projec,0)+3)*INDEX(Recyc_mat_energy_input,MATCH(BL$1,'Data Entry'!$B$91:$B$96,0),1)+Diesel_density*INDEX(Recyc_mat_energy_input,MATCH(BL$1,'Data Entry'!$B$91:$B$96,0),2)*INDEX(Indicators,ROW(),MATCH("Diesel Combustion",Materials!$1:$1,0)), "")</f>
        <v/>
      </c>
      <c r="BM28" s="1"/>
      <c r="BN28" s="1">
        <f>IF(Steel_supplier="Pacific Steel",Material_Impacts[[#This Row],[Pacific Steel]],Material_Impacts[[#This Row],[Infrabuild]])</f>
        <v>0</v>
      </c>
      <c r="BO28" s="1"/>
      <c r="BP28" s="1">
        <v>-1.1084002499999999E-5</v>
      </c>
      <c r="BQ28">
        <v>8.4999999999999995E-4</v>
      </c>
      <c r="BR28">
        <v>8.4999999999999995E-4</v>
      </c>
      <c r="BS28" s="450"/>
      <c r="BT28" s="450"/>
      <c r="BU28" s="450"/>
      <c r="BV28" s="443">
        <v>1</v>
      </c>
      <c r="BX28" s="1">
        <v>2.0000000000000001E-4</v>
      </c>
      <c r="BY28" s="1">
        <f t="shared" si="3"/>
        <v>4.6269519953730481E-6</v>
      </c>
      <c r="BZ28">
        <v>8.8999999999999995E-4</v>
      </c>
      <c r="CA28" s="1">
        <v>0</v>
      </c>
      <c r="CB28">
        <v>-5.1553499999999996E-9</v>
      </c>
      <c r="CC28">
        <v>-1.8329999999999999E-2</v>
      </c>
      <c r="CD28" s="378">
        <f t="shared" si="2"/>
        <v>-4.9695821180999994E-5</v>
      </c>
      <c r="CE28" s="208">
        <f t="shared" si="4"/>
        <v>-1.8379695821181E-2</v>
      </c>
      <c r="CF28" s="208"/>
      <c r="CG28" s="208"/>
      <c r="CH28" s="208"/>
      <c r="CI28" s="208"/>
      <c r="CJ28" s="208"/>
      <c r="CK28" s="208"/>
      <c r="CL28" s="208"/>
      <c r="CM28" s="209"/>
      <c r="CN28" s="208"/>
      <c r="CO28" s="208"/>
      <c r="CP28" s="208"/>
      <c r="CQ28" s="208"/>
      <c r="CZ28" s="208"/>
      <c r="DA28" s="208"/>
      <c r="DB28" s="208"/>
    </row>
    <row r="29" spans="1:106" x14ac:dyDescent="0.35">
      <c r="A29" t="s">
        <v>386</v>
      </c>
      <c r="B29" t="s">
        <v>54</v>
      </c>
      <c r="C29" t="s">
        <v>768</v>
      </c>
      <c r="D29" t="str">
        <f>Material_Impacts[[#This Row],[15804 version]]&amp;Material_Impacts[[#This Row],[Methodology]]&amp;Material_Impacts[[#This Row],[Acronym]]</f>
        <v>A2AttributionalGWP_foss</v>
      </c>
      <c r="E29" t="s">
        <v>772</v>
      </c>
      <c r="F29" t="s">
        <v>381</v>
      </c>
      <c r="G29" s="1">
        <v>3.6611673310806303</v>
      </c>
      <c r="H29" s="1">
        <v>3.6788817647058902</v>
      </c>
      <c r="I29" s="1">
        <v>3.7447402908170999</v>
      </c>
      <c r="J29" s="1">
        <v>0.48212734671423441</v>
      </c>
      <c r="K29" s="1">
        <v>9.4681004995533931E-5</v>
      </c>
      <c r="L29" s="1">
        <v>2.2896061969339328E-4</v>
      </c>
      <c r="M29" s="1">
        <v>7.9817919495944606E-5</v>
      </c>
      <c r="N29" s="1"/>
      <c r="O29" s="443"/>
      <c r="P29" s="1">
        <v>8.7599999999999997E-2</v>
      </c>
      <c r="Q29" s="1">
        <v>0</v>
      </c>
      <c r="R29" s="1">
        <v>0</v>
      </c>
      <c r="S29" s="1">
        <v>0</v>
      </c>
      <c r="T29" s="1">
        <v>0</v>
      </c>
      <c r="U29" s="1">
        <v>0</v>
      </c>
      <c r="V29" s="1">
        <f ca="1">IFERROR('Dynamic Materials'!Q38+'Dynamic Materials'!AQ38, 0)</f>
        <v>3.3248419674412326E-2</v>
      </c>
      <c r="W29" s="1">
        <f ca="1">'Dynamic Materials'!R38</f>
        <v>4.1848441456176513E-2</v>
      </c>
      <c r="X29" s="1">
        <f ca="1">'Dynamic Materials'!T38</f>
        <v>3.7201169114230541E-2</v>
      </c>
      <c r="Y29" s="1">
        <f ca="1">IFERROR('Dynamic Materials'!U38+'Dynamic Materials'!AQ38, 0)</f>
        <v>2.5464601424818756E-2</v>
      </c>
      <c r="Z29" s="1">
        <f ca="1">IFERROR('Dynamic Materials'!S38+'Dynamic Materials'!AQ38, 0)</f>
        <v>2.9829721872718377E-2</v>
      </c>
      <c r="AA29" s="1">
        <f ca="1">'Dynamic Materials'!W38</f>
        <v>1.4355000000000001E-5</v>
      </c>
      <c r="AB29" s="1">
        <v>0.43690000000000001</v>
      </c>
      <c r="AC29" s="1">
        <v>5.66906</v>
      </c>
      <c r="AD29" s="209">
        <f>BZ29+200*Material_Impacts[[#This Row],[Truck (32+t)]]+1130*CB29</f>
        <v>0.44002818389918896</v>
      </c>
      <c r="AE29" s="1">
        <v>0.28560000000000002</v>
      </c>
      <c r="AF29" s="1">
        <v>2.9139999999999999E-2</v>
      </c>
      <c r="AG29" s="1"/>
      <c r="AH29" s="1">
        <v>1.17153</v>
      </c>
      <c r="AI29" s="209">
        <f>'Dynamic Materials'!AG38</f>
        <v>0.93145800000000001</v>
      </c>
      <c r="AJ29" s="1">
        <v>1.719E-2</v>
      </c>
      <c r="AK29" s="1">
        <v>1.153E-2</v>
      </c>
      <c r="AL29" s="1"/>
      <c r="AM29" s="1">
        <f t="shared" si="0"/>
        <v>0</v>
      </c>
      <c r="AN29" s="1">
        <v>4.7489999999999997E-2</v>
      </c>
      <c r="AO29" s="1">
        <v>0.26758999999999999</v>
      </c>
      <c r="AP29" s="209">
        <v>4.35E-5</v>
      </c>
      <c r="AQ29" s="1">
        <f ca="1">'Dynamic Materials'!O38</f>
        <v>2.9706861796624306E-2</v>
      </c>
      <c r="AR29" s="1">
        <f ca="1">'Dynamic Materials'!P38</f>
        <v>7.1436790762672966E-2</v>
      </c>
      <c r="AS29" s="1"/>
      <c r="AT29" s="1" cm="1">
        <f t="array" aca="1" ref="AT29" ca="1">IFERROR(INDEX(Electricity_projection,MATCH($B29&amp;$A29,INDEX(Electricity_projection,0,3),0),MATCH(YEAR(TODAY()),Timeline_elec_projec,0)+3)*INDEX(Recyc_mat_energy_input,MATCH(AT$1,'Data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3.516139109226562E-3</v>
      </c>
      <c r="AU29" s="1" cm="1">
        <f t="array" aca="1" ref="AU29" ca="1">IFERROR(INDEX(Electricity_projection,MATCH($B29&amp;$A29,INDEX(Electricity_projection,0,3),0),MATCH(YEAR(TODAY()),Timeline_elec_projec,0)+3)*INDEX(Recyc_mat_energy_input,MATCH(AU$1,'Data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2.2006983933739181E-3</v>
      </c>
      <c r="AV29" s="1" cm="1">
        <f t="array" aca="1" ref="AV29" ca="1">IFERROR(INDEX(Electricity_projection,MATCH($B29&amp;$A29,INDEX(Electricity_projection,0,3),0),MATCH(YEAR(TODAY()),Timeline_elec_projec,0)+3)*INDEX(Recyc_mat_energy_input,MATCH(AV$1,'Data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1.1500824937123583E-3</v>
      </c>
      <c r="AW29" s="1"/>
      <c r="AX29" s="1"/>
      <c r="AY29" s="1"/>
      <c r="AZ29" s="1"/>
      <c r="BA29" s="1"/>
      <c r="BB29" s="1"/>
      <c r="BC29" s="1">
        <f t="shared" si="1"/>
        <v>0</v>
      </c>
      <c r="BD29" s="1"/>
      <c r="BE29" s="1"/>
      <c r="BF29" s="1"/>
      <c r="BG29" s="1">
        <f ca="1">'Dynamic Materials'!V38</f>
        <v>1.9946110533557524E-3</v>
      </c>
      <c r="BH29" s="1"/>
      <c r="BI29" s="1" t="str" cm="1">
        <f t="array" aca="1" ref="BI29" ca="1">IFERROR(INDEX(Electricity_projection,MATCH($B29&amp;$A29,INDEX(Electricity_projection,0,3),0),MATCH(YEAR(TODAY()),Timeline_elec_projec,0)+3)*INDEX(Recyc_mat_energy_input,MATCH(BI$1,'Data Entry'!$B$91:$B$96,0),1)+Diesel_density*INDEX(Recyc_mat_energy_input,MATCH(BI$1,'Data Entry'!$B$91:$B$96,0),2)*INDEX(Indicators,ROW(),MATCH("Diesel Combustion",Materials!$1:$1,0)), "")</f>
        <v/>
      </c>
      <c r="BJ29" s="1"/>
      <c r="BK29" s="1" t="str" cm="1">
        <f t="array" aca="1" ref="BK29" ca="1">IFERROR(INDEX(Electricity_projection,MATCH($B29&amp;$A29,INDEX(Electricity_projection,0,3),0),MATCH(YEAR(TODAY()),Timeline_elec_projec,0)+3)*INDEX(Recyc_mat_energy_input,MATCH(BK$1,'Data Entry'!$B$91:$B$96,0),1)+Diesel_density*INDEX(Recyc_mat_energy_input,MATCH(BK$1,'Data Entry'!$B$91:$B$96,0),2)*INDEX(Indicators,ROW(),MATCH("Diesel Combustion",Materials!$1:$1,0)), "")</f>
        <v/>
      </c>
      <c r="BL29" s="1" t="str" cm="1">
        <f t="array" aca="1" ref="BL29" ca="1">IFERROR(INDEX(Electricity_projection,MATCH($B29&amp;$A29,INDEX(Electricity_projection,0,3),0),MATCH(YEAR(TODAY()),Timeline_elec_projec,0)+3)*INDEX(Recyc_mat_energy_input,MATCH(BL$1,'Data Entry'!$B$91:$B$96,0),1)+Diesel_density*INDEX(Recyc_mat_energy_input,MATCH(BL$1,'Data Entry'!$B$91:$B$96,0),2)*INDEX(Indicators,ROW(),MATCH("Diesel Combustion",Materials!$1:$1,0)), "")</f>
        <v/>
      </c>
      <c r="BM29" s="1"/>
      <c r="BN29" s="1">
        <f>IF(Steel_supplier="Pacific Steel",Material_Impacts[[#This Row],[Pacific Steel]],Material_Impacts[[#This Row],[Infrabuild]])</f>
        <v>0</v>
      </c>
      <c r="BO29" s="1"/>
      <c r="BP29" s="1">
        <v>2.0253E-2</v>
      </c>
      <c r="BQ29">
        <v>0.59214</v>
      </c>
      <c r="BR29">
        <v>0.45855000000000001</v>
      </c>
      <c r="BS29" s="443"/>
      <c r="BT29" s="443"/>
      <c r="BU29" s="443"/>
      <c r="BV29" s="443">
        <v>1</v>
      </c>
      <c r="BX29" s="1">
        <v>0.26124000000000003</v>
      </c>
      <c r="BY29" s="1">
        <f t="shared" si="3"/>
        <v>6.0437246963562759E-3</v>
      </c>
      <c r="BZ29">
        <v>0.41342000000000001</v>
      </c>
      <c r="CA29" s="1">
        <v>0</v>
      </c>
      <c r="CB29">
        <v>9.4199999999999996E-6</v>
      </c>
      <c r="CC29">
        <v>1.1859299999999999</v>
      </c>
      <c r="CD29" s="378">
        <f t="shared" si="2"/>
        <v>9.0805597199999991E-2</v>
      </c>
      <c r="CE29" s="208">
        <f t="shared" si="4"/>
        <v>1.2767355971999998</v>
      </c>
      <c r="CF29" s="208"/>
      <c r="CG29" s="208"/>
      <c r="CH29" s="208"/>
      <c r="CI29" s="208"/>
      <c r="CJ29" s="208"/>
      <c r="CK29" s="208"/>
      <c r="CL29" s="208"/>
      <c r="CM29" s="209"/>
      <c r="CN29" s="208"/>
      <c r="CO29" s="208"/>
      <c r="CP29" s="208"/>
      <c r="CQ29" s="208"/>
      <c r="CZ29" s="208"/>
      <c r="DA29" s="208"/>
      <c r="DB29" s="208"/>
    </row>
    <row r="30" spans="1:106" x14ac:dyDescent="0.35">
      <c r="A30" t="s">
        <v>388</v>
      </c>
      <c r="B30" t="s">
        <v>54</v>
      </c>
      <c r="C30" t="s">
        <v>768</v>
      </c>
      <c r="D30" t="str">
        <f>Material_Impacts[[#This Row],[15804 version]]&amp;Material_Impacts[[#This Row],[Methodology]]&amp;Material_Impacts[[#This Row],[Acronym]]</f>
        <v>A2AttributionalGWP_LUC</v>
      </c>
      <c r="E30" t="s">
        <v>773</v>
      </c>
      <c r="F30" s="1" t="s">
        <v>381</v>
      </c>
      <c r="G30" s="1">
        <v>1.2E-4</v>
      </c>
      <c r="H30" s="1">
        <v>1.2E-4</v>
      </c>
      <c r="I30" s="1">
        <v>1.2E-4</v>
      </c>
      <c r="J30" s="1">
        <v>1.2E-4</v>
      </c>
      <c r="K30" s="1">
        <v>3.1059577569685922E-9</v>
      </c>
      <c r="L30" s="1">
        <v>7.520855335693368E-9</v>
      </c>
      <c r="M30" s="1">
        <v>2.6154609552916198E-9</v>
      </c>
      <c r="N30" s="1"/>
      <c r="O30" s="443"/>
      <c r="P30" s="1">
        <v>2.1080199999999999E-5</v>
      </c>
      <c r="Q30" s="1">
        <v>0</v>
      </c>
      <c r="R30" s="1">
        <v>0</v>
      </c>
      <c r="S30" s="1">
        <v>0</v>
      </c>
      <c r="T30" s="1">
        <v>0</v>
      </c>
      <c r="U30" s="1">
        <v>0</v>
      </c>
      <c r="V30" s="1">
        <f ca="1">IFERROR('Dynamic Materials'!Q39+'Dynamic Materials'!AQ39, 0)</f>
        <v>1.3119717416924334E-4</v>
      </c>
      <c r="W30" s="1">
        <f ca="1">'Dynamic Materials'!R39</f>
        <v>1.370107424211498E-4</v>
      </c>
      <c r="X30" s="1">
        <f ca="1">'Dynamic Materials'!T39</f>
        <v>1.3504621242356688E-4</v>
      </c>
      <c r="Y30" s="1">
        <f ca="1">IFERROR('Dynamic Materials'!U39+'Dynamic Materials'!AQ39, 0)</f>
        <v>1.2888663241062217E-4</v>
      </c>
      <c r="Z30" s="1">
        <f ca="1">IFERROR('Dynamic Materials'!S39+'Dynamic Materials'!AQ39, 0)</f>
        <v>1.3006315392193274E-4</v>
      </c>
      <c r="AA30" s="1">
        <f ca="1">'Dynamic Materials'!W39</f>
        <v>3.2043000000000004E-8</v>
      </c>
      <c r="AB30" s="1">
        <v>2.2000000000000001E-4</v>
      </c>
      <c r="AC30" s="1">
        <v>3.8999999999999999E-4</v>
      </c>
      <c r="AD30" s="209">
        <f>BZ30+200*Material_Impacts[[#This Row],[Truck (32+t)]]+1130*CB30</f>
        <v>1.1779609989105834E-4</v>
      </c>
      <c r="AE30" s="1">
        <v>3.62E-3</v>
      </c>
      <c r="AF30" s="1">
        <v>1.8321700000000001E-5</v>
      </c>
      <c r="AG30" s="1"/>
      <c r="AH30" s="1">
        <v>4.2999999999999999E-4</v>
      </c>
      <c r="AI30" s="209">
        <f>'Dynamic Materials'!AG39</f>
        <v>4.5000000000000004E-4</v>
      </c>
      <c r="AJ30" s="1">
        <v>1.4260999999999999E-5</v>
      </c>
      <c r="AK30" s="1">
        <v>1.0203200000000001E-5</v>
      </c>
      <c r="AL30" s="1"/>
      <c r="AM30" s="1">
        <f t="shared" si="0"/>
        <v>0</v>
      </c>
      <c r="AN30" s="1">
        <v>2.3066199999999999E-5</v>
      </c>
      <c r="AO30" s="1">
        <v>1E-4</v>
      </c>
      <c r="AP30" s="209">
        <v>9.7100000000000003E-8</v>
      </c>
      <c r="AQ30" s="1">
        <f ca="1">'Dynamic Materials'!O39</f>
        <v>7.2030778278635E-6</v>
      </c>
      <c r="AR30" s="1">
        <f ca="1">'Dynamic Materials'!P39</f>
        <v>3.673531183439999E-5</v>
      </c>
      <c r="AS30" s="1"/>
      <c r="AT30" s="1" cm="1">
        <f t="array" aca="1" ref="AT30" ca="1">IFERROR(INDEX(Electricity_projection,MATCH($B30&amp;$A30,INDEX(Electricity_projection,0,3),0),MATCH(YEAR(TODAY()),Timeline_elec_projec,0)+3)*INDEX(Recyc_mat_energy_input,MATCH(AT$1,'Data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1.4394876000000002E-7</v>
      </c>
      <c r="AU30" s="1" cm="1">
        <f t="array" aca="1" ref="AU30" ca="1">IFERROR(INDEX(Electricity_projection,MATCH($B30&amp;$A30,INDEX(Electricity_projection,0,3),0),MATCH(YEAR(TODAY()),Timeline_elec_projec,0)+3)*INDEX(Recyc_mat_energy_input,MATCH(AU$1,'Data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7.2131039999999999E-8</v>
      </c>
      <c r="AV30" s="1" cm="1">
        <f t="array" aca="1" ref="AV30" ca="1">IFERROR(INDEX(Electricity_projection,MATCH($B30&amp;$A30,INDEX(Electricity_projection,0,3),0),MATCH(YEAR(TODAY()),Timeline_elec_projec,0)+3)*INDEX(Recyc_mat_energy_input,MATCH(AV$1,'Data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3.76956E-8</v>
      </c>
      <c r="AW30" s="1"/>
      <c r="AX30" s="1"/>
      <c r="AY30" s="1"/>
      <c r="AZ30" s="1"/>
      <c r="BA30" s="1"/>
      <c r="BB30" s="1"/>
      <c r="BC30" s="1">
        <f t="shared" si="1"/>
        <v>0</v>
      </c>
      <c r="BD30" s="1"/>
      <c r="BE30" s="1"/>
      <c r="BF30" s="1"/>
      <c r="BG30" s="1">
        <f ca="1">'Dynamic Materials'!V39</f>
        <v>9.4078500000000004E-8</v>
      </c>
      <c r="BH30" s="1"/>
      <c r="BI30" s="1" t="str" cm="1">
        <f t="array" aca="1" ref="BI30" ca="1">IFERROR(INDEX(Electricity_projection,MATCH($B30&amp;$A30,INDEX(Electricity_projection,0,3),0),MATCH(YEAR(TODAY()),Timeline_elec_projec,0)+3)*INDEX(Recyc_mat_energy_input,MATCH(BI$1,'Data Entry'!$B$91:$B$96,0),1)+Diesel_density*INDEX(Recyc_mat_energy_input,MATCH(BI$1,'Data Entry'!$B$91:$B$96,0),2)*INDEX(Indicators,ROW(),MATCH("Diesel Combustion",Materials!$1:$1,0)), "")</f>
        <v/>
      </c>
      <c r="BJ30" s="1"/>
      <c r="BK30" s="1" t="str" cm="1">
        <f t="array" aca="1" ref="BK30" ca="1">IFERROR(INDEX(Electricity_projection,MATCH($B30&amp;$A30,INDEX(Electricity_projection,0,3),0),MATCH(YEAR(TODAY()),Timeline_elec_projec,0)+3)*INDEX(Recyc_mat_energy_input,MATCH(BK$1,'Data Entry'!$B$91:$B$96,0),1)+Diesel_density*INDEX(Recyc_mat_energy_input,MATCH(BK$1,'Data Entry'!$B$91:$B$96,0),2)*INDEX(Indicators,ROW(),MATCH("Diesel Combustion",Materials!$1:$1,0)), "")</f>
        <v/>
      </c>
      <c r="BL30" s="1" t="str" cm="1">
        <f t="array" aca="1" ref="BL30" ca="1">IFERROR(INDEX(Electricity_projection,MATCH($B30&amp;$A30,INDEX(Electricity_projection,0,3),0),MATCH(YEAR(TODAY()),Timeline_elec_projec,0)+3)*INDEX(Recyc_mat_energy_input,MATCH(BL$1,'Data Entry'!$B$91:$B$96,0),1)+Diesel_density*INDEX(Recyc_mat_energy_input,MATCH(BL$1,'Data Entry'!$B$91:$B$96,0),2)*INDEX(Indicators,ROW(),MATCH("Diesel Combustion",Materials!$1:$1,0)), "")</f>
        <v/>
      </c>
      <c r="BM30" s="1"/>
      <c r="BN30" s="1">
        <f>IF(Steel_supplier="Pacific Steel",Material_Impacts[[#This Row],[Pacific Steel]],Material_Impacts[[#This Row],[Infrabuild]])</f>
        <v>0</v>
      </c>
      <c r="BO30" s="1"/>
      <c r="BP30" s="1">
        <v>1.38380235E-5</v>
      </c>
      <c r="BQ30">
        <v>1.2E-4</v>
      </c>
      <c r="BR30">
        <v>1.2E-4</v>
      </c>
      <c r="BS30" s="450"/>
      <c r="BT30" s="450"/>
      <c r="BU30" s="450"/>
      <c r="BV30" s="443">
        <v>1</v>
      </c>
      <c r="BX30" s="1">
        <v>3.8727299999999998E-5</v>
      </c>
      <c r="BY30" s="1">
        <f t="shared" si="3"/>
        <v>8.9594679005205322E-7</v>
      </c>
      <c r="BZ30">
        <v>1.1E-4</v>
      </c>
      <c r="CA30" s="1">
        <v>0</v>
      </c>
      <c r="CB30">
        <v>6.4362899999999995E-9</v>
      </c>
      <c r="CC30">
        <v>4.4000000000000002E-4</v>
      </c>
      <c r="CD30" s="378">
        <f t="shared" si="2"/>
        <v>6.2043647261399997E-5</v>
      </c>
      <c r="CE30" s="208">
        <f t="shared" si="4"/>
        <v>5.0204364726140005E-4</v>
      </c>
      <c r="CF30" s="208"/>
      <c r="CG30" s="208"/>
      <c r="CH30" s="208"/>
      <c r="CI30" s="208"/>
      <c r="CJ30" s="208"/>
      <c r="CK30" s="208"/>
      <c r="CL30" s="208"/>
      <c r="CM30" s="209"/>
      <c r="CN30" s="208"/>
      <c r="CO30" s="208"/>
      <c r="CP30" s="208"/>
      <c r="CQ30" s="208"/>
      <c r="CZ30" s="208"/>
      <c r="DA30" s="208"/>
      <c r="DB30" s="208"/>
    </row>
    <row r="31" spans="1:106" x14ac:dyDescent="0.35">
      <c r="A31" t="s">
        <v>382</v>
      </c>
      <c r="B31" t="s">
        <v>54</v>
      </c>
      <c r="C31" t="s">
        <v>768</v>
      </c>
      <c r="D31" t="str">
        <f>Material_Impacts[[#This Row],[15804 version]]&amp;Material_Impacts[[#This Row],[Methodology]]&amp;Material_Impacts[[#This Row],[Acronym]]</f>
        <v>A2AttributionalGWP</v>
      </c>
      <c r="E31" t="s">
        <v>774</v>
      </c>
      <c r="F31" s="1" t="s">
        <v>381</v>
      </c>
      <c r="G31" s="1">
        <v>3.6621473310806301</v>
      </c>
      <c r="H31" s="1">
        <v>3.67986176470589</v>
      </c>
      <c r="I31" s="1">
        <v>3.7457202908170997</v>
      </c>
      <c r="J31" s="1">
        <v>0.48310734671423017</v>
      </c>
      <c r="K31" s="1">
        <v>9.4706370317215841E-5</v>
      </c>
      <c r="L31" s="1">
        <v>2.2902204001196811E-4</v>
      </c>
      <c r="M31" s="1">
        <v>7.9839279093746153E-5</v>
      </c>
      <c r="N31" s="1"/>
      <c r="O31" s="443"/>
      <c r="P31" s="1">
        <v>8.7620000000000003E-2</v>
      </c>
      <c r="Q31" s="1">
        <v>0</v>
      </c>
      <c r="R31" s="1">
        <v>0</v>
      </c>
      <c r="S31" s="1">
        <v>0</v>
      </c>
      <c r="T31" s="1">
        <v>0</v>
      </c>
      <c r="U31" s="1">
        <v>0</v>
      </c>
      <c r="V31" s="1">
        <f ca="1">IFERROR('Dynamic Materials'!Q40+'Dynamic Materials'!AQ40, 0)</f>
        <v>6.1163774303365698E-2</v>
      </c>
      <c r="W31" s="1">
        <f ca="1">'Dynamic Materials'!R40</f>
        <v>4.264999994477963E-2</v>
      </c>
      <c r="X31" s="1">
        <f ca="1">'Dynamic Materials'!T40</f>
        <v>3.754773457595835E-2</v>
      </c>
      <c r="Y31" s="1">
        <f ca="1">IFERROR('Dynamic Materials'!U40+'Dynamic Materials'!AQ40, 0)</f>
        <v>5.2913338704767721E-2</v>
      </c>
      <c r="Z31" s="1">
        <f ca="1">IFERROR('Dynamic Materials'!S40+'Dynamic Materials'!AQ40, 0)</f>
        <v>5.7285367794997544E-2</v>
      </c>
      <c r="AA31" s="1">
        <f ca="1">'Dynamic Materials'!W40</f>
        <v>0.49045524600000007</v>
      </c>
      <c r="AB31" s="1">
        <v>0.43695000000000001</v>
      </c>
      <c r="AC31" s="1">
        <v>5.7946400000000002</v>
      </c>
      <c r="AD31" s="209">
        <f>BZ31+200*Material_Impacts[[#This Row],[Truck (32+t)]]+1130*CB31</f>
        <v>0.44105245581874919</v>
      </c>
      <c r="AE31" s="1">
        <v>0.28689999999999999</v>
      </c>
      <c r="AF31" s="1">
        <v>2.9239999999999999E-2</v>
      </c>
      <c r="AG31" s="1"/>
      <c r="AH31" s="1">
        <v>1.1531400000000001</v>
      </c>
      <c r="AI31" s="209">
        <f>'Dynamic Materials'!AG40</f>
        <v>0.93059600000000009</v>
      </c>
      <c r="AJ31" s="1">
        <v>1.7309999999999999E-2</v>
      </c>
      <c r="AK31" s="1">
        <v>1.149E-2</v>
      </c>
      <c r="AL31" s="1"/>
      <c r="AM31" s="1">
        <f t="shared" si="0"/>
        <v>2.928E-2</v>
      </c>
      <c r="AN31" s="1">
        <v>4.7899999999999998E-2</v>
      </c>
      <c r="AO31" s="1">
        <v>0.26371</v>
      </c>
      <c r="AP31" s="209">
        <v>4.6199999999999998E-5</v>
      </c>
      <c r="AQ31" s="1">
        <f ca="1">'Dynamic Materials'!O40</f>
        <v>3.0081721337145519E-2</v>
      </c>
      <c r="AR31" s="1">
        <f ca="1">'Dynamic Materials'!P40</f>
        <v>7.1655213988020564E-2</v>
      </c>
      <c r="AS31" s="1"/>
      <c r="AT31" s="1" cm="1">
        <f t="array" aca="1" ref="AT31" ca="1">IFERROR(INDEX(Electricity_projection,MATCH($B31&amp;$A31,INDEX(Electricity_projection,0,3),0),MATCH(YEAR(TODAY()),Timeline_elec_projec,0)+3)*INDEX(Recyc_mat_energy_input,MATCH(AT$1,'Data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3.8495467957665617E-3</v>
      </c>
      <c r="AU31" s="1" cm="1">
        <f t="array" aca="1" ref="AU31" ca="1">IFERROR(INDEX(Electricity_projection,MATCH($B31&amp;$A31,INDEX(Electricity_projection,0,3),0),MATCH(YEAR(TODAY()),Timeline_elec_projec,0)+3)*INDEX(Recyc_mat_energy_input,MATCH(AU$1,'Data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2.5812474635339179E-3</v>
      </c>
      <c r="AV31" s="1" cm="1">
        <f t="array" aca="1" ref="AV31" ca="1">IFERROR(INDEX(Electricity_projection,MATCH($B31&amp;$A31,INDEX(Electricity_projection,0,3),0),MATCH(YEAR(TODAY()),Timeline_elec_projec,0)+3)*INDEX(Recyc_mat_energy_input,MATCH(AV$1,'Data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2.6154903411123582E-3</v>
      </c>
      <c r="AW31" s="1"/>
      <c r="AX31" s="1"/>
      <c r="AY31" s="1"/>
      <c r="AZ31" s="1"/>
      <c r="BA31" s="1"/>
      <c r="BB31" s="1"/>
      <c r="BC31" s="1">
        <f t="shared" si="1"/>
        <v>0.73199999999999998</v>
      </c>
      <c r="BD31" s="1">
        <v>0.73199999999999998</v>
      </c>
      <c r="BE31" s="1"/>
      <c r="BF31" s="1"/>
      <c r="BG31" s="1">
        <f ca="1">'Dynamic Materials'!V40</f>
        <v>9.0294801466105759E-2</v>
      </c>
      <c r="BH31" s="1"/>
      <c r="BI31" s="1" cm="1">
        <f t="array" aca="1" ref="BI31" ca="1">IFERROR(INDEX(Electricity_projection,MATCH($B31&amp;$A31,INDEX(Electricity_projection,0,3),0),MATCH(YEAR(TODAY()),Timeline_elec_projec,0)+3)*INDEX(Recyc_mat_energy_input,MATCH(BI$1,'Data Entry'!$B$91:$B$96,0),1)+Diesel_density*INDEX(Recyc_mat_energy_input,MATCH(BI$1,'Data Entry'!$B$91:$B$96,0),2)*INDEX(Indicators,ROW(),MATCH("Diesel Combustion",Materials!$1:$1,0)), "")</f>
        <v>0</v>
      </c>
      <c r="BJ31" s="1"/>
      <c r="BK31" s="1" cm="1">
        <f t="array" aca="1" ref="BK31" ca="1">IFERROR(INDEX(Electricity_projection,MATCH($B31&amp;$A31,INDEX(Electricity_projection,0,3),0),MATCH(YEAR(TODAY()),Timeline_elec_projec,0)+3)*INDEX(Recyc_mat_energy_input,MATCH(BK$1,'Data Entry'!$B$91:$B$96,0),1)+Diesel_density*INDEX(Recyc_mat_energy_input,MATCH(BK$1,'Data Entry'!$B$91:$B$96,0),2)*INDEX(Indicators,ROW(),MATCH("Diesel Combustion",Materials!$1:$1,0)), "")</f>
        <v>1.6167648037254767E-3</v>
      </c>
      <c r="BL31" s="1" cm="1">
        <f t="array" aca="1" ref="BL31" ca="1">IFERROR(INDEX(Electricity_projection,MATCH($B31&amp;$A31,INDEX(Electricity_projection,0,3),0),MATCH(YEAR(TODAY()),Timeline_elec_projec,0)+3)*INDEX(Recyc_mat_energy_input,MATCH(BL$1,'Data Entry'!$B$91:$B$96,0),1)+Diesel_density*INDEX(Recyc_mat_energy_input,MATCH(BL$1,'Data Entry'!$B$91:$B$96,0),2)*INDEX(Indicators,ROW(),MATCH("Diesel Combustion",Materials!$1:$1,0)), "")</f>
        <v>5.4561111111111112E-3</v>
      </c>
      <c r="BM31" s="1"/>
      <c r="BN31" s="1">
        <f>IF(Steel_supplier="Pacific Steel",Material_Impacts[[#This Row],[Pacific Steel]],Material_Impacts[[#This Row],[Infrabuild]])</f>
        <v>0</v>
      </c>
      <c r="BO31" s="1"/>
      <c r="BP31" s="1">
        <v>2.0253E-2</v>
      </c>
      <c r="BQ31">
        <v>0.59311999999999998</v>
      </c>
      <c r="BR31">
        <v>0.45952999999999999</v>
      </c>
      <c r="BS31" s="450"/>
      <c r="BT31" s="450"/>
      <c r="BU31" s="450"/>
      <c r="BV31" s="443">
        <v>1</v>
      </c>
      <c r="BX31" s="1">
        <v>0.26147999999999999</v>
      </c>
      <c r="BY31" s="1">
        <f t="shared" si="3"/>
        <v>6.0492770387507227E-3</v>
      </c>
      <c r="BZ31">
        <v>0.41443999999999998</v>
      </c>
      <c r="CA31" s="1">
        <v>0</v>
      </c>
      <c r="CB31">
        <v>9.4199999999999996E-6</v>
      </c>
      <c r="CC31">
        <v>1.1681299999999999</v>
      </c>
      <c r="CD31" s="378">
        <f t="shared" si="2"/>
        <v>9.0805597199999991E-2</v>
      </c>
      <c r="CE31" s="208">
        <f t="shared" si="4"/>
        <v>1.2589355971999998</v>
      </c>
      <c r="CF31" s="208"/>
      <c r="CG31" s="208"/>
      <c r="CH31" s="208"/>
      <c r="CI31" s="208"/>
      <c r="CJ31" s="208"/>
      <c r="CK31" s="208"/>
      <c r="CL31" s="208"/>
      <c r="CM31" s="209"/>
      <c r="CN31" s="208"/>
      <c r="CO31" s="208"/>
      <c r="CP31" s="208"/>
      <c r="CQ31" s="208"/>
      <c r="CZ31" s="208"/>
      <c r="DA31" s="208"/>
      <c r="DB31" s="208"/>
    </row>
    <row r="32" spans="1:106" x14ac:dyDescent="0.35">
      <c r="A32" t="s">
        <v>391</v>
      </c>
      <c r="B32" t="s">
        <v>54</v>
      </c>
      <c r="C32" t="s">
        <v>768</v>
      </c>
      <c r="D32" t="str">
        <f>Material_Impacts[[#This Row],[15804 version]]&amp;Material_Impacts[[#This Row],[Methodology]]&amp;Material_Impacts[[#This Row],[Acronym]]</f>
        <v>A2AttributionalADPE</v>
      </c>
      <c r="E32" t="s">
        <v>775</v>
      </c>
      <c r="F32" s="1" t="s">
        <v>390</v>
      </c>
      <c r="G32" s="1">
        <v>1.2780099999999999E-6</v>
      </c>
      <c r="H32" s="1">
        <v>1.2780099999999999E-6</v>
      </c>
      <c r="I32" s="1">
        <v>3.3626900000000002E-6</v>
      </c>
      <c r="J32" s="1">
        <v>1.2780099999999999E-6</v>
      </c>
      <c r="K32" s="1">
        <v>3.3078708941528582E-11</v>
      </c>
      <c r="L32" s="1">
        <v>8.0097736063079008E-11</v>
      </c>
      <c r="M32" s="1">
        <v>2.785487712893536E-11</v>
      </c>
      <c r="N32" s="1"/>
      <c r="O32" s="443"/>
      <c r="P32" s="1">
        <v>1.7376099999999999E-7</v>
      </c>
      <c r="Q32" s="1">
        <v>0</v>
      </c>
      <c r="R32" s="1">
        <v>0</v>
      </c>
      <c r="S32" s="1">
        <v>0</v>
      </c>
      <c r="T32" s="1">
        <v>0</v>
      </c>
      <c r="U32" s="1">
        <v>0</v>
      </c>
      <c r="V32" s="1">
        <f ca="1">IFERROR('Dynamic Materials'!Q41+'Dynamic Materials'!AQ41, 0)</f>
        <v>1.2295303617399571E-4</v>
      </c>
      <c r="W32" s="1">
        <f ca="1">'Dynamic Materials'!R41</f>
        <v>1.2318927344425861E-4</v>
      </c>
      <c r="X32" s="1">
        <f ca="1">'Dynamic Materials'!T41</f>
        <v>1.2314184367605391E-4</v>
      </c>
      <c r="Y32" s="1">
        <f ca="1">IFERROR('Dynamic Materials'!U41+'Dynamic Materials'!AQ41, 0)</f>
        <v>1.2293014716186683E-4</v>
      </c>
      <c r="Z32" s="1">
        <f ca="1">IFERROR('Dynamic Materials'!S41+'Dynamic Materials'!AQ41, 0)</f>
        <v>1.2294117252154745E-4</v>
      </c>
      <c r="AA32" s="1">
        <f ca="1">'Dynamic Materials'!W41</f>
        <v>6.8144100000000007E-9</v>
      </c>
      <c r="AB32" s="1">
        <v>4.0751899999999997E-6</v>
      </c>
      <c r="AC32" s="1">
        <v>4.5292600000000001E-5</v>
      </c>
      <c r="AD32" s="209">
        <f>BZ32+200*Material_Impacts[[#This Row],[Truck (32+t)]]+1130*CB32</f>
        <v>1.1047546974257868E-6</v>
      </c>
      <c r="AE32" s="1">
        <v>9.4857700000000001E-7</v>
      </c>
      <c r="AF32" s="1">
        <v>1.60913E-6</v>
      </c>
      <c r="AG32" s="1"/>
      <c r="AH32" s="1">
        <v>4.0884499999999998E-5</v>
      </c>
      <c r="AI32" s="209">
        <f>'Dynamic Materials'!AG41</f>
        <v>1.5331201000000003E-5</v>
      </c>
      <c r="AJ32" s="1">
        <v>1.7805299999999999E-6</v>
      </c>
      <c r="AK32" s="1">
        <v>1.54243E-6</v>
      </c>
      <c r="AL32" s="1"/>
      <c r="AM32" s="1">
        <f t="shared" si="0"/>
        <v>3.9960000000000005E-10</v>
      </c>
      <c r="AN32" s="1">
        <v>4.8109599999999999E-6</v>
      </c>
      <c r="AO32" s="1">
        <v>1.18292E-5</v>
      </c>
      <c r="AP32" s="209">
        <v>3.6700000000000003E-10</v>
      </c>
      <c r="AQ32" s="1">
        <f ca="1">'Dynamic Materials'!O41</f>
        <v>6.8370887446043418E-8</v>
      </c>
      <c r="AR32" s="1">
        <f ca="1">'Dynamic Materials'!P41</f>
        <v>1.2852936956004961E-6</v>
      </c>
      <c r="AS32" s="1"/>
      <c r="AT32" s="1" cm="1">
        <f t="array" aca="1" ref="AT32" ca="1">IFERROR(INDEX(Electricity_projection,MATCH($B32&amp;$A32,INDEX(Electricity_projection,0,3),0),MATCH(YEAR(TODAY()),Timeline_elec_projec,0)+3)*INDEX(Recyc_mat_energy_input,MATCH(AT$1,'Data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2.2187293622299998E-9</v>
      </c>
      <c r="AU32" s="1" cm="1">
        <f t="array" aca="1" ref="AU32" ca="1">IFERROR(INDEX(Electricity_projection,MATCH($B32&amp;$A32,INDEX(Electricity_projection,0,3),0),MATCH(YEAR(TODAY()),Timeline_elec_projec,0)+3)*INDEX(Recyc_mat_energy_input,MATCH(AU$1,'Data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1.78300158692E-9</v>
      </c>
      <c r="AV32" s="1" cm="1">
        <f t="array" aca="1" ref="AV32" ca="1">IFERROR(INDEX(Electricity_projection,MATCH($B32&amp;$A32,INDEX(Electricity_projection,0,3),0),MATCH(YEAR(TODAY()),Timeline_elec_projec,0)+3)*INDEX(Recyc_mat_energy_input,MATCH(AV$1,'Data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4.3144612813000003E-9</v>
      </c>
      <c r="AW32" s="1"/>
      <c r="AX32" s="1"/>
      <c r="AY32" s="1"/>
      <c r="AZ32" s="1"/>
      <c r="BA32" s="1"/>
      <c r="BB32" s="1"/>
      <c r="BC32" s="1">
        <f t="shared" si="1"/>
        <v>9.9900000000000005E-9</v>
      </c>
      <c r="BD32" s="1">
        <v>9.9900000000000005E-9</v>
      </c>
      <c r="BE32" s="1"/>
      <c r="BF32" s="1"/>
      <c r="BG32" s="1">
        <f ca="1">'Dynamic Materials'!V41</f>
        <v>3.226106937375E-9</v>
      </c>
      <c r="BH32" s="1"/>
      <c r="BI32" s="1" cm="1">
        <f t="array" aca="1" ref="BI32" ca="1">IFERROR(INDEX(Electricity_projection,MATCH($B32&amp;$A32,INDEX(Electricity_projection,0,3),0),MATCH(YEAR(TODAY()),Timeline_elec_projec,0)+3)*INDEX(Recyc_mat_energy_input,MATCH(BI$1,'Data Entry'!$B$91:$B$96,0),1)+Diesel_density*INDEX(Recyc_mat_energy_input,MATCH(BI$1,'Data Entry'!$B$91:$B$96,0),2)*INDEX(Indicators,ROW(),MATCH("Diesel Combustion",Materials!$1:$1,0)), "")</f>
        <v>0</v>
      </c>
      <c r="BJ32" s="1"/>
      <c r="BK32" s="1" cm="1">
        <f t="array" aca="1" ref="BK32" ca="1">IFERROR(INDEX(Electricity_projection,MATCH($B32&amp;$A32,INDEX(Electricity_projection,0,3),0),MATCH(YEAR(TODAY()),Timeline_elec_projec,0)+3)*INDEX(Recyc_mat_energy_input,MATCH(BK$1,'Data Entry'!$B$91:$B$96,0),1)+Diesel_density*INDEX(Recyc_mat_energy_input,MATCH(BK$1,'Data Entry'!$B$91:$B$96,0),2)*INDEX(Indicators,ROW(),MATCH("Diesel Combustion",Materials!$1:$1,0)), "")</f>
        <v>5.6421585480000002E-10</v>
      </c>
      <c r="BL32" s="1" cm="1">
        <f t="array" aca="1" ref="BL32" ca="1">IFERROR(INDEX(Electricity_projection,MATCH($B32&amp;$A32,INDEX(Electricity_projection,0,3),0),MATCH(YEAR(TODAY()),Timeline_elec_projec,0)+3)*INDEX(Recyc_mat_energy_input,MATCH(BL$1,'Data Entry'!$B$91:$B$96,0),1)+Diesel_density*INDEX(Recyc_mat_energy_input,MATCH(BL$1,'Data Entry'!$B$91:$B$96,0),2)*INDEX(Indicators,ROW(),MATCH("Diesel Combustion",Materials!$1:$1,0)), "")</f>
        <v>1.4572222222222223E-8</v>
      </c>
      <c r="BM32" s="1"/>
      <c r="BN32" s="1">
        <f>IF(Steel_supplier="Pacific Steel",Material_Impacts[[#This Row],[Pacific Steel]],Material_Impacts[[#This Row],[Infrabuild]])</f>
        <v>0</v>
      </c>
      <c r="BO32" s="1"/>
      <c r="BP32" s="1">
        <v>1.5024071000000001E-7</v>
      </c>
      <c r="BQ32" s="1">
        <v>3.3626900000000002E-6</v>
      </c>
      <c r="BR32" s="1">
        <v>1.2780099999999999E-6</v>
      </c>
      <c r="BS32" s="450"/>
      <c r="BT32" s="450"/>
      <c r="BU32" s="450"/>
      <c r="BV32" s="443">
        <v>1</v>
      </c>
      <c r="BW32" s="1"/>
      <c r="BX32" s="1">
        <v>1.85721E-6</v>
      </c>
      <c r="BY32" s="1">
        <f t="shared" si="3"/>
        <v>4.2966107576633898E-8</v>
      </c>
      <c r="BZ32" s="1">
        <v>1.0202199999999999E-6</v>
      </c>
      <c r="CA32" s="1">
        <v>0</v>
      </c>
      <c r="CB32">
        <v>6.9879399999999998E-11</v>
      </c>
      <c r="CC32" s="1">
        <v>5.0531600000000003E-5</v>
      </c>
      <c r="CD32" s="378">
        <f t="shared" si="2"/>
        <v>6.7361365700399999E-7</v>
      </c>
      <c r="CE32" s="208">
        <f t="shared" si="4"/>
        <v>5.1205213657004004E-5</v>
      </c>
      <c r="CF32" s="208"/>
      <c r="CG32" s="208"/>
      <c r="CH32" s="208"/>
      <c r="CI32" s="208"/>
      <c r="CJ32" s="208"/>
      <c r="CK32" s="209"/>
      <c r="CL32" s="209"/>
      <c r="CM32" s="209"/>
      <c r="CN32" s="208"/>
      <c r="CO32" s="208"/>
      <c r="CP32" s="208"/>
      <c r="CQ32" s="208"/>
      <c r="CZ32" s="208"/>
      <c r="DA32" s="208"/>
      <c r="DB32" s="208"/>
    </row>
    <row r="33" spans="1:106" x14ac:dyDescent="0.35">
      <c r="A33" t="s">
        <v>776</v>
      </c>
      <c r="B33" t="s">
        <v>54</v>
      </c>
      <c r="C33" t="s">
        <v>768</v>
      </c>
      <c r="D33" t="str">
        <f>Material_Impacts[[#This Row],[15804 version]]&amp;Material_Impacts[[#This Row],[Methodology]]&amp;Material_Impacts[[#This Row],[Acronym]]</f>
        <v xml:space="preserve">A2AttributionalADPF </v>
      </c>
      <c r="E33" t="s">
        <v>777</v>
      </c>
      <c r="F33" t="s">
        <v>665</v>
      </c>
      <c r="G33" s="1">
        <v>48.76661</v>
      </c>
      <c r="H33" s="1">
        <v>48.76661</v>
      </c>
      <c r="I33" s="1">
        <v>49.367890000000003</v>
      </c>
      <c r="J33" s="1">
        <v>48.76661</v>
      </c>
      <c r="K33" s="1">
        <v>1.2622252550880176E-3</v>
      </c>
      <c r="L33" s="1">
        <v>3.0563884918514798E-3</v>
      </c>
      <c r="M33" s="1">
        <v>1.062893036474449E-3</v>
      </c>
      <c r="N33" s="1"/>
      <c r="O33" s="443"/>
      <c r="P33" s="1">
        <v>1.44241</v>
      </c>
      <c r="Q33" s="1">
        <v>0</v>
      </c>
      <c r="R33" s="1">
        <v>0</v>
      </c>
      <c r="S33" s="1">
        <v>0</v>
      </c>
      <c r="T33" s="1">
        <v>0</v>
      </c>
      <c r="U33" s="1">
        <v>0</v>
      </c>
      <c r="V33" s="1">
        <f ca="1">IFERROR('Dynamic Materials'!Q42+'Dynamic Materials'!AQ42, 0)</f>
        <v>3.2121615491288726</v>
      </c>
      <c r="W33" s="1">
        <f ca="1">'Dynamic Materials'!R42</f>
        <v>3.269882329251212</v>
      </c>
      <c r="X33" s="1">
        <f ca="1">'Dynamic Materials'!T42</f>
        <v>2.8202758501395921</v>
      </c>
      <c r="Y33" s="1">
        <f ca="1">IFERROR('Dynamic Materials'!U42+'Dynamic Materials'!AQ42, 0)</f>
        <v>2.3168290588168672</v>
      </c>
      <c r="Z33" s="1">
        <f ca="1">IFERROR('Dynamic Materials'!S42+'Dynamic Materials'!AQ42, 0)</f>
        <v>2.7708008957490149</v>
      </c>
      <c r="AA33" s="1">
        <f ca="1">'Dynamic Materials'!W42</f>
        <v>1.9164046000000001</v>
      </c>
      <c r="AB33" s="1">
        <v>27.760529999999999</v>
      </c>
      <c r="AC33" s="1">
        <v>91.993290000000002</v>
      </c>
      <c r="AD33" s="209">
        <f>BZ33+200*Material_Impacts[[#This Row],[Truck (32+t)]]+1130*CB33</f>
        <v>45.444030707294885</v>
      </c>
      <c r="AE33" s="1">
        <v>30.339929999999999</v>
      </c>
      <c r="AF33" s="1">
        <v>0.82196999999999998</v>
      </c>
      <c r="AG33" s="1"/>
      <c r="AH33" s="1">
        <v>44.003149999999998</v>
      </c>
      <c r="AI33" s="209">
        <f>'Dynamic Materials'!AG42</f>
        <v>48.742361000000002</v>
      </c>
      <c r="AJ33" s="1">
        <v>0.16439999999999999</v>
      </c>
      <c r="AK33" s="1">
        <v>0.158</v>
      </c>
      <c r="AL33" s="1"/>
      <c r="AM33" s="1">
        <f t="shared" si="0"/>
        <v>0.1144</v>
      </c>
      <c r="AN33" s="1">
        <v>0.30379</v>
      </c>
      <c r="AO33" s="1">
        <v>9.8046199999999999</v>
      </c>
      <c r="AP33" s="209">
        <v>6.2E-4</v>
      </c>
      <c r="AQ33" s="1">
        <f ca="1">'Dynamic Materials'!O42</f>
        <v>2.7706780356729208</v>
      </c>
      <c r="AR33" s="1">
        <f ca="1">'Dynamic Materials'!P42</f>
        <v>3.0244735832352281</v>
      </c>
      <c r="AS33" s="1"/>
      <c r="AT33" s="1" cm="1">
        <f t="array" aca="1" ref="AT33" ca="1">IFERROR(INDEX(Electricity_projection,MATCH($B33&amp;$A33,INDEX(Electricity_projection,0,3),0),MATCH(YEAR(TODAY()),Timeline_elec_projec,0)+3)*INDEX(Recyc_mat_energy_input,MATCH(AT$1,'Data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4.6847014080029996E-2</v>
      </c>
      <c r="AU33" s="1" cm="1">
        <f t="array" aca="1" ref="AU33" ca="1">IFERROR(INDEX(Electricity_projection,MATCH($B33&amp;$A33,INDEX(Electricity_projection,0,3),0),MATCH(YEAR(TODAY()),Timeline_elec_projec,0)+3)*INDEX(Recyc_mat_energy_input,MATCH(AU$1,'Data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2.931321913812E-2</v>
      </c>
      <c r="AV33" s="1" cm="1">
        <f t="array" aca="1" ref="AV33" ca="1">IFERROR(INDEX(Electricity_projection,MATCH($B33&amp;$A33,INDEX(Electricity_projection,0,3),0),MATCH(YEAR(TODAY()),Timeline_elec_projec,0)+3)*INDEX(Recyc_mat_energy_input,MATCH(AV$1,'Data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1.5319055199299998E-2</v>
      </c>
      <c r="AW33" s="1"/>
      <c r="AX33" s="1"/>
      <c r="AY33" s="1"/>
      <c r="AZ33" s="1"/>
      <c r="BA33" s="1"/>
      <c r="BB33" s="1"/>
      <c r="BC33" s="1">
        <f t="shared" si="1"/>
        <v>2.86</v>
      </c>
      <c r="BD33" s="1">
        <v>2.86</v>
      </c>
      <c r="BE33" s="1"/>
      <c r="BF33" s="1"/>
      <c r="BG33" s="1">
        <f ca="1">'Dynamic Materials'!V42</f>
        <v>0.36978031807987494</v>
      </c>
      <c r="BH33" s="1"/>
      <c r="BI33" s="1" t="str" cm="1">
        <f t="array" aca="1" ref="BI33" ca="1">IFERROR(INDEX(Electricity_projection,MATCH($B33&amp;$A33,INDEX(Electricity_projection,0,3),0),MATCH(YEAR(TODAY()),Timeline_elec_projec,0)+3)*INDEX(Recyc_mat_energy_input,MATCH(BI$1,'Data Entry'!$B$91:$B$96,0),1)+Diesel_density*INDEX(Recyc_mat_energy_input,MATCH(BI$1,'Data Entry'!$B$91:$B$96,0),2)*INDEX(Indicators,ROW(),MATCH("Diesel Combustion",Materials!$1:$1,0)), "")</f>
        <v/>
      </c>
      <c r="BJ33" s="1"/>
      <c r="BK33" s="1" t="str" cm="1">
        <f t="array" aca="1" ref="BK33" ca="1">IFERROR(INDEX(Electricity_projection,MATCH($B33&amp;$A33,INDEX(Electricity_projection,0,3),0),MATCH(YEAR(TODAY()),Timeline_elec_projec,0)+3)*INDEX(Recyc_mat_energy_input,MATCH(BK$1,'Data Entry'!$B$91:$B$96,0),1)+Diesel_density*INDEX(Recyc_mat_energy_input,MATCH(BK$1,'Data Entry'!$B$91:$B$96,0),2)*INDEX(Indicators,ROW(),MATCH("Diesel Combustion",Materials!$1:$1,0)), "")</f>
        <v/>
      </c>
      <c r="BL33" s="1" t="str" cm="1">
        <f t="array" aca="1" ref="BL33" ca="1">IFERROR(INDEX(Electricity_projection,MATCH($B33&amp;$A33,INDEX(Electricity_projection,0,3),0),MATCH(YEAR(TODAY()),Timeline_elec_projec,0)+3)*INDEX(Recyc_mat_energy_input,MATCH(BL$1,'Data Entry'!$B$91:$B$96,0),1)+Diesel_density*INDEX(Recyc_mat_energy_input,MATCH(BL$1,'Data Entry'!$B$91:$B$96,0),2)*INDEX(Indicators,ROW(),MATCH("Diesel Combustion",Materials!$1:$1,0)), "")</f>
        <v/>
      </c>
      <c r="BM33" s="1"/>
      <c r="BN33" s="1">
        <f>IF(Steel_supplier="Pacific Steel",Material_Impacts[[#This Row],[Pacific Steel]],Material_Impacts[[#This Row],[Infrabuild]])</f>
        <v>0</v>
      </c>
      <c r="BO33" s="1"/>
      <c r="BP33" s="1">
        <v>0.25621549999999998</v>
      </c>
      <c r="BQ33">
        <v>49.367890000000003</v>
      </c>
      <c r="BR33">
        <v>48.76661</v>
      </c>
      <c r="BS33" s="443"/>
      <c r="BT33" s="443"/>
      <c r="BU33" s="443"/>
      <c r="BV33" s="443">
        <v>1</v>
      </c>
      <c r="BX33" s="1">
        <v>3.4527199999999998</v>
      </c>
      <c r="BY33" s="1">
        <f t="shared" si="3"/>
        <v>7.9877848467322141E-2</v>
      </c>
      <c r="BZ33">
        <v>45.096789999999999</v>
      </c>
      <c r="CA33" s="1">
        <v>0</v>
      </c>
      <c r="CB33">
        <v>1.1917E-4</v>
      </c>
      <c r="CC33">
        <v>44.135849999999998</v>
      </c>
      <c r="CD33" s="378">
        <f t="shared" si="2"/>
        <v>1.1487582822</v>
      </c>
      <c r="CE33" s="208">
        <f t="shared" si="4"/>
        <v>45.284608282199997</v>
      </c>
      <c r="CF33" s="208"/>
      <c r="CG33" s="208"/>
      <c r="CH33" s="208"/>
      <c r="CI33" s="208"/>
      <c r="CJ33" s="208"/>
      <c r="CK33" s="208"/>
      <c r="CL33" s="208"/>
      <c r="CM33" s="208"/>
      <c r="CN33" s="208"/>
      <c r="CO33" s="208"/>
      <c r="CP33" s="208"/>
      <c r="CQ33" s="208"/>
      <c r="CZ33" s="208"/>
      <c r="DA33" s="208"/>
      <c r="DB33" s="208"/>
    </row>
    <row r="34" spans="1:106" x14ac:dyDescent="0.35">
      <c r="A34" t="s">
        <v>394</v>
      </c>
      <c r="B34" t="s">
        <v>54</v>
      </c>
      <c r="C34" t="s">
        <v>768</v>
      </c>
      <c r="D34" t="str">
        <f>Material_Impacts[[#This Row],[15804 version]]&amp;Material_Impacts[[#This Row],[Methodology]]&amp;Material_Impacts[[#This Row],[Acronym]]</f>
        <v>A2AttributionalEP_fw</v>
      </c>
      <c r="E34" t="s">
        <v>778</v>
      </c>
      <c r="F34" t="s">
        <v>393</v>
      </c>
      <c r="G34" s="1">
        <v>3.4239999999999997E-5</v>
      </c>
      <c r="H34" s="1">
        <v>3.4239999999999997E-5</v>
      </c>
      <c r="I34" s="1">
        <v>3.8559500000000002E-5</v>
      </c>
      <c r="J34" s="1">
        <v>3.4239999999999997E-5</v>
      </c>
      <c r="K34" s="1">
        <v>8.8623327998837147E-10</v>
      </c>
      <c r="L34" s="1">
        <v>2.1459507224511743E-9</v>
      </c>
      <c r="M34" s="1">
        <v>7.4627819257654212E-10</v>
      </c>
      <c r="N34" s="1"/>
      <c r="O34" s="443"/>
      <c r="P34" s="1">
        <v>4.4374000000000001E-6</v>
      </c>
      <c r="Q34" s="1">
        <v>0</v>
      </c>
      <c r="R34" s="1">
        <v>0</v>
      </c>
      <c r="S34" s="1">
        <v>0</v>
      </c>
      <c r="T34" s="1">
        <v>0</v>
      </c>
      <c r="U34" s="1">
        <v>0</v>
      </c>
      <c r="V34" s="1">
        <f ca="1">IFERROR('Dynamic Materials'!Q43+'Dynamic Materials'!AQ43, 0)</f>
        <v>1.2495331467159092E-4</v>
      </c>
      <c r="W34" s="1">
        <f ca="1">'Dynamic Materials'!R43</f>
        <v>1.2800279562291691E-4</v>
      </c>
      <c r="X34" s="1">
        <f ca="1">'Dynamic Materials'!T43</f>
        <v>1.2728611677015125E-4</v>
      </c>
      <c r="Y34" s="1">
        <f ca="1">IFERROR('Dynamic Materials'!U43+'Dynamic Materials'!AQ43, 0)</f>
        <v>1.2437768291453902E-4</v>
      </c>
      <c r="Z34" s="1">
        <f ca="1">IFERROR('Dynamic Materials'!S43+'Dynamic Materials'!AQ43, 0)</f>
        <v>1.2467227595472897E-4</v>
      </c>
      <c r="AA34" s="1">
        <f ca="1">'Dynamic Materials'!W43</f>
        <v>1.3870306799999998E-4</v>
      </c>
      <c r="AB34" s="1">
        <v>9.2576699999999997E-5</v>
      </c>
      <c r="AC34" s="1">
        <v>5.6999999999999998E-4</v>
      </c>
      <c r="AD34" s="209">
        <f>BZ34+200*Material_Impacts[[#This Row],[Truck (32+t)]]+1130*CB34</f>
        <v>2.9503945638515306E-5</v>
      </c>
      <c r="AE34" s="1">
        <v>2.3046099999999999E-5</v>
      </c>
      <c r="AF34" s="1">
        <v>7.6122700000000004E-6</v>
      </c>
      <c r="AG34" s="1"/>
      <c r="AH34" s="1">
        <v>2.0000000000000001E-4</v>
      </c>
      <c r="AI34" s="209">
        <f>'Dynamic Materials'!AG43</f>
        <v>2.0376000000000001E-4</v>
      </c>
      <c r="AJ34" s="1">
        <v>6.1427800000000002E-6</v>
      </c>
      <c r="AK34" s="1">
        <v>4.4117399999999999E-6</v>
      </c>
      <c r="AL34" s="1"/>
      <c r="AM34" s="1">
        <f t="shared" si="0"/>
        <v>8.2800000000000003E-6</v>
      </c>
      <c r="AN34" s="1">
        <v>8.5982899999999996E-6</v>
      </c>
      <c r="AO34" s="1">
        <v>5.0028899999999998E-5</v>
      </c>
      <c r="AP34" s="209">
        <v>3.9599999999999997E-8</v>
      </c>
      <c r="AQ34" s="1">
        <f ca="1">'Dynamic Materials'!O43</f>
        <v>1.8121998606597183E-6</v>
      </c>
      <c r="AR34" s="1">
        <f ca="1">'Dynamic Materials'!P43</f>
        <v>1.6889363122348797E-5</v>
      </c>
      <c r="AS34" s="1"/>
      <c r="AT34" s="1" cm="1">
        <f t="array" aca="1" ref="AT34" ca="1">IFERROR(INDEX(Electricity_projection,MATCH($B34&amp;$A34,INDEX(Electricity_projection,0,3),0),MATCH(YEAR(TODAY()),Timeline_elec_projec,0)+3)*INDEX(Recyc_mat_energy_input,MATCH(AT$1,'Data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4.4641619519999996E-8</v>
      </c>
      <c r="AU34" s="1" cm="1">
        <f t="array" aca="1" ref="AU34" ca="1">IFERROR(INDEX(Electricity_projection,MATCH($B34&amp;$A34,INDEX(Electricity_projection,0,3),0),MATCH(YEAR(TODAY()),Timeline_elec_projec,0)+3)*INDEX(Recyc_mat_energy_input,MATCH(AU$1,'Data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2.0581390079999998E-8</v>
      </c>
      <c r="AV34" s="1" cm="1">
        <f t="array" aca="1" ref="AV34" ca="1">IFERROR(INDEX(Electricity_projection,MATCH($B34&amp;$A34,INDEX(Electricity_projection,0,3),0),MATCH(YEAR(TODAY()),Timeline_elec_projec,0)+3)*INDEX(Recyc_mat_energy_input,MATCH(AV$1,'Data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1.0755811199999998E-8</v>
      </c>
      <c r="AW34" s="1"/>
      <c r="AX34" s="1"/>
      <c r="AY34" s="1"/>
      <c r="AZ34" s="1"/>
      <c r="BA34" s="1"/>
      <c r="BB34" s="1"/>
      <c r="BC34" s="1">
        <f t="shared" si="1"/>
        <v>2.0699999999999999E-4</v>
      </c>
      <c r="BD34" s="1">
        <v>2.0699999999999999E-4</v>
      </c>
      <c r="BE34" s="1"/>
      <c r="BF34" s="1"/>
      <c r="BG34" s="1">
        <f ca="1">'Dynamic Materials'!V43</f>
        <v>2.4870411971999999E-5</v>
      </c>
      <c r="BH34" s="1"/>
      <c r="BI34" s="1" t="str" cm="1">
        <f t="array" aca="1" ref="BI34" ca="1">IFERROR(INDEX(Electricity_projection,MATCH($B34&amp;$A34,INDEX(Electricity_projection,0,3),0),MATCH(YEAR(TODAY()),Timeline_elec_projec,0)+3)*INDEX(Recyc_mat_energy_input,MATCH(BI$1,'Data Entry'!$B$91:$B$96,0),1)+Diesel_density*INDEX(Recyc_mat_energy_input,MATCH(BI$1,'Data Entry'!$B$91:$B$96,0),2)*INDEX(Indicators,ROW(),MATCH("Diesel Combustion",Materials!$1:$1,0)), "")</f>
        <v/>
      </c>
      <c r="BJ34" s="1"/>
      <c r="BK34" s="1" t="str" cm="1">
        <f t="array" aca="1" ref="BK34" ca="1">IFERROR(INDEX(Electricity_projection,MATCH($B34&amp;$A34,INDEX(Electricity_projection,0,3),0),MATCH(YEAR(TODAY()),Timeline_elec_projec,0)+3)*INDEX(Recyc_mat_energy_input,MATCH(BK$1,'Data Entry'!$B$91:$B$96,0),1)+Diesel_density*INDEX(Recyc_mat_energy_input,MATCH(BK$1,'Data Entry'!$B$91:$B$96,0),2)*INDEX(Indicators,ROW(),MATCH("Diesel Combustion",Materials!$1:$1,0)), "")</f>
        <v/>
      </c>
      <c r="BL34" s="1" t="str" cm="1">
        <f t="array" aca="1" ref="BL34" ca="1">IFERROR(INDEX(Electricity_projection,MATCH($B34&amp;$A34,INDEX(Electricity_projection,0,3),0),MATCH(YEAR(TODAY()),Timeline_elec_projec,0)+3)*INDEX(Recyc_mat_energy_input,MATCH(BL$1,'Data Entry'!$B$91:$B$96,0),1)+Diesel_density*INDEX(Recyc_mat_energy_input,MATCH(BL$1,'Data Entry'!$B$91:$B$96,0),2)*INDEX(Indicators,ROW(),MATCH("Diesel Combustion",Materials!$1:$1,0)), "")</f>
        <v/>
      </c>
      <c r="BM34" s="1"/>
      <c r="BN34" s="1">
        <f>IF(Steel_supplier="Pacific Steel",Material_Impacts[[#This Row],[Pacific Steel]],Material_Impacts[[#This Row],[Infrabuild]])</f>
        <v>0</v>
      </c>
      <c r="BO34" s="1"/>
      <c r="BP34" s="1">
        <v>8.0195E-7</v>
      </c>
      <c r="BQ34" s="1">
        <v>3.8559500000000002E-5</v>
      </c>
      <c r="BR34" s="1">
        <v>3.4239999999999997E-5</v>
      </c>
      <c r="BS34" s="443"/>
      <c r="BT34" s="443"/>
      <c r="BU34" s="443"/>
      <c r="BV34" s="443">
        <v>1</v>
      </c>
      <c r="BW34" s="1"/>
      <c r="BX34" s="1">
        <v>1.44959E-5</v>
      </c>
      <c r="BY34" s="1">
        <f t="shared" si="3"/>
        <v>3.3535916714864084E-7</v>
      </c>
      <c r="BZ34" s="1">
        <v>2.8933199999999999E-5</v>
      </c>
      <c r="CA34" s="1">
        <v>0</v>
      </c>
      <c r="CB34">
        <v>3.73E-10</v>
      </c>
      <c r="CC34">
        <v>2.1000000000000001E-4</v>
      </c>
      <c r="CD34" s="378">
        <f t="shared" si="2"/>
        <v>3.5955931800000002E-6</v>
      </c>
      <c r="CE34" s="208">
        <f t="shared" si="4"/>
        <v>2.1359559318000001E-4</v>
      </c>
      <c r="CF34" s="208"/>
      <c r="CG34" s="208"/>
      <c r="CH34" s="208"/>
      <c r="CI34" s="208"/>
      <c r="CJ34" s="208"/>
      <c r="CK34" s="208"/>
      <c r="CL34" s="209"/>
      <c r="CM34" s="209"/>
      <c r="CN34" s="208"/>
      <c r="CO34" s="208"/>
      <c r="CP34" s="208"/>
      <c r="CQ34" s="208"/>
      <c r="CZ34" s="208"/>
      <c r="DA34" s="208"/>
      <c r="DB34" s="208"/>
    </row>
    <row r="35" spans="1:106" x14ac:dyDescent="0.35">
      <c r="A35" t="s">
        <v>397</v>
      </c>
      <c r="B35" t="s">
        <v>54</v>
      </c>
      <c r="C35" t="s">
        <v>768</v>
      </c>
      <c r="D35" t="str">
        <f>Material_Impacts[[#This Row],[15804 version]]&amp;Material_Impacts[[#This Row],[Methodology]]&amp;Material_Impacts[[#This Row],[Acronym]]</f>
        <v>A2AttributionalEP_marine</v>
      </c>
      <c r="E35" t="s">
        <v>779</v>
      </c>
      <c r="F35" t="s">
        <v>396</v>
      </c>
      <c r="G35" s="1">
        <v>5.9116813627530995E-3</v>
      </c>
      <c r="H35" s="1">
        <v>8.6225490196078503E-3</v>
      </c>
      <c r="I35" s="1">
        <v>1.2608010377422171E-3</v>
      </c>
      <c r="J35" s="1">
        <v>5.9116813627530995E-3</v>
      </c>
      <c r="K35" s="1">
        <v>2.7820625622642543E-7</v>
      </c>
      <c r="L35" s="1">
        <v>5.889531994499358E-7</v>
      </c>
      <c r="M35" s="1">
        <v>2.3340819448220382E-7</v>
      </c>
      <c r="N35" s="1"/>
      <c r="O35" s="443"/>
      <c r="P35" s="1">
        <v>2.35515E-5</v>
      </c>
      <c r="Q35" s="1">
        <v>0</v>
      </c>
      <c r="R35" s="1">
        <v>0</v>
      </c>
      <c r="S35" s="1">
        <v>0</v>
      </c>
      <c r="T35" s="1">
        <v>0</v>
      </c>
      <c r="U35" s="1">
        <v>0</v>
      </c>
      <c r="V35" s="1">
        <f ca="1">IFERROR('Dynamic Materials'!Q44+'Dynamic Materials'!AQ44, 0)</f>
        <v>1.7923451595258611E-4</v>
      </c>
      <c r="W35" s="1">
        <f ca="1">'Dynamic Materials'!R44</f>
        <v>1.8382316986689838E-4</v>
      </c>
      <c r="X35" s="1">
        <f ca="1">'Dynamic Materials'!T44</f>
        <v>1.7723250384916938E-4</v>
      </c>
      <c r="Y35" s="1">
        <f ca="1">IFERROR('Dynamic Materials'!U44+'Dynamic Materials'!AQ44, 0)</f>
        <v>1.6583818140061712E-4</v>
      </c>
      <c r="Z35" s="1">
        <f ca="1">IFERROR('Dynamic Materials'!S44+'Dynamic Materials'!AQ44, 0)</f>
        <v>1.7329937192261599E-4</v>
      </c>
      <c r="AA35" s="1">
        <f ca="1">'Dynamic Materials'!W44</f>
        <v>1.7292E-8</v>
      </c>
      <c r="AB35" s="1">
        <v>5.1999999999999995E-4</v>
      </c>
      <c r="AC35" s="1">
        <v>9.3299999999999998E-3</v>
      </c>
      <c r="AD35" s="209">
        <f>BZ35+200*Material_Impacts[[#This Row],[Truck (32+t)]]+1130*CB35</f>
        <v>7.5179120489644077E-4</v>
      </c>
      <c r="AE35" s="1">
        <v>4.4000000000000002E-4</v>
      </c>
      <c r="AF35" s="1">
        <v>3.8438500000000001E-5</v>
      </c>
      <c r="AG35" s="1"/>
      <c r="AH35" s="1">
        <v>1.06E-3</v>
      </c>
      <c r="AI35" s="209">
        <f>'Dynamic Materials'!AG44</f>
        <v>1.0140000000000001E-3</v>
      </c>
      <c r="AJ35" s="1">
        <v>1.94598E-5</v>
      </c>
      <c r="AK35" s="1">
        <v>2.7368999999999998E-5</v>
      </c>
      <c r="AL35" s="1"/>
      <c r="AM35" s="1">
        <f t="shared" si="0"/>
        <v>0</v>
      </c>
      <c r="AN35" s="1">
        <v>4.23594E-5</v>
      </c>
      <c r="AO35" s="1">
        <v>2.4000000000000001E-4</v>
      </c>
      <c r="AP35" s="209">
        <v>5.2399999999999999E-8</v>
      </c>
      <c r="AQ35" s="1">
        <f ca="1">'Dynamic Materials'!O44</f>
        <v>5.0439295828546741E-5</v>
      </c>
      <c r="AR35" s="1">
        <f ca="1">'Dynamic Materials'!P44</f>
        <v>7.5591823534760299E-5</v>
      </c>
      <c r="AS35" s="1"/>
      <c r="AT35" s="1" cm="1">
        <f t="array" aca="1" ref="AT35" ca="1">IFERROR(INDEX(Electricity_projection,MATCH($B35&amp;$A35,INDEX(Electricity_projection,0,3),0),MATCH(YEAR(TODAY()),Timeline_elec_projec,0)+3)*INDEX(Recyc_mat_energy_input,MATCH(AT$1,'Data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5.6721526965535089E-6</v>
      </c>
      <c r="AU35" s="1" cm="1">
        <f t="array" aca="1" ref="AU35" ca="1">IFERROR(INDEX(Electricity_projection,MATCH($B35&amp;$A35,INDEX(Electricity_projection,0,3),0),MATCH(YEAR(TODAY()),Timeline_elec_projec,0)+3)*INDEX(Recyc_mat_energy_input,MATCH(AU$1,'Data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3.5534643736999861E-6</v>
      </c>
      <c r="AV35" s="1" cm="1">
        <f t="array" aca="1" ref="AV35" ca="1">IFERROR(INDEX(Electricity_projection,MATCH($B35&amp;$A35,INDEX(Electricity_projection,0,3),0),MATCH(YEAR(TODAY()),Timeline_elec_projec,0)+3)*INDEX(Recyc_mat_energy_input,MATCH(AV$1,'Data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1.8570364664816311E-6</v>
      </c>
      <c r="AW35" s="1"/>
      <c r="AX35" s="1"/>
      <c r="AY35" s="1"/>
      <c r="AZ35" s="1"/>
      <c r="BA35" s="1"/>
      <c r="BB35" s="1"/>
      <c r="BC35" s="1">
        <f t="shared" si="1"/>
        <v>0</v>
      </c>
      <c r="BD35" s="1"/>
      <c r="BE35" s="1"/>
      <c r="BF35" s="1"/>
      <c r="BG35" s="1">
        <f ca="1">'Dynamic Materials'!V44</f>
        <v>3.2153436415730811E-6</v>
      </c>
      <c r="BH35" s="1"/>
      <c r="BI35" s="1" t="str" cm="1">
        <f t="array" aca="1" ref="BI35" ca="1">IFERROR(INDEX(Electricity_projection,MATCH($B35&amp;$A35,INDEX(Electricity_projection,0,3),0),MATCH(YEAR(TODAY()),Timeline_elec_projec,0)+3)*INDEX(Recyc_mat_energy_input,MATCH(BI$1,'Data Entry'!$B$91:$B$96,0),1)+Diesel_density*INDEX(Recyc_mat_energy_input,MATCH(BI$1,'Data Entry'!$B$91:$B$96,0),2)*INDEX(Indicators,ROW(),MATCH("Diesel Combustion",Materials!$1:$1,0)), "")</f>
        <v/>
      </c>
      <c r="BJ35" s="1"/>
      <c r="BK35" s="1" t="str" cm="1">
        <f t="array" aca="1" ref="BK35" ca="1">IFERROR(INDEX(Electricity_projection,MATCH($B35&amp;$A35,INDEX(Electricity_projection,0,3),0),MATCH(YEAR(TODAY()),Timeline_elec_projec,0)+3)*INDEX(Recyc_mat_energy_input,MATCH(BK$1,'Data Entry'!$B$91:$B$96,0),1)+Diesel_density*INDEX(Recyc_mat_energy_input,MATCH(BK$1,'Data Entry'!$B$91:$B$96,0),2)*INDEX(Indicators,ROW(),MATCH("Diesel Combustion",Materials!$1:$1,0)), "")</f>
        <v/>
      </c>
      <c r="BL35" s="1" t="str" cm="1">
        <f t="array" aca="1" ref="BL35" ca="1">IFERROR(INDEX(Electricity_projection,MATCH($B35&amp;$A35,INDEX(Electricity_projection,0,3),0),MATCH(YEAR(TODAY()),Timeline_elec_projec,0)+3)*INDEX(Recyc_mat_energy_input,MATCH(BL$1,'Data Entry'!$B$91:$B$96,0),1)+Diesel_density*INDEX(Recyc_mat_energy_input,MATCH(BL$1,'Data Entry'!$B$91:$B$96,0),2)*INDEX(Indicators,ROW(),MATCH("Diesel Combustion",Materials!$1:$1,0)), "")</f>
        <v/>
      </c>
      <c r="BM35" s="1"/>
      <c r="BN35" s="1">
        <f>IF(Steel_supplier="Pacific Steel",Material_Impacts[[#This Row],[Pacific Steel]],Material_Impacts[[#This Row],[Infrabuild]])</f>
        <v>0</v>
      </c>
      <c r="BO35" s="1"/>
      <c r="BP35" s="1">
        <v>1.6193412999999999E-4</v>
      </c>
      <c r="BQ35">
        <v>7.6999999999999996E-4</v>
      </c>
      <c r="BR35">
        <v>6.8999999999999997E-4</v>
      </c>
      <c r="BS35" s="443"/>
      <c r="BT35" s="443"/>
      <c r="BU35" s="443"/>
      <c r="BV35" s="443">
        <v>1</v>
      </c>
      <c r="BX35" s="1">
        <v>1.5900000000000001E-3</v>
      </c>
      <c r="BY35" s="1">
        <f t="shared" si="3"/>
        <v>3.6784268363215736E-5</v>
      </c>
      <c r="BZ35">
        <v>6.2E-4</v>
      </c>
      <c r="CA35" s="1">
        <v>0</v>
      </c>
      <c r="CB35">
        <v>7.5318199999999997E-8</v>
      </c>
      <c r="CC35">
        <v>1.06E-3</v>
      </c>
      <c r="CD35" s="378">
        <f t="shared" si="2"/>
        <v>7.2604183981199997E-4</v>
      </c>
      <c r="CE35" s="208">
        <f t="shared" si="4"/>
        <v>1.7860418398119998E-3</v>
      </c>
      <c r="CF35" s="208"/>
      <c r="CG35" s="208"/>
      <c r="CH35" s="208"/>
      <c r="CI35" s="208"/>
      <c r="CJ35" s="208"/>
      <c r="CK35" s="208"/>
      <c r="CL35" s="208"/>
      <c r="CM35" s="209"/>
      <c r="CN35" s="208"/>
      <c r="CO35" s="208"/>
      <c r="CP35" s="208"/>
      <c r="CQ35" s="208"/>
      <c r="CZ35" s="208"/>
      <c r="DA35" s="208"/>
      <c r="DB35" s="208"/>
    </row>
    <row r="36" spans="1:106" x14ac:dyDescent="0.35">
      <c r="A36" t="s">
        <v>400</v>
      </c>
      <c r="B36" t="s">
        <v>54</v>
      </c>
      <c r="C36" t="s">
        <v>768</v>
      </c>
      <c r="D36" t="str">
        <f>Material_Impacts[[#This Row],[15804 version]]&amp;Material_Impacts[[#This Row],[Methodology]]&amp;Material_Impacts[[#This Row],[Acronym]]</f>
        <v>A2AttributionalEP_terr</v>
      </c>
      <c r="E36" t="s">
        <v>780</v>
      </c>
      <c r="F36" t="s">
        <v>399</v>
      </c>
      <c r="G36" s="1">
        <v>6.4933979634415301E-2</v>
      </c>
      <c r="H36" s="1">
        <v>9.4390588235294101E-2</v>
      </c>
      <c r="I36" s="1">
        <v>2.03231048642828E-2</v>
      </c>
      <c r="J36" s="1">
        <v>6.4933979634415301E-2</v>
      </c>
      <c r="K36" s="1">
        <v>3.0519651998558584E-6</v>
      </c>
      <c r="L36" s="1">
        <v>6.4663855575251279E-6</v>
      </c>
      <c r="M36" s="1">
        <v>2.5599213829046516E-6</v>
      </c>
      <c r="N36" s="1"/>
      <c r="O36" s="443"/>
      <c r="P36" s="1">
        <v>2.5000000000000001E-4</v>
      </c>
      <c r="Q36" s="1">
        <v>0</v>
      </c>
      <c r="R36" s="1">
        <v>0</v>
      </c>
      <c r="S36" s="1">
        <v>0</v>
      </c>
      <c r="T36" s="1">
        <v>0</v>
      </c>
      <c r="U36" s="1">
        <v>0</v>
      </c>
      <c r="V36" s="1">
        <f ca="1">IFERROR('Dynamic Materials'!Q45+'Dynamic Materials'!AQ45, 0)</f>
        <v>7.3531778721750026E-4</v>
      </c>
      <c r="W36" s="1">
        <f ca="1">'Dynamic Materials'!R45</f>
        <v>7.7792706237733386E-4</v>
      </c>
      <c r="X36" s="1">
        <f ca="1">'Dynamic Materials'!T45</f>
        <v>7.0760956422420685E-4</v>
      </c>
      <c r="Y36" s="1">
        <f ca="1">IFERROR('Dynamic Materials'!U45+'Dynamic Materials'!AQ45, 0)</f>
        <v>5.9009842385906888E-4</v>
      </c>
      <c r="Z36" s="1">
        <f ca="1">IFERROR('Dynamic Materials'!S45+'Dynamic Materials'!AQ45, 0)</f>
        <v>6.7108732837292077E-4</v>
      </c>
      <c r="AA36" s="1">
        <f ca="1">'Dynamic Materials'!W45</f>
        <v>1.7984999999999999E-7</v>
      </c>
      <c r="AB36" s="1">
        <v>5.6800000000000002E-3</v>
      </c>
      <c r="AC36" s="1">
        <v>5.1400000000000001E-2</v>
      </c>
      <c r="AD36" s="209">
        <f>BZ36+200*Material_Impacts[[#This Row],[Truck (32+t)]]+1130*CB36</f>
        <v>8.1611842765809302E-3</v>
      </c>
      <c r="AE36" s="1">
        <v>4.6100000000000004E-3</v>
      </c>
      <c r="AF36" s="1">
        <v>4.2999999999999999E-4</v>
      </c>
      <c r="AG36" s="1"/>
      <c r="AH36" s="1">
        <v>1.1339999999999999E-2</v>
      </c>
      <c r="AI36" s="209">
        <f>'Dynamic Materials'!AG45</f>
        <v>1.0596000000000001E-2</v>
      </c>
      <c r="AJ36" s="1">
        <v>2.3000000000000001E-4</v>
      </c>
      <c r="AK36" s="1">
        <v>3.4000000000000002E-4</v>
      </c>
      <c r="AL36" s="1"/>
      <c r="AM36" s="1">
        <f t="shared" si="0"/>
        <v>0</v>
      </c>
      <c r="AN36" s="1">
        <v>4.8000000000000001E-4</v>
      </c>
      <c r="AO36" s="1">
        <v>2.6099999999999999E-3</v>
      </c>
      <c r="AP36" s="209">
        <v>5.4499999999999997E-7</v>
      </c>
      <c r="AQ36" s="1">
        <f ca="1">'Dynamic Materials'!O45</f>
        <v>5.4822725227885154E-4</v>
      </c>
      <c r="AR36" s="1">
        <f ca="1">'Dynamic Materials'!P45</f>
        <v>7.850961956839958E-4</v>
      </c>
      <c r="AS36" s="1"/>
      <c r="AT36" s="1" cm="1">
        <f t="array" aca="1" ref="AT36" ca="1">IFERROR(INDEX(Electricity_projection,MATCH($B36&amp;$A36,INDEX(Electricity_projection,0,3),0),MATCH(YEAR(TODAY()),Timeline_elec_projec,0)+3)*INDEX(Recyc_mat_energy_input,MATCH(AT$1,'Data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6.2293825195740144E-5</v>
      </c>
      <c r="AU36" s="1" cm="1">
        <f t="array" aca="1" ref="AU36" ca="1">IFERROR(INDEX(Electricity_projection,MATCH($B36&amp;$A36,INDEX(Electricity_projection,0,3),0),MATCH(YEAR(TODAY()),Timeline_elec_projec,0)+3)*INDEX(Recyc_mat_energy_input,MATCH(AU$1,'Data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3.9031295686409961E-5</v>
      </c>
      <c r="AV36" s="1" cm="1">
        <f t="array" aca="1" ref="AV36" ca="1">IFERROR(INDEX(Electricity_projection,MATCH($B36&amp;$A36,INDEX(Electricity_projection,0,3),0),MATCH(YEAR(TODAY()),Timeline_elec_projec,0)+3)*INDEX(Recyc_mat_energy_input,MATCH(AV$1,'Data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2.0397711022558876E-5</v>
      </c>
      <c r="AW36" s="1"/>
      <c r="AX36" s="1"/>
      <c r="AY36" s="1"/>
      <c r="AZ36" s="1"/>
      <c r="BA36" s="1"/>
      <c r="BB36" s="1"/>
      <c r="BC36" s="1">
        <f t="shared" si="1"/>
        <v>0</v>
      </c>
      <c r="BD36" s="1"/>
      <c r="BE36" s="1"/>
      <c r="BF36" s="1"/>
      <c r="BG36" s="1">
        <f ca="1">'Dynamic Materials'!V45</f>
        <v>3.5308204802381849E-5</v>
      </c>
      <c r="BH36" s="1"/>
      <c r="BI36" s="1" t="str" cm="1">
        <f t="array" aca="1" ref="BI36" ca="1">IFERROR(INDEX(Electricity_projection,MATCH($B36&amp;$A36,INDEX(Electricity_projection,0,3),0),MATCH(YEAR(TODAY()),Timeline_elec_projec,0)+3)*INDEX(Recyc_mat_energy_input,MATCH(BI$1,'Data Entry'!$B$91:$B$96,0),1)+Diesel_density*INDEX(Recyc_mat_energy_input,MATCH(BI$1,'Data Entry'!$B$91:$B$96,0),2)*INDEX(Indicators,ROW(),MATCH("Diesel Combustion",Materials!$1:$1,0)), "")</f>
        <v/>
      </c>
      <c r="BJ36" s="1"/>
      <c r="BK36" s="1" t="str" cm="1">
        <f t="array" aca="1" ref="BK36" ca="1">IFERROR(INDEX(Electricity_projection,MATCH($B36&amp;$A36,INDEX(Electricity_projection,0,3),0),MATCH(YEAR(TODAY()),Timeline_elec_projec,0)+3)*INDEX(Recyc_mat_energy_input,MATCH(BK$1,'Data Entry'!$B$91:$B$96,0),1)+Diesel_density*INDEX(Recyc_mat_energy_input,MATCH(BK$1,'Data Entry'!$B$91:$B$96,0),2)*INDEX(Indicators,ROW(),MATCH("Diesel Combustion",Materials!$1:$1,0)), "")</f>
        <v/>
      </c>
      <c r="BL36" s="1" t="str" cm="1">
        <f t="array" aca="1" ref="BL36" ca="1">IFERROR(INDEX(Electricity_projection,MATCH($B36&amp;$A36,INDEX(Electricity_projection,0,3),0),MATCH(YEAR(TODAY()),Timeline_elec_projec,0)+3)*INDEX(Recyc_mat_energy_input,MATCH(BL$1,'Data Entry'!$B$91:$B$96,0),1)+Diesel_density*INDEX(Recyc_mat_energy_input,MATCH(BL$1,'Data Entry'!$B$91:$B$96,0),2)*INDEX(Indicators,ROW(),MATCH("Diesel Combustion",Materials!$1:$1,0)), "")</f>
        <v/>
      </c>
      <c r="BM36" s="1"/>
      <c r="BN36" s="1">
        <f>IF(Steel_supplier="Pacific Steel",Material_Impacts[[#This Row],[Pacific Steel]],Material_Impacts[[#This Row],[Infrabuild]])</f>
        <v>0</v>
      </c>
      <c r="BO36" s="1"/>
      <c r="BP36" s="1">
        <v>1.8060000000000001E-3</v>
      </c>
      <c r="BQ36">
        <v>8.4499999999999992E-3</v>
      </c>
      <c r="BR36">
        <v>7.5199999999999998E-3</v>
      </c>
      <c r="BS36" s="443"/>
      <c r="BT36" s="443"/>
      <c r="BU36" s="443"/>
      <c r="BV36" s="443">
        <v>1</v>
      </c>
      <c r="BX36" s="1">
        <v>1.7469999999999999E-2</v>
      </c>
      <c r="BY36" s="1">
        <f t="shared" si="3"/>
        <v>4.0416425679583572E-4</v>
      </c>
      <c r="BZ36">
        <v>6.7000000000000002E-3</v>
      </c>
      <c r="CA36" s="1">
        <v>0</v>
      </c>
      <c r="CB36">
        <v>8.4E-7</v>
      </c>
      <c r="CC36">
        <v>1.1339999999999999E-2</v>
      </c>
      <c r="CD36" s="378">
        <f t="shared" si="2"/>
        <v>8.0973143999999997E-3</v>
      </c>
      <c r="CE36" s="208">
        <f t="shared" si="4"/>
        <v>1.9437314399999999E-2</v>
      </c>
      <c r="CF36" s="208"/>
      <c r="CG36" s="208"/>
      <c r="CH36" s="208"/>
      <c r="CI36" s="208"/>
      <c r="CJ36" s="208"/>
      <c r="CK36" s="208"/>
      <c r="CL36" s="208"/>
      <c r="CM36" s="209"/>
      <c r="CN36" s="208"/>
      <c r="CO36" s="208"/>
      <c r="CP36" s="208"/>
      <c r="CQ36" s="208"/>
      <c r="CZ36" s="208"/>
      <c r="DA36" s="208"/>
      <c r="DB36" s="208"/>
    </row>
    <row r="37" spans="1:106" x14ac:dyDescent="0.35">
      <c r="A37" t="s">
        <v>403</v>
      </c>
      <c r="B37" t="s">
        <v>54</v>
      </c>
      <c r="C37" t="s">
        <v>768</v>
      </c>
      <c r="D37" t="str">
        <f>Material_Impacts[[#This Row],[15804 version]]&amp;Material_Impacts[[#This Row],[Methodology]]&amp;Material_Impacts[[#This Row],[Acronym]]</f>
        <v>A2AttributionalODP</v>
      </c>
      <c r="E37" t="s">
        <v>781</v>
      </c>
      <c r="F37" t="s">
        <v>402</v>
      </c>
      <c r="G37" s="1">
        <v>8.1264299999999998E-7</v>
      </c>
      <c r="H37" s="1">
        <v>8.1264299999999998E-7</v>
      </c>
      <c r="I37" s="1">
        <v>8.2114400000000001E-7</v>
      </c>
      <c r="J37" s="1">
        <v>8.1264299999999998E-7</v>
      </c>
      <c r="K37" s="1">
        <v>2.1033623579135227E-11</v>
      </c>
      <c r="L37" s="1">
        <v>5.0931420354698883E-11</v>
      </c>
      <c r="M37" s="1">
        <v>1.7711966975758733E-11</v>
      </c>
      <c r="N37" s="1"/>
      <c r="O37" s="443"/>
      <c r="P37" s="1">
        <v>1.2181199999999999E-8</v>
      </c>
      <c r="Q37" s="1">
        <v>0</v>
      </c>
      <c r="R37" s="1">
        <v>0</v>
      </c>
      <c r="S37" s="1">
        <v>0</v>
      </c>
      <c r="T37" s="1">
        <v>0</v>
      </c>
      <c r="U37" s="1">
        <v>0</v>
      </c>
      <c r="V37" s="1">
        <f ca="1">IFERROR('Dynamic Materials'!Q46+'Dynamic Materials'!AQ46, 0)</f>
        <v>1.2291931964404266E-4</v>
      </c>
      <c r="W37" s="1">
        <f ca="1">'Dynamic Materials'!R46</f>
        <v>1.2291202147796321E-4</v>
      </c>
      <c r="X37" s="1">
        <f ca="1">'Dynamic Materials'!T46</f>
        <v>1.2290488873462343E-4</v>
      </c>
      <c r="Y37" s="1">
        <f ca="1">IFERROR('Dynamic Materials'!U46+'Dynamic Materials'!AQ46, 0)</f>
        <v>1.2290438597980006E-4</v>
      </c>
      <c r="Z37" s="1">
        <f ca="1">IFERROR('Dynamic Materials'!S46+'Dynamic Materials'!AQ46, 0)</f>
        <v>1.2291195555415489E-4</v>
      </c>
      <c r="AA37" s="1">
        <f ca="1">'Dynamic Materials'!W46</f>
        <v>2.7359041E-12</v>
      </c>
      <c r="AB37" s="1">
        <v>3.9407999999999999E-7</v>
      </c>
      <c r="AC37" s="1">
        <v>4.3601000000000001E-8</v>
      </c>
      <c r="AD37" s="209">
        <f>BZ37+200*Material_Impacts[[#This Row],[Truck (32+t)]]+1130*CB37</f>
        <v>7.5774070919515177E-7</v>
      </c>
      <c r="AE37" s="1">
        <v>5.0647899999999999E-7</v>
      </c>
      <c r="AF37" s="1">
        <v>1.00697E-8</v>
      </c>
      <c r="AG37" s="1"/>
      <c r="AH37" s="1">
        <v>5.0803000000000003E-7</v>
      </c>
      <c r="AI37" s="209">
        <f>'Dynamic Materials'!AG46</f>
        <v>6.6520209000000006E-7</v>
      </c>
      <c r="AJ37" s="1">
        <v>1.0838999999999999E-9</v>
      </c>
      <c r="AK37" s="1">
        <v>1.55773E-9</v>
      </c>
      <c r="AL37" s="1"/>
      <c r="AM37" s="1">
        <f t="shared" si="0"/>
        <v>2.092E-16</v>
      </c>
      <c r="AN37" s="1">
        <v>2.1234500000000001E-9</v>
      </c>
      <c r="AO37" s="1">
        <v>1.11609E-7</v>
      </c>
      <c r="AP37" s="209">
        <v>8.2799999999999995E-12</v>
      </c>
      <c r="AQ37" s="1">
        <f ca="1">'Dynamic Materials'!O46</f>
        <v>4.6200719842106767E-8</v>
      </c>
      <c r="AR37" s="1">
        <f ca="1">'Dynamic Materials'!P46</f>
        <v>3.7594465390397662E-8</v>
      </c>
      <c r="AS37" s="1"/>
      <c r="AT37" s="1" cm="1">
        <f t="array" aca="1" ref="AT37" ca="1">IFERROR(INDEX(Electricity_projection,MATCH($B37&amp;$A37,INDEX(Electricity_projection,0,3),0),MATCH(YEAR(TODAY()),Timeline_elec_projec,0)+3)*INDEX(Recyc_mat_energy_input,MATCH(AT$1,'Data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7.8327371318899996E-10</v>
      </c>
      <c r="AU37" s="1" cm="1">
        <f t="array" aca="1" ref="AU37" ca="1">IFERROR(INDEX(Electricity_projection,MATCH($B37&amp;$A37,INDEX(Electricity_projection,0,3),0),MATCH(YEAR(TODAY()),Timeline_elec_projec,0)+3)*INDEX(Recyc_mat_energy_input,MATCH(AU$1,'Data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4.9217840615599998E-10</v>
      </c>
      <c r="AV37" s="1" cm="1">
        <f t="array" aca="1" ref="AV37" ca="1">IFERROR(INDEX(Electricity_projection,MATCH($B37&amp;$A37,INDEX(Electricity_projection,0,3),0),MATCH(YEAR(TODAY()),Timeline_elec_projec,0)+3)*INDEX(Recyc_mat_energy_input,MATCH(AV$1,'Data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2.6956254558999997E-10</v>
      </c>
      <c r="AW37" s="1"/>
      <c r="AX37" s="1"/>
      <c r="AY37" s="1"/>
      <c r="AZ37" s="1"/>
      <c r="BA37" s="1"/>
      <c r="BB37" s="1"/>
      <c r="BC37" s="1">
        <f t="shared" si="1"/>
        <v>5.2300000000000002E-15</v>
      </c>
      <c r="BD37" s="1">
        <v>5.2300000000000002E-15</v>
      </c>
      <c r="BE37" s="1"/>
      <c r="BF37" s="1"/>
      <c r="BG37" s="1">
        <f ca="1">'Dynamic Materials'!V46</f>
        <v>4.4679199331249997E-10</v>
      </c>
      <c r="BH37" s="1"/>
      <c r="BI37" s="1" cm="1">
        <f t="array" aca="1" ref="BI37" ca="1">IFERROR(INDEX(Electricity_projection,MATCH($B37&amp;$A37,INDEX(Electricity_projection,0,3),0),MATCH(YEAR(TODAY()),Timeline_elec_projec,0)+3)*INDEX(Recyc_mat_energy_input,MATCH(BI$1,'Data Entry'!$B$91:$B$96,0),1)+Diesel_density*INDEX(Recyc_mat_energy_input,MATCH(BI$1,'Data Entry'!$B$91:$B$96,0),2)*INDEX(Indicators,ROW(),MATCH("Diesel Combustion",Materials!$1:$1,0)), "")</f>
        <v>0</v>
      </c>
      <c r="BJ37" s="1"/>
      <c r="BK37" s="1" cm="1">
        <f t="array" aca="1" ref="BK37" ca="1">IFERROR(INDEX(Electricity_projection,MATCH($B37&amp;$A37,INDEX(Electricity_projection,0,3),0),MATCH(YEAR(TODAY()),Timeline_elec_projec,0)+3)*INDEX(Recyc_mat_energy_input,MATCH(BK$1,'Data Entry'!$B$91:$B$96,0),1)+Diesel_density*INDEX(Recyc_mat_energy_input,MATCH(BK$1,'Data Entry'!$B$91:$B$96,0),2)*INDEX(Indicators,ROW(),MATCH("Diesel Combustion",Materials!$1:$1,0)), "")</f>
        <v>3.5876563164000004E-10</v>
      </c>
      <c r="BL37" s="1" cm="1">
        <f t="array" aca="1" ref="BL37" ca="1">IFERROR(INDEX(Electricity_projection,MATCH($B37&amp;$A37,INDEX(Electricity_projection,0,3),0),MATCH(YEAR(TODAY()),Timeline_elec_projec,0)+3)*INDEX(Recyc_mat_energy_input,MATCH(BL$1,'Data Entry'!$B$91:$B$96,0),1)+Diesel_density*INDEX(Recyc_mat_energy_input,MATCH(BL$1,'Data Entry'!$B$91:$B$96,0),2)*INDEX(Indicators,ROW(),MATCH("Diesel Combustion",Materials!$1:$1,0)), "")</f>
        <v>5.320555555555555E-11</v>
      </c>
      <c r="BM37" s="1"/>
      <c r="BN37" s="1">
        <f>IF(Steel_supplier="Pacific Steel",Material_Impacts[[#This Row],[Pacific Steel]],Material_Impacts[[#This Row],[Infrabuild]])</f>
        <v>0</v>
      </c>
      <c r="BO37" s="1"/>
      <c r="BP37" s="1">
        <v>4.0627689999999997E-9</v>
      </c>
      <c r="BQ37" s="1">
        <v>8.2114400000000001E-7</v>
      </c>
      <c r="BR37" s="1">
        <v>8.1264299999999998E-7</v>
      </c>
      <c r="BS37" s="443"/>
      <c r="BT37" s="443"/>
      <c r="BU37" s="443"/>
      <c r="BV37" s="443">
        <v>1</v>
      </c>
      <c r="BW37" s="1"/>
      <c r="BX37" s="1">
        <v>5.5160400000000001E-8</v>
      </c>
      <c r="BY37" s="1">
        <f t="shared" si="3"/>
        <v>1.2761226142278775E-9</v>
      </c>
      <c r="BZ37" s="1">
        <v>7.52063E-7</v>
      </c>
      <c r="CA37" s="1">
        <v>0</v>
      </c>
      <c r="CB37">
        <v>1.8896599999999998E-12</v>
      </c>
      <c r="CC37" s="1">
        <v>5.0455800000000001E-7</v>
      </c>
      <c r="CD37" s="378">
        <f t="shared" si="2"/>
        <v>1.8215679915599999E-8</v>
      </c>
      <c r="CE37" s="208">
        <f t="shared" si="4"/>
        <v>5.2277367991559997E-7</v>
      </c>
      <c r="CF37" s="208"/>
      <c r="CG37" s="208"/>
      <c r="CH37" s="208"/>
      <c r="CI37" s="208"/>
      <c r="CJ37" s="208"/>
      <c r="CK37" s="209"/>
      <c r="CL37" s="209"/>
      <c r="CM37" s="209"/>
      <c r="CN37" s="208"/>
      <c r="CO37" s="208"/>
      <c r="CP37" s="208"/>
      <c r="CQ37" s="208"/>
      <c r="CZ37" s="208"/>
      <c r="DA37" s="208"/>
      <c r="DB37" s="208"/>
    </row>
    <row r="38" spans="1:106" x14ac:dyDescent="0.35">
      <c r="A38" t="s">
        <v>531</v>
      </c>
      <c r="B38" t="s">
        <v>54</v>
      </c>
      <c r="C38" t="s">
        <v>768</v>
      </c>
      <c r="D38" t="str">
        <f>Material_Impacts[[#This Row],[15804 version]]&amp;Material_Impacts[[#This Row],[Methodology]]&amp;Material_Impacts[[#This Row],[Acronym]]</f>
        <v>A2AttributionalPOFP</v>
      </c>
      <c r="E38" t="s">
        <v>782</v>
      </c>
      <c r="F38" t="s">
        <v>783</v>
      </c>
      <c r="G38" s="1">
        <v>1.3923457541732199E-2</v>
      </c>
      <c r="H38" s="1">
        <v>2.4949984352941199E-2</v>
      </c>
      <c r="I38" s="1">
        <v>4.79334883225548E-3</v>
      </c>
      <c r="J38" s="1">
        <v>1.3923457541732199E-2</v>
      </c>
      <c r="K38" s="1">
        <v>5.6052258327314858E-7</v>
      </c>
      <c r="L38" s="1">
        <v>1.2029780614988809E-6</v>
      </c>
      <c r="M38" s="1">
        <v>4.7024997620016901E-7</v>
      </c>
      <c r="N38" s="1"/>
      <c r="O38" s="443"/>
      <c r="P38" s="1">
        <v>8.8234700000000004E-5</v>
      </c>
      <c r="Q38" s="1">
        <v>0</v>
      </c>
      <c r="R38" s="1">
        <v>0</v>
      </c>
      <c r="S38" s="1">
        <v>0</v>
      </c>
      <c r="T38" s="1">
        <v>0</v>
      </c>
      <c r="U38" s="1">
        <v>0</v>
      </c>
      <c r="V38" s="1">
        <f ca="1">IFERROR('Dynamic Materials'!Q47+'Dynamic Materials'!AQ47, 0)</f>
        <v>3.5377608978809534E-4</v>
      </c>
      <c r="W38" s="1">
        <f ca="1">'Dynamic Materials'!R47</f>
        <v>4.1415721487139472E-4</v>
      </c>
      <c r="X38" s="1">
        <f ca="1">'Dynamic Materials'!T47</f>
        <v>3.775330872303964E-4</v>
      </c>
      <c r="Y38" s="1">
        <f ca="1">IFERROR('Dynamic Materials'!U47+'Dynamic Materials'!AQ47, 0)</f>
        <v>2.9418494105075112E-4</v>
      </c>
      <c r="Z38" s="1">
        <f ca="1">IFERROR('Dynamic Materials'!S47+'Dynamic Materials'!AQ47, 0)</f>
        <v>3.2577783715899693E-4</v>
      </c>
      <c r="AA38" s="1">
        <f ca="1">'Dynamic Materials'!W47</f>
        <v>4.1910000000000003E-8</v>
      </c>
      <c r="AB38" s="1">
        <v>3.6310000000000002E-2</v>
      </c>
      <c r="AC38" s="1">
        <v>1.7270000000000001E-2</v>
      </c>
      <c r="AD38" s="209">
        <f>BZ38+200*Material_Impacts[[#This Row],[Truck (32+t)]]+1130*CB38</f>
        <v>3.1726499952400337E-3</v>
      </c>
      <c r="AE38" s="1">
        <v>1.9300000000000001E-3</v>
      </c>
      <c r="AF38" s="1">
        <v>1.2099999999999999E-3</v>
      </c>
      <c r="AG38" s="1"/>
      <c r="AH38" s="1">
        <v>4.1900000000000001E-3</v>
      </c>
      <c r="AI38" s="209">
        <f>'Dynamic Materials'!AG47</f>
        <v>6.6230000000000004E-3</v>
      </c>
      <c r="AJ38" s="1">
        <v>5.5128399999999999E-5</v>
      </c>
      <c r="AK38" s="1">
        <v>8.4032900000000007E-5</v>
      </c>
      <c r="AL38" s="1"/>
      <c r="AM38" s="1">
        <f t="shared" si="0"/>
        <v>0</v>
      </c>
      <c r="AN38" s="1">
        <v>1.2E-4</v>
      </c>
      <c r="AO38" s="1">
        <v>9.5E-4</v>
      </c>
      <c r="AP38" s="209">
        <v>1.2700000000000001E-7</v>
      </c>
      <c r="AQ38" s="1">
        <f ca="1">'Dynamic Materials'!O47</f>
        <v>2.0291776106492765E-4</v>
      </c>
      <c r="AR38" s="1">
        <f ca="1">'Dynamic Materials'!P47</f>
        <v>4.7092876135052566E-4</v>
      </c>
      <c r="AS38" s="1"/>
      <c r="AT38" s="1" cm="1">
        <f t="array" aca="1" ref="AT38" ca="1">IFERROR(INDEX(Electricity_projection,MATCH($B38&amp;$A38,INDEX(Electricity_projection,0,3),0),MATCH(YEAR(TODAY()),Timeline_elec_projec,0)+3)*INDEX(Recyc_mat_energy_input,MATCH(AT$1,'Data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1.3360384415452828E-5</v>
      </c>
      <c r="AU38" s="1" cm="1">
        <f t="array" aca="1" ref="AU38" ca="1">IFERROR(INDEX(Electricity_projection,MATCH($B38&amp;$A38,INDEX(Electricity_projection,0,3),0),MATCH(YEAR(TODAY()),Timeline_elec_projec,0)+3)*INDEX(Recyc_mat_energy_input,MATCH(AU$1,'Data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8.369278940674892E-6</v>
      </c>
      <c r="AV38" s="1" cm="1">
        <f t="array" aca="1" ref="AV38" ca="1">IFERROR(INDEX(Electricity_projection,MATCH($B38&amp;$A38,INDEX(Electricity_projection,0,3),0),MATCH(YEAR(TODAY()),Timeline_elec_projec,0)+3)*INDEX(Recyc_mat_energy_input,MATCH(AV$1,'Data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4.3737757175843353E-6</v>
      </c>
      <c r="AW38" s="1"/>
      <c r="AX38" s="1"/>
      <c r="AY38" s="1"/>
      <c r="AZ38" s="1"/>
      <c r="BA38" s="1"/>
      <c r="BB38" s="1"/>
      <c r="BC38" s="1">
        <f t="shared" si="1"/>
        <v>0</v>
      </c>
      <c r="BD38" s="1"/>
      <c r="BE38" s="1"/>
      <c r="BF38" s="1"/>
      <c r="BG38" s="1">
        <f ca="1">'Dynamic Materials'!V47</f>
        <v>7.5739973512432815E-6</v>
      </c>
      <c r="BH38" s="1"/>
      <c r="BI38" s="1" t="str" cm="1">
        <f t="array" aca="1" ref="BI38" ca="1">IFERROR(INDEX(Electricity_projection,MATCH($B38&amp;$A38,INDEX(Electricity_projection,0,3),0),MATCH(YEAR(TODAY()),Timeline_elec_projec,0)+3)*INDEX(Recyc_mat_energy_input,MATCH(BI$1,'Data Entry'!$B$91:$B$96,0),1)+Diesel_density*INDEX(Recyc_mat_energy_input,MATCH(BI$1,'Data Entry'!$B$91:$B$96,0),2)*INDEX(Indicators,ROW(),MATCH("Diesel Combustion",Materials!$1:$1,0)), "")</f>
        <v/>
      </c>
      <c r="BJ38" s="1"/>
      <c r="BK38" s="1" t="str" cm="1">
        <f t="array" aca="1" ref="BK38" ca="1">IFERROR(INDEX(Electricity_projection,MATCH($B38&amp;$A38,INDEX(Electricity_projection,0,3),0),MATCH(YEAR(TODAY()),Timeline_elec_projec,0)+3)*INDEX(Recyc_mat_energy_input,MATCH(BK$1,'Data Entry'!$B$91:$B$96,0),1)+Diesel_density*INDEX(Recyc_mat_energy_input,MATCH(BK$1,'Data Entry'!$B$91:$B$96,0),2)*INDEX(Indicators,ROW(),MATCH("Diesel Combustion",Materials!$1:$1,0)), "")</f>
        <v/>
      </c>
      <c r="BL38" s="1" t="str" cm="1">
        <f t="array" aca="1" ref="BL38" ca="1">IFERROR(INDEX(Electricity_projection,MATCH($B38&amp;$A38,INDEX(Electricity_projection,0,3),0),MATCH(YEAR(TODAY()),Timeline_elec_projec,0)+3)*INDEX(Recyc_mat_energy_input,MATCH(BL$1,'Data Entry'!$B$91:$B$96,0),1)+Diesel_density*INDEX(Recyc_mat_energy_input,MATCH(BL$1,'Data Entry'!$B$91:$B$96,0),2)*INDEX(Indicators,ROW(),MATCH("Diesel Combustion",Materials!$1:$1,0)), "")</f>
        <v/>
      </c>
      <c r="BM38" s="1"/>
      <c r="BN38" s="1">
        <f>IF(Steel_supplier="Pacific Steel",Material_Impacts[[#This Row],[Pacific Steel]],Material_Impacts[[#This Row],[Infrabuild]])</f>
        <v>0</v>
      </c>
      <c r="BO38" s="1"/>
      <c r="BP38" s="1">
        <v>4.73E-4</v>
      </c>
      <c r="BQ38">
        <v>3.47E-3</v>
      </c>
      <c r="BR38">
        <v>3.15E-3</v>
      </c>
      <c r="BS38" s="443"/>
      <c r="BT38" s="443"/>
      <c r="BU38" s="443"/>
      <c r="BV38" s="443">
        <v>1</v>
      </c>
      <c r="BX38" s="1">
        <v>4.4600000000000004E-3</v>
      </c>
      <c r="BY38" s="1">
        <f t="shared" si="3"/>
        <v>1.0318102949681898E-4</v>
      </c>
      <c r="BZ38">
        <v>2.8300000000000001E-3</v>
      </c>
      <c r="CA38" s="1">
        <v>0</v>
      </c>
      <c r="CB38">
        <v>2.2000000000000001E-7</v>
      </c>
      <c r="CC38">
        <v>4.1900000000000001E-3</v>
      </c>
      <c r="CD38" s="378">
        <f t="shared" si="2"/>
        <v>2.1207252E-3</v>
      </c>
      <c r="CE38" s="208">
        <f t="shared" si="4"/>
        <v>6.3107252000000006E-3</v>
      </c>
      <c r="CF38" s="208"/>
      <c r="CG38" s="208"/>
      <c r="CH38" s="208"/>
      <c r="CI38" s="208"/>
      <c r="CJ38" s="208"/>
      <c r="CK38" s="208"/>
      <c r="CL38" s="208"/>
      <c r="CM38" s="209"/>
      <c r="CN38" s="208"/>
      <c r="CO38" s="208"/>
      <c r="CP38" s="208"/>
      <c r="CQ38" s="208"/>
      <c r="CZ38" s="208"/>
      <c r="DA38" s="208"/>
      <c r="DB38" s="208"/>
    </row>
    <row r="39" spans="1:106" x14ac:dyDescent="0.35">
      <c r="A39" t="s">
        <v>406</v>
      </c>
      <c r="B39" t="s">
        <v>54</v>
      </c>
      <c r="C39" t="s">
        <v>768</v>
      </c>
      <c r="D39" t="str">
        <f>Material_Impacts[[#This Row],[15804 version]]&amp;Material_Impacts[[#This Row],[Methodology]]&amp;Material_Impacts[[#This Row],[Acronym]]</f>
        <v>A2AttributionalWS</v>
      </c>
      <c r="E39" t="s">
        <v>784</v>
      </c>
      <c r="F39" t="s">
        <v>405</v>
      </c>
      <c r="G39" s="1">
        <v>1.3220000000000001E-2</v>
      </c>
      <c r="H39" s="1">
        <v>1.3220000000000001E-2</v>
      </c>
      <c r="I39" s="1">
        <v>1.7170000000000001E-2</v>
      </c>
      <c r="J39" s="1">
        <v>1.3220000000000001E-2</v>
      </c>
      <c r="K39" s="1">
        <v>3.4217301289270657E-7</v>
      </c>
      <c r="L39" s="1">
        <v>8.285475628155528E-7</v>
      </c>
      <c r="M39" s="1">
        <v>2.8813661524129347E-7</v>
      </c>
      <c r="N39" s="1"/>
      <c r="O39" s="443"/>
      <c r="P39" s="1">
        <v>2.8300000000000001E-3</v>
      </c>
      <c r="Q39" s="1">
        <v>0</v>
      </c>
      <c r="R39" s="1">
        <v>0</v>
      </c>
      <c r="S39" s="1">
        <v>0</v>
      </c>
      <c r="T39" s="1">
        <v>0</v>
      </c>
      <c r="U39" s="1">
        <v>0</v>
      </c>
      <c r="V39" s="1">
        <f ca="1">IFERROR('Dynamic Materials'!Q48+'Dynamic Materials'!AQ48, 0)</f>
        <v>7.5299961841792471E-3</v>
      </c>
      <c r="W39" s="1">
        <f ca="1">'Dynamic Materials'!R48</f>
        <v>1.2808228456025904E-2</v>
      </c>
      <c r="X39" s="1">
        <f ca="1">'Dynamic Materials'!T48</f>
        <v>1.7283953053687642E-2</v>
      </c>
      <c r="Y39" s="1">
        <f ca="1">IFERROR('Dynamic Materials'!U48+'Dynamic Materials'!AQ48, 0)</f>
        <v>1.281171318230348E-2</v>
      </c>
      <c r="Z39" s="1">
        <f ca="1">IFERROR('Dynamic Materials'!S48+'Dynamic Materials'!AQ48, 0)</f>
        <v>1.2759753963533363E-2</v>
      </c>
      <c r="AA39" s="1">
        <f ca="1">'Dynamic Materials'!W48</f>
        <v>1.42296E-2</v>
      </c>
      <c r="AB39" s="1">
        <v>0.14742</v>
      </c>
      <c r="AC39" s="1">
        <v>5.2298</v>
      </c>
      <c r="AD39" s="209">
        <f>BZ39+200*Material_Impacts[[#This Row],[Truck (32+t)]]+1130*CB39</f>
        <v>7.7527273230482583E-3</v>
      </c>
      <c r="AE39" s="1">
        <v>3.1690000000000003E-2</v>
      </c>
      <c r="AF39" s="1">
        <v>1.532E-2</v>
      </c>
      <c r="AG39" s="1"/>
      <c r="AH39" s="1">
        <v>0.77273999999999998</v>
      </c>
      <c r="AI39" s="209">
        <f>'Dynamic Materials'!AG48</f>
        <v>0.30936600000000009</v>
      </c>
      <c r="AJ39" s="1">
        <v>1.6760000000000001E-2</v>
      </c>
      <c r="AK39" s="1">
        <v>4.1599999999999996E-3</v>
      </c>
      <c r="AL39" s="1"/>
      <c r="AM39" s="1">
        <f t="shared" ref="AM39:AM70" si="5">BD39*0.04</f>
        <v>0</v>
      </c>
      <c r="AN39" s="1">
        <v>2.308E-2</v>
      </c>
      <c r="AO39" s="1">
        <v>0.18317</v>
      </c>
      <c r="AP39" s="209">
        <v>4.3119999999999999E-2</v>
      </c>
      <c r="AQ39" s="1">
        <f ca="1">'Dynamic Materials'!O48</f>
        <v>1.2636893887439294E-2</v>
      </c>
      <c r="AR39" s="1">
        <f ca="1">'Dynamic Materials'!P48</f>
        <v>3.8513470248056396E-2</v>
      </c>
      <c r="AS39" s="1"/>
      <c r="AT39" s="1" cm="1">
        <f t="array" aca="1" ref="AT39" ca="1">IFERROR(INDEX(Electricity_projection,MATCH($B39&amp;$A39,INDEX(Electricity_projection,0,3),0),MATCH(YEAR(TODAY()),Timeline_elec_projec,0)+3)*INDEX(Recyc_mat_energy_input,MATCH(AT$1,'Data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1.2948649200059999E-2</v>
      </c>
      <c r="AU39" s="1" cm="1">
        <f t="array" aca="1" ref="AU39" ca="1">IFERROR(INDEX(Electricity_projection,MATCH($B39&amp;$A39,INDEX(Electricity_projection,0,3),0),MATCH(YEAR(TODAY()),Timeline_elec_projec,0)+3)*INDEX(Recyc_mat_energy_input,MATCH(AU$1,'Data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7.94643624E-6</v>
      </c>
      <c r="AV39" s="1" cm="1">
        <f t="array" aca="1" ref="AV39" ca="1">IFERROR(INDEX(Electricity_projection,MATCH($B39&amp;$A39,INDEX(Electricity_projection,0,3),0),MATCH(YEAR(TODAY()),Timeline_elec_projec,0)+3)*INDEX(Recyc_mat_energy_input,MATCH(AV$1,'Data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4.1527986000000003E-6</v>
      </c>
      <c r="AW39" s="1"/>
      <c r="AX39" s="1"/>
      <c r="AY39" s="1"/>
      <c r="AZ39" s="1"/>
      <c r="BA39" s="1"/>
      <c r="BB39" s="1"/>
      <c r="BC39" s="1">
        <f t="shared" ref="BC39:BC70" si="6">IF(Cement_Supplier="Golden Bay Cement",BD39,BE39)</f>
        <v>0</v>
      </c>
      <c r="BD39" s="1"/>
      <c r="BE39" s="1"/>
      <c r="BF39" s="1"/>
      <c r="BG39" s="1">
        <f ca="1">'Dynamic Materials'!V48</f>
        <v>1.2943155159749999E-2</v>
      </c>
      <c r="BH39" s="1"/>
      <c r="BI39" s="1" t="str" cm="1">
        <f t="array" aca="1" ref="BI39" ca="1">IFERROR(INDEX(Electricity_projection,MATCH($B39&amp;$A39,INDEX(Electricity_projection,0,3),0),MATCH(YEAR(TODAY()),Timeline_elec_projec,0)+3)*INDEX(Recyc_mat_energy_input,MATCH(BI$1,'Data Entry'!$B$91:$B$96,0),1)+Diesel_density*INDEX(Recyc_mat_energy_input,MATCH(BI$1,'Data Entry'!$B$91:$B$96,0),2)*INDEX(Indicators,ROW(),MATCH("Diesel Combustion",Materials!$1:$1,0)), "")</f>
        <v/>
      </c>
      <c r="BJ39" s="1"/>
      <c r="BK39" s="1" t="str" cm="1">
        <f t="array" aca="1" ref="BK39" ca="1">IFERROR(INDEX(Electricity_projection,MATCH($B39&amp;$A39,INDEX(Electricity_projection,0,3),0),MATCH(YEAR(TODAY()),Timeline_elec_projec,0)+3)*INDEX(Recyc_mat_energy_input,MATCH(BK$1,'Data Entry'!$B$91:$B$96,0),1)+Diesel_density*INDEX(Recyc_mat_energy_input,MATCH(BK$1,'Data Entry'!$B$91:$B$96,0),2)*INDEX(Indicators,ROW(),MATCH("Diesel Combustion",Materials!$1:$1,0)), "")</f>
        <v/>
      </c>
      <c r="BL39" s="1" t="str" cm="1">
        <f t="array" aca="1" ref="BL39" ca="1">IFERROR(INDEX(Electricity_projection,MATCH($B39&amp;$A39,INDEX(Electricity_projection,0,3),0),MATCH(YEAR(TODAY()),Timeline_elec_projec,0)+3)*INDEX(Recyc_mat_energy_input,MATCH(BL$1,'Data Entry'!$B$91:$B$96,0),1)+Diesel_density*INDEX(Recyc_mat_energy_input,MATCH(BL$1,'Data Entry'!$B$91:$B$96,0),2)*INDEX(Indicators,ROW(),MATCH("Diesel Combustion",Materials!$1:$1,0)), "")</f>
        <v/>
      </c>
      <c r="BM39" s="1"/>
      <c r="BN39" s="1">
        <f>IF(Steel_supplier="Pacific Steel",Material_Impacts[[#This Row],[Pacific Steel]],Material_Impacts[[#This Row],[Infrabuild]])</f>
        <v>0</v>
      </c>
      <c r="BO39" s="1"/>
      <c r="BP39" s="1">
        <v>5.8050000000000007E-4</v>
      </c>
      <c r="BQ39">
        <v>1.7170000000000001E-2</v>
      </c>
      <c r="BR39">
        <v>1.3220000000000001E-2</v>
      </c>
      <c r="BS39" s="443"/>
      <c r="BT39" s="443"/>
      <c r="BU39" s="443"/>
      <c r="BV39" s="443">
        <v>1</v>
      </c>
      <c r="BX39" s="1">
        <v>7.8399999999999997E-3</v>
      </c>
      <c r="BY39" s="1">
        <f t="shared" si="3"/>
        <v>1.813765182186235E-4</v>
      </c>
      <c r="BZ39">
        <v>7.3899999999999999E-3</v>
      </c>
      <c r="CA39" s="1">
        <v>0</v>
      </c>
      <c r="CB39">
        <v>2.7000000000000001E-7</v>
      </c>
      <c r="CC39">
        <v>0.77529999999999999</v>
      </c>
      <c r="CD39" s="378">
        <f t="shared" ref="CD39:CD70" si="7">9639.66*CB39</f>
        <v>2.6027082000000001E-3</v>
      </c>
      <c r="CE39" s="208">
        <f t="shared" si="4"/>
        <v>0.77790270819999996</v>
      </c>
      <c r="CF39" s="208"/>
      <c r="CG39" s="208"/>
      <c r="CH39" s="208"/>
      <c r="CI39" s="208"/>
      <c r="CJ39" s="208"/>
      <c r="CK39" s="208"/>
      <c r="CL39" s="208"/>
      <c r="CM39" s="208"/>
      <c r="CN39" s="208"/>
      <c r="CO39" s="208"/>
      <c r="CP39" s="208"/>
      <c r="CQ39" s="208"/>
      <c r="CZ39" s="208"/>
      <c r="DA39" s="208"/>
      <c r="DB39" s="208"/>
    </row>
    <row r="40" spans="1:106" x14ac:dyDescent="0.35">
      <c r="A40" t="s">
        <v>534</v>
      </c>
      <c r="B40" t="s">
        <v>54</v>
      </c>
      <c r="C40" t="s">
        <v>768</v>
      </c>
      <c r="D40" t="str">
        <f>Material_Impacts[[#This Row],[15804 version]]&amp;Material_Impacts[[#This Row],[Methodology]]&amp;Material_Impacts[[#This Row],[Acronym]]</f>
        <v>A2AttributionalCRU</v>
      </c>
      <c r="E40" t="s">
        <v>745</v>
      </c>
      <c r="F40" t="s">
        <v>746</v>
      </c>
      <c r="G40" s="1">
        <v>0</v>
      </c>
      <c r="H40" s="1">
        <v>0</v>
      </c>
      <c r="I40" s="1">
        <v>0</v>
      </c>
      <c r="J40" s="1">
        <v>0</v>
      </c>
      <c r="K40" s="1">
        <v>0</v>
      </c>
      <c r="L40" s="1">
        <v>0</v>
      </c>
      <c r="M40" s="1">
        <v>0</v>
      </c>
      <c r="N40" s="1"/>
      <c r="O40" s="443"/>
      <c r="P40" s="1">
        <v>0</v>
      </c>
      <c r="Q40" s="1">
        <v>0</v>
      </c>
      <c r="R40" s="1">
        <v>0</v>
      </c>
      <c r="S40" s="1">
        <v>0</v>
      </c>
      <c r="T40" s="1">
        <v>0</v>
      </c>
      <c r="U40" s="1">
        <v>0</v>
      </c>
      <c r="V40" s="1">
        <f ca="1">IFERROR('Dynamic Materials'!Q49+'Dynamic Materials'!AQ49, 0)</f>
        <v>1.2286007609406925E-4</v>
      </c>
      <c r="W40" s="1">
        <f ca="1">'Dynamic Materials'!R49</f>
        <v>1.2286007609406925E-4</v>
      </c>
      <c r="X40" s="1">
        <f ca="1">'Dynamic Materials'!T49</f>
        <v>1.2286007609406925E-4</v>
      </c>
      <c r="Y40" s="1">
        <f ca="1">IFERROR('Dynamic Materials'!U49+'Dynamic Materials'!AQ49, 0)</f>
        <v>1.2286007609406925E-4</v>
      </c>
      <c r="Z40" s="1">
        <f ca="1">IFERROR('Dynamic Materials'!S49+'Dynamic Materials'!AQ49, 0)</f>
        <v>1.2286007609406925E-4</v>
      </c>
      <c r="AA40" s="1">
        <f ca="1">'Dynamic Materials'!W49</f>
        <v>0</v>
      </c>
      <c r="AB40" s="1">
        <v>0</v>
      </c>
      <c r="AC40" s="1">
        <v>0</v>
      </c>
      <c r="AD40" s="209">
        <f>BZ40+200*Material_Impacts[[#This Row],[Truck (32+t)]]+1130*CB40</f>
        <v>0</v>
      </c>
      <c r="AE40" s="1">
        <v>0</v>
      </c>
      <c r="AF40" s="1">
        <v>0</v>
      </c>
      <c r="AG40" s="1"/>
      <c r="AH40" s="1">
        <v>0</v>
      </c>
      <c r="AI40" s="209">
        <f>'Dynamic Materials'!AG49</f>
        <v>0</v>
      </c>
      <c r="AJ40" s="1">
        <v>0</v>
      </c>
      <c r="AK40" s="1">
        <v>0</v>
      </c>
      <c r="AL40" s="1"/>
      <c r="AM40" s="1">
        <f t="shared" si="5"/>
        <v>0</v>
      </c>
      <c r="AN40" s="1">
        <v>0</v>
      </c>
      <c r="AO40" s="1">
        <v>0</v>
      </c>
      <c r="AP40" s="209">
        <v>0</v>
      </c>
      <c r="AQ40" s="1">
        <f ca="1">'Dynamic Materials'!O49</f>
        <v>0</v>
      </c>
      <c r="AR40" s="1">
        <f ca="1">'Dynamic Materials'!P49</f>
        <v>0</v>
      </c>
      <c r="AS40" s="1"/>
      <c r="AT40" s="1" cm="1">
        <f t="array" aca="1" ref="AT40" ca="1">IFERROR(INDEX(Electricity_projection,MATCH($B40&amp;$A40,INDEX(Electricity_projection,0,3),0),MATCH(YEAR(TODAY()),Timeline_elec_projec,0)+3)*INDEX(Recyc_mat_energy_input,MATCH(AT$1,'Data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40" s="1" cm="1">
        <f t="array" aca="1" ref="AU40" ca="1">IFERROR(INDEX(Electricity_projection,MATCH($B40&amp;$A40,INDEX(Electricity_projection,0,3),0),MATCH(YEAR(TODAY()),Timeline_elec_projec,0)+3)*INDEX(Recyc_mat_energy_input,MATCH(AU$1,'Data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40" s="1" cm="1">
        <f t="array" aca="1" ref="AV40" ca="1">IFERROR(INDEX(Electricity_projection,MATCH($B40&amp;$A40,INDEX(Electricity_projection,0,3),0),MATCH(YEAR(TODAY()),Timeline_elec_projec,0)+3)*INDEX(Recyc_mat_energy_input,MATCH(AV$1,'Data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40" s="1"/>
      <c r="AX40" s="1"/>
      <c r="AY40" s="1"/>
      <c r="AZ40" s="1"/>
      <c r="BA40" s="1"/>
      <c r="BB40" s="1"/>
      <c r="BC40" s="1">
        <f t="shared" si="6"/>
        <v>0</v>
      </c>
      <c r="BD40" s="1"/>
      <c r="BE40" s="1"/>
      <c r="BF40" s="1"/>
      <c r="BG40" s="1">
        <f ca="1">'Dynamic Materials'!V49</f>
        <v>0</v>
      </c>
      <c r="BH40" s="1"/>
      <c r="BI40" s="1" t="str" cm="1">
        <f t="array" aca="1" ref="BI40" ca="1">IFERROR(INDEX(Electricity_projection,MATCH($B40&amp;$A40,INDEX(Electricity_projection,0,3),0),MATCH(YEAR(TODAY()),Timeline_elec_projec,0)+3)*INDEX(Recyc_mat_energy_input,MATCH(BI$1,'Data Entry'!$B$91:$B$96,0),1)+Diesel_density*INDEX(Recyc_mat_energy_input,MATCH(BI$1,'Data Entry'!$B$91:$B$96,0),2)*INDEX(Indicators,ROW(),MATCH("Diesel Combustion",Materials!$1:$1,0)), "")</f>
        <v/>
      </c>
      <c r="BJ40" s="1"/>
      <c r="BK40" s="1" t="str" cm="1">
        <f t="array" aca="1" ref="BK40" ca="1">IFERROR(INDEX(Electricity_projection,MATCH($B40&amp;$A40,INDEX(Electricity_projection,0,3),0),MATCH(YEAR(TODAY()),Timeline_elec_projec,0)+3)*INDEX(Recyc_mat_energy_input,MATCH(BK$1,'Data Entry'!$B$91:$B$96,0),1)+Diesel_density*INDEX(Recyc_mat_energy_input,MATCH(BK$1,'Data Entry'!$B$91:$B$96,0),2)*INDEX(Indicators,ROW(),MATCH("Diesel Combustion",Materials!$1:$1,0)), "")</f>
        <v/>
      </c>
      <c r="BL40" s="1" t="str" cm="1">
        <f t="array" aca="1" ref="BL40" ca="1">IFERROR(INDEX(Electricity_projection,MATCH($B40&amp;$A40,INDEX(Electricity_projection,0,3),0),MATCH(YEAR(TODAY()),Timeline_elec_projec,0)+3)*INDEX(Recyc_mat_energy_input,MATCH(BL$1,'Data Entry'!$B$91:$B$96,0),1)+Diesel_density*INDEX(Recyc_mat_energy_input,MATCH(BL$1,'Data Entry'!$B$91:$B$96,0),2)*INDEX(Indicators,ROW(),MATCH("Diesel Combustion",Materials!$1:$1,0)), "")</f>
        <v/>
      </c>
      <c r="BM40" s="1"/>
      <c r="BN40" s="1">
        <f>IF(Steel_supplier="Pacific Steel",Material_Impacts[[#This Row],[Pacific Steel]],Material_Impacts[[#This Row],[Infrabuild]])</f>
        <v>0</v>
      </c>
      <c r="BO40" s="1"/>
      <c r="BP40" s="1">
        <v>0</v>
      </c>
      <c r="BQ40">
        <v>0</v>
      </c>
      <c r="BR40">
        <v>0</v>
      </c>
      <c r="BS40" s="443"/>
      <c r="BT40" s="443"/>
      <c r="BU40" s="443"/>
      <c r="BV40" s="443">
        <v>1</v>
      </c>
      <c r="BX40" s="1">
        <v>0</v>
      </c>
      <c r="BY40" s="1">
        <f t="shared" si="3"/>
        <v>0</v>
      </c>
      <c r="BZ40">
        <v>0</v>
      </c>
      <c r="CA40" s="1">
        <v>0</v>
      </c>
      <c r="CB40">
        <v>0</v>
      </c>
      <c r="CC40">
        <v>0</v>
      </c>
      <c r="CD40" s="378">
        <f t="shared" si="7"/>
        <v>0</v>
      </c>
      <c r="CE40" s="208">
        <f t="shared" si="4"/>
        <v>0</v>
      </c>
      <c r="CF40" s="208"/>
      <c r="CG40" s="208"/>
      <c r="CH40" s="208"/>
      <c r="CI40" s="208"/>
      <c r="CJ40" s="208"/>
      <c r="CK40" s="208"/>
      <c r="CL40" s="208"/>
      <c r="CM40" s="208"/>
      <c r="CN40" s="208"/>
      <c r="CO40" s="208"/>
      <c r="CP40" s="208"/>
      <c r="CQ40" s="208"/>
      <c r="CZ40" s="208"/>
      <c r="DA40" s="208"/>
      <c r="DB40" s="208"/>
    </row>
    <row r="41" spans="1:106" x14ac:dyDescent="0.35">
      <c r="A41" t="s">
        <v>499</v>
      </c>
      <c r="B41" t="s">
        <v>54</v>
      </c>
      <c r="C41" t="s">
        <v>768</v>
      </c>
      <c r="D41" t="str">
        <f>Material_Impacts[[#This Row],[15804 version]]&amp;Material_Impacts[[#This Row],[Methodology]]&amp;Material_Impacts[[#This Row],[Acronym]]</f>
        <v>A2AttributionalEE</v>
      </c>
      <c r="E41" t="s">
        <v>747</v>
      </c>
      <c r="F41" t="s">
        <v>748</v>
      </c>
      <c r="G41" s="1">
        <v>0</v>
      </c>
      <c r="H41" s="1">
        <v>0</v>
      </c>
      <c r="I41" s="1">
        <v>0</v>
      </c>
      <c r="J41" s="1">
        <v>0</v>
      </c>
      <c r="K41" s="1">
        <v>0</v>
      </c>
      <c r="L41" s="1">
        <v>0</v>
      </c>
      <c r="M41" s="1">
        <v>0</v>
      </c>
      <c r="N41" s="1"/>
      <c r="O41" s="443"/>
      <c r="P41" s="1">
        <v>0</v>
      </c>
      <c r="Q41" s="1">
        <v>0</v>
      </c>
      <c r="R41" s="1">
        <v>0</v>
      </c>
      <c r="S41" s="1">
        <v>0</v>
      </c>
      <c r="T41" s="1">
        <v>0</v>
      </c>
      <c r="U41" s="1">
        <v>0</v>
      </c>
      <c r="V41" s="1">
        <f ca="1">IFERROR('Dynamic Materials'!Q50+'Dynamic Materials'!AQ50, 0)</f>
        <v>1.2286007609406925E-4</v>
      </c>
      <c r="W41" s="1">
        <f ca="1">'Dynamic Materials'!R50</f>
        <v>1.2286007609406925E-4</v>
      </c>
      <c r="X41" s="1">
        <f ca="1">'Dynamic Materials'!T50</f>
        <v>1.2286007609406925E-4</v>
      </c>
      <c r="Y41" s="1">
        <f ca="1">IFERROR('Dynamic Materials'!U50+'Dynamic Materials'!AQ50, 0)</f>
        <v>1.2286007609406925E-4</v>
      </c>
      <c r="Z41" s="1">
        <f ca="1">IFERROR('Dynamic Materials'!S50+'Dynamic Materials'!AQ50, 0)</f>
        <v>1.2286007609406925E-4</v>
      </c>
      <c r="AA41" s="1">
        <f ca="1">'Dynamic Materials'!W50</f>
        <v>0</v>
      </c>
      <c r="AB41" s="1">
        <v>0</v>
      </c>
      <c r="AC41" s="1">
        <v>0</v>
      </c>
      <c r="AD41" s="209">
        <f>BZ41+200*Material_Impacts[[#This Row],[Truck (32+t)]]+1130*CB41</f>
        <v>0</v>
      </c>
      <c r="AE41" s="1">
        <v>0</v>
      </c>
      <c r="AF41" s="1">
        <v>0</v>
      </c>
      <c r="AG41" s="1"/>
      <c r="AH41" s="1">
        <v>0</v>
      </c>
      <c r="AI41" s="209">
        <f>'Dynamic Materials'!AG50</f>
        <v>0</v>
      </c>
      <c r="AJ41" s="1">
        <v>0</v>
      </c>
      <c r="AK41" s="1">
        <v>0</v>
      </c>
      <c r="AL41" s="1"/>
      <c r="AM41" s="1">
        <f t="shared" si="5"/>
        <v>0</v>
      </c>
      <c r="AN41" s="1">
        <v>0</v>
      </c>
      <c r="AO41" s="1">
        <v>0</v>
      </c>
      <c r="AP41" s="209">
        <v>0</v>
      </c>
      <c r="AQ41" s="1">
        <f ca="1">'Dynamic Materials'!O50</f>
        <v>0</v>
      </c>
      <c r="AR41" s="1">
        <f ca="1">'Dynamic Materials'!P50</f>
        <v>0</v>
      </c>
      <c r="AS41" s="1"/>
      <c r="AT41" s="1" cm="1">
        <f t="array" aca="1" ref="AT41" ca="1">IFERROR(INDEX(Electricity_projection,MATCH($B41&amp;$A41,INDEX(Electricity_projection,0,3),0),MATCH(YEAR(TODAY()),Timeline_elec_projec,0)+3)*INDEX(Recyc_mat_energy_input,MATCH(AT$1,'Data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41" s="1" cm="1">
        <f t="array" aca="1" ref="AU41" ca="1">IFERROR(INDEX(Electricity_projection,MATCH($B41&amp;$A41,INDEX(Electricity_projection,0,3),0),MATCH(YEAR(TODAY()),Timeline_elec_projec,0)+3)*INDEX(Recyc_mat_energy_input,MATCH(AU$1,'Data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41" s="1" cm="1">
        <f t="array" aca="1" ref="AV41" ca="1">IFERROR(INDEX(Electricity_projection,MATCH($B41&amp;$A41,INDEX(Electricity_projection,0,3),0),MATCH(YEAR(TODAY()),Timeline_elec_projec,0)+3)*INDEX(Recyc_mat_energy_input,MATCH(AV$1,'Data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41" s="1"/>
      <c r="AX41" s="1"/>
      <c r="AY41" s="1"/>
      <c r="AZ41" s="1"/>
      <c r="BA41" s="1"/>
      <c r="BB41" s="1"/>
      <c r="BC41" s="1">
        <f t="shared" si="6"/>
        <v>0</v>
      </c>
      <c r="BD41" s="1"/>
      <c r="BE41" s="1"/>
      <c r="BF41" s="1"/>
      <c r="BG41" s="1">
        <f ca="1">'Dynamic Materials'!V50</f>
        <v>0</v>
      </c>
      <c r="BH41" s="1"/>
      <c r="BI41" s="1" t="str" cm="1">
        <f t="array" aca="1" ref="BI41" ca="1">IFERROR(INDEX(Electricity_projection,MATCH($B41&amp;$A41,INDEX(Electricity_projection,0,3),0),MATCH(YEAR(TODAY()),Timeline_elec_projec,0)+3)*INDEX(Recyc_mat_energy_input,MATCH(BI$1,'Data Entry'!$B$91:$B$96,0),1)+Diesel_density*INDEX(Recyc_mat_energy_input,MATCH(BI$1,'Data Entry'!$B$91:$B$96,0),2)*INDEX(Indicators,ROW(),MATCH("Diesel Combustion",Materials!$1:$1,0)), "")</f>
        <v/>
      </c>
      <c r="BJ41" s="1"/>
      <c r="BK41" s="1" t="str" cm="1">
        <f t="array" aca="1" ref="BK41" ca="1">IFERROR(INDEX(Electricity_projection,MATCH($B41&amp;$A41,INDEX(Electricity_projection,0,3),0),MATCH(YEAR(TODAY()),Timeline_elec_projec,0)+3)*INDEX(Recyc_mat_energy_input,MATCH(BK$1,'Data Entry'!$B$91:$B$96,0),1)+Diesel_density*INDEX(Recyc_mat_energy_input,MATCH(BK$1,'Data Entry'!$B$91:$B$96,0),2)*INDEX(Indicators,ROW(),MATCH("Diesel Combustion",Materials!$1:$1,0)), "")</f>
        <v/>
      </c>
      <c r="BL41" s="1" t="str" cm="1">
        <f t="array" aca="1" ref="BL41" ca="1">IFERROR(INDEX(Electricity_projection,MATCH($B41&amp;$A41,INDEX(Electricity_projection,0,3),0),MATCH(YEAR(TODAY()),Timeline_elec_projec,0)+3)*INDEX(Recyc_mat_energy_input,MATCH(BL$1,'Data Entry'!$B$91:$B$96,0),1)+Diesel_density*INDEX(Recyc_mat_energy_input,MATCH(BL$1,'Data Entry'!$B$91:$B$96,0),2)*INDEX(Indicators,ROW(),MATCH("Diesel Combustion",Materials!$1:$1,0)), "")</f>
        <v/>
      </c>
      <c r="BM41" s="1"/>
      <c r="BN41" s="1">
        <f>IF(Steel_supplier="Pacific Steel",Material_Impacts[[#This Row],[Pacific Steel]],Material_Impacts[[#This Row],[Infrabuild]])</f>
        <v>0</v>
      </c>
      <c r="BO41" s="1"/>
      <c r="BP41" s="1">
        <v>0</v>
      </c>
      <c r="BQ41">
        <v>0</v>
      </c>
      <c r="BR41">
        <v>0</v>
      </c>
      <c r="BS41" s="443"/>
      <c r="BT41" s="443"/>
      <c r="BU41" s="443"/>
      <c r="BV41" s="443">
        <v>1</v>
      </c>
      <c r="BX41" s="1">
        <v>0</v>
      </c>
      <c r="BY41" s="1">
        <f t="shared" si="3"/>
        <v>0</v>
      </c>
      <c r="BZ41">
        <v>0</v>
      </c>
      <c r="CA41" s="1">
        <v>0</v>
      </c>
      <c r="CB41">
        <v>0</v>
      </c>
      <c r="CC41">
        <v>0</v>
      </c>
      <c r="CD41" s="378">
        <f t="shared" si="7"/>
        <v>0</v>
      </c>
      <c r="CE41" s="208">
        <f t="shared" si="4"/>
        <v>0</v>
      </c>
      <c r="CF41" s="208"/>
      <c r="CG41" s="208"/>
      <c r="CH41" s="208"/>
      <c r="CI41" s="208"/>
      <c r="CJ41" s="208"/>
      <c r="CK41" s="208"/>
      <c r="CL41" s="208"/>
      <c r="CM41" s="208"/>
      <c r="CN41" s="208"/>
      <c r="CO41" s="208"/>
      <c r="CP41" s="208"/>
      <c r="CQ41" s="208"/>
      <c r="CZ41" s="208"/>
      <c r="DA41" s="208"/>
      <c r="DB41" s="208"/>
    </row>
    <row r="42" spans="1:106" x14ac:dyDescent="0.35">
      <c r="A42" t="s">
        <v>501</v>
      </c>
      <c r="B42" t="s">
        <v>54</v>
      </c>
      <c r="C42" t="s">
        <v>768</v>
      </c>
      <c r="D42" t="str">
        <f>Material_Impacts[[#This Row],[15804 version]]&amp;Material_Impacts[[#This Row],[Methodology]]&amp;Material_Impacts[[#This Row],[Acronym]]</f>
        <v>A2AttributionalMER</v>
      </c>
      <c r="E42" t="s">
        <v>749</v>
      </c>
      <c r="F42" t="s">
        <v>750</v>
      </c>
      <c r="G42" s="1">
        <v>0</v>
      </c>
      <c r="H42" s="1">
        <v>0</v>
      </c>
      <c r="I42" s="1">
        <v>0</v>
      </c>
      <c r="J42" s="1">
        <v>0</v>
      </c>
      <c r="K42" s="1">
        <v>0</v>
      </c>
      <c r="L42" s="1">
        <v>0</v>
      </c>
      <c r="M42" s="1">
        <v>0</v>
      </c>
      <c r="N42" s="1"/>
      <c r="O42" s="443"/>
      <c r="P42" s="1">
        <v>0</v>
      </c>
      <c r="Q42" s="1">
        <v>0</v>
      </c>
      <c r="R42" s="1">
        <v>0</v>
      </c>
      <c r="S42" s="1">
        <v>0</v>
      </c>
      <c r="T42" s="1">
        <v>0</v>
      </c>
      <c r="U42" s="1">
        <v>0</v>
      </c>
      <c r="V42" s="1">
        <f ca="1">IFERROR('Dynamic Materials'!Q51+'Dynamic Materials'!AQ51, 0)</f>
        <v>1.2286007609406925E-4</v>
      </c>
      <c r="W42" s="1">
        <f ca="1">'Dynamic Materials'!R51</f>
        <v>1.2286007609406925E-4</v>
      </c>
      <c r="X42" s="1">
        <f ca="1">'Dynamic Materials'!T51</f>
        <v>1.2286007609406925E-4</v>
      </c>
      <c r="Y42" s="1">
        <f ca="1">IFERROR('Dynamic Materials'!U51+'Dynamic Materials'!AQ51, 0)</f>
        <v>1.2286007609406925E-4</v>
      </c>
      <c r="Z42" s="1">
        <f ca="1">IFERROR('Dynamic Materials'!S51+'Dynamic Materials'!AQ51, 0)</f>
        <v>1.2286007609406925E-4</v>
      </c>
      <c r="AA42" s="1">
        <f ca="1">'Dynamic Materials'!W51</f>
        <v>0</v>
      </c>
      <c r="AB42" s="1">
        <v>0</v>
      </c>
      <c r="AC42" s="1">
        <v>0</v>
      </c>
      <c r="AD42" s="209">
        <f>BZ42+200*Material_Impacts[[#This Row],[Truck (32+t)]]+1130*CB42</f>
        <v>0</v>
      </c>
      <c r="AE42" s="1">
        <v>0</v>
      </c>
      <c r="AF42" s="1">
        <v>0</v>
      </c>
      <c r="AG42" s="1"/>
      <c r="AH42" s="1">
        <v>0</v>
      </c>
      <c r="AI42" s="209">
        <f>'Dynamic Materials'!AG51</f>
        <v>0</v>
      </c>
      <c r="AJ42" s="1">
        <v>0</v>
      </c>
      <c r="AK42" s="1">
        <v>0</v>
      </c>
      <c r="AL42" s="1"/>
      <c r="AM42" s="1">
        <f t="shared" si="5"/>
        <v>0</v>
      </c>
      <c r="AN42" s="1">
        <v>0</v>
      </c>
      <c r="AO42" s="1">
        <v>0</v>
      </c>
      <c r="AP42" s="209">
        <v>0</v>
      </c>
      <c r="AQ42" s="1">
        <f ca="1">'Dynamic Materials'!O51</f>
        <v>0</v>
      </c>
      <c r="AR42" s="1">
        <f ca="1">'Dynamic Materials'!P51</f>
        <v>0</v>
      </c>
      <c r="AS42" s="1"/>
      <c r="AT42" s="1" cm="1">
        <f t="array" aca="1" ref="AT42" ca="1">IFERROR(INDEX(Electricity_projection,MATCH($B42&amp;$A42,INDEX(Electricity_projection,0,3),0),MATCH(YEAR(TODAY()),Timeline_elec_projec,0)+3)*INDEX(Recyc_mat_energy_input,MATCH(AT$1,'Data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42" s="1" cm="1">
        <f t="array" aca="1" ref="AU42" ca="1">IFERROR(INDEX(Electricity_projection,MATCH($B42&amp;$A42,INDEX(Electricity_projection,0,3),0),MATCH(YEAR(TODAY()),Timeline_elec_projec,0)+3)*INDEX(Recyc_mat_energy_input,MATCH(AU$1,'Data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42" s="1" cm="1">
        <f t="array" aca="1" ref="AV42" ca="1">IFERROR(INDEX(Electricity_projection,MATCH($B42&amp;$A42,INDEX(Electricity_projection,0,3),0),MATCH(YEAR(TODAY()),Timeline_elec_projec,0)+3)*INDEX(Recyc_mat_energy_input,MATCH(AV$1,'Data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42" s="1"/>
      <c r="AX42" s="1"/>
      <c r="AY42" s="1"/>
      <c r="AZ42" s="1"/>
      <c r="BA42" s="1"/>
      <c r="BB42" s="1"/>
      <c r="BC42" s="1">
        <f t="shared" si="6"/>
        <v>0</v>
      </c>
      <c r="BD42" s="1"/>
      <c r="BE42" s="1"/>
      <c r="BF42" s="1"/>
      <c r="BG42" s="1">
        <f ca="1">'Dynamic Materials'!V51</f>
        <v>0</v>
      </c>
      <c r="BH42" s="1"/>
      <c r="BI42" s="1" t="str" cm="1">
        <f t="array" aca="1" ref="BI42" ca="1">IFERROR(INDEX(Electricity_projection,MATCH($B42&amp;$A42,INDEX(Electricity_projection,0,3),0),MATCH(YEAR(TODAY()),Timeline_elec_projec,0)+3)*INDEX(Recyc_mat_energy_input,MATCH(BI$1,'Data Entry'!$B$91:$B$96,0),1)+Diesel_density*INDEX(Recyc_mat_energy_input,MATCH(BI$1,'Data Entry'!$B$91:$B$96,0),2)*INDEX(Indicators,ROW(),MATCH("Diesel Combustion",Materials!$1:$1,0)), "")</f>
        <v/>
      </c>
      <c r="BJ42" s="1"/>
      <c r="BK42" s="1" t="str" cm="1">
        <f t="array" aca="1" ref="BK42" ca="1">IFERROR(INDEX(Electricity_projection,MATCH($B42&amp;$A42,INDEX(Electricity_projection,0,3),0),MATCH(YEAR(TODAY()),Timeline_elec_projec,0)+3)*INDEX(Recyc_mat_energy_input,MATCH(BK$1,'Data Entry'!$B$91:$B$96,0),1)+Diesel_density*INDEX(Recyc_mat_energy_input,MATCH(BK$1,'Data Entry'!$B$91:$B$96,0),2)*INDEX(Indicators,ROW(),MATCH("Diesel Combustion",Materials!$1:$1,0)), "")</f>
        <v/>
      </c>
      <c r="BL42" s="1" t="str" cm="1">
        <f t="array" aca="1" ref="BL42" ca="1">IFERROR(INDEX(Electricity_projection,MATCH($B42&amp;$A42,INDEX(Electricity_projection,0,3),0),MATCH(YEAR(TODAY()),Timeline_elec_projec,0)+3)*INDEX(Recyc_mat_energy_input,MATCH(BL$1,'Data Entry'!$B$91:$B$96,0),1)+Diesel_density*INDEX(Recyc_mat_energy_input,MATCH(BL$1,'Data Entry'!$B$91:$B$96,0),2)*INDEX(Indicators,ROW(),MATCH("Diesel Combustion",Materials!$1:$1,0)), "")</f>
        <v/>
      </c>
      <c r="BM42" s="1"/>
      <c r="BN42" s="1">
        <f>IF(Steel_supplier="Pacific Steel",Material_Impacts[[#This Row],[Pacific Steel]],Material_Impacts[[#This Row],[Infrabuild]])</f>
        <v>0</v>
      </c>
      <c r="BO42" s="1"/>
      <c r="BP42" s="1">
        <v>0</v>
      </c>
      <c r="BQ42">
        <v>0</v>
      </c>
      <c r="BR42">
        <v>0</v>
      </c>
      <c r="BS42" s="443"/>
      <c r="BT42" s="443"/>
      <c r="BU42" s="443"/>
      <c r="BV42" s="443">
        <v>1</v>
      </c>
      <c r="BX42" s="1">
        <v>0</v>
      </c>
      <c r="BY42" s="1">
        <f t="shared" si="3"/>
        <v>0</v>
      </c>
      <c r="BZ42">
        <v>0</v>
      </c>
      <c r="CA42" s="1">
        <v>0</v>
      </c>
      <c r="CB42">
        <v>0</v>
      </c>
      <c r="CC42">
        <v>0</v>
      </c>
      <c r="CD42" s="378">
        <f t="shared" si="7"/>
        <v>0</v>
      </c>
      <c r="CE42" s="208">
        <f t="shared" si="4"/>
        <v>0</v>
      </c>
      <c r="CF42" s="208"/>
      <c r="CG42" s="208"/>
      <c r="CH42" s="208"/>
      <c r="CI42" s="208"/>
      <c r="CJ42" s="208"/>
      <c r="CK42" s="208"/>
      <c r="CL42" s="208"/>
      <c r="CM42" s="208"/>
      <c r="CN42" s="208"/>
      <c r="CO42" s="208"/>
      <c r="CP42" s="208"/>
      <c r="CQ42" s="208"/>
      <c r="CZ42" s="208"/>
      <c r="DA42" s="208"/>
      <c r="DB42" s="208"/>
    </row>
    <row r="43" spans="1:106" x14ac:dyDescent="0.35">
      <c r="A43" t="s">
        <v>503</v>
      </c>
      <c r="B43" t="s">
        <v>54</v>
      </c>
      <c r="C43" t="s">
        <v>768</v>
      </c>
      <c r="D43" t="str">
        <f>Material_Impacts[[#This Row],[15804 version]]&amp;Material_Impacts[[#This Row],[Methodology]]&amp;Material_Impacts[[#This Row],[Acronym]]</f>
        <v>A2AttributionalMFR</v>
      </c>
      <c r="E43" t="s">
        <v>751</v>
      </c>
      <c r="F43" t="s">
        <v>752</v>
      </c>
      <c r="G43" s="1">
        <v>0</v>
      </c>
      <c r="H43" s="1">
        <v>0</v>
      </c>
      <c r="I43" s="1">
        <v>0</v>
      </c>
      <c r="J43" s="1">
        <v>0</v>
      </c>
      <c r="K43" s="1">
        <v>0</v>
      </c>
      <c r="L43" s="1">
        <v>0</v>
      </c>
      <c r="M43" s="1">
        <v>0</v>
      </c>
      <c r="N43" s="1"/>
      <c r="O43" s="443"/>
      <c r="P43" s="1">
        <v>0</v>
      </c>
      <c r="Q43" s="1">
        <v>0</v>
      </c>
      <c r="R43" s="1">
        <v>0</v>
      </c>
      <c r="S43" s="1">
        <v>0</v>
      </c>
      <c r="T43" s="1">
        <v>0</v>
      </c>
      <c r="U43" s="1">
        <v>0</v>
      </c>
      <c r="V43" s="1">
        <f ca="1">IFERROR('Dynamic Materials'!Q52+'Dynamic Materials'!AQ52, 0)</f>
        <v>1.2286007609406925E-4</v>
      </c>
      <c r="W43" s="1">
        <f ca="1">'Dynamic Materials'!R52</f>
        <v>1.2286007609406925E-4</v>
      </c>
      <c r="X43" s="1">
        <f ca="1">'Dynamic Materials'!T52</f>
        <v>1.2286007609406925E-4</v>
      </c>
      <c r="Y43" s="1">
        <f ca="1">IFERROR('Dynamic Materials'!U52+'Dynamic Materials'!AQ52, 0)</f>
        <v>1.2286007609406925E-4</v>
      </c>
      <c r="Z43" s="1">
        <f ca="1">IFERROR('Dynamic Materials'!S52+'Dynamic Materials'!AQ52, 0)</f>
        <v>1.2286007609406925E-4</v>
      </c>
      <c r="AA43" s="1">
        <f ca="1">'Dynamic Materials'!W52</f>
        <v>0</v>
      </c>
      <c r="AB43" s="1">
        <v>0</v>
      </c>
      <c r="AC43" s="1">
        <v>0</v>
      </c>
      <c r="AD43" s="209">
        <f>BZ43+200*Material_Impacts[[#This Row],[Truck (32+t)]]+1130*CB43</f>
        <v>0</v>
      </c>
      <c r="AE43" s="1">
        <v>0</v>
      </c>
      <c r="AF43" s="1">
        <v>0</v>
      </c>
      <c r="AG43" s="1"/>
      <c r="AH43" s="1">
        <v>0</v>
      </c>
      <c r="AI43" s="209">
        <f>'Dynamic Materials'!AG52</f>
        <v>0</v>
      </c>
      <c r="AJ43" s="1">
        <v>0</v>
      </c>
      <c r="AK43" s="1">
        <v>0</v>
      </c>
      <c r="AL43" s="1"/>
      <c r="AM43" s="1">
        <f t="shared" si="5"/>
        <v>0</v>
      </c>
      <c r="AN43" s="1">
        <v>0</v>
      </c>
      <c r="AO43" s="1">
        <v>0</v>
      </c>
      <c r="AP43" s="209">
        <v>0</v>
      </c>
      <c r="AQ43" s="1">
        <f ca="1">'Dynamic Materials'!O52</f>
        <v>0</v>
      </c>
      <c r="AR43" s="1">
        <f ca="1">'Dynamic Materials'!P52</f>
        <v>0</v>
      </c>
      <c r="AS43" s="1"/>
      <c r="AT43" s="1" cm="1">
        <f t="array" aca="1" ref="AT43" ca="1">IFERROR(INDEX(Electricity_projection,MATCH($B43&amp;$A43,INDEX(Electricity_projection,0,3),0),MATCH(YEAR(TODAY()),Timeline_elec_projec,0)+3)*INDEX(Recyc_mat_energy_input,MATCH(AT$1,'Data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43" s="1" cm="1">
        <f t="array" aca="1" ref="AU43" ca="1">IFERROR(INDEX(Electricity_projection,MATCH($B43&amp;$A43,INDEX(Electricity_projection,0,3),0),MATCH(YEAR(TODAY()),Timeline_elec_projec,0)+3)*INDEX(Recyc_mat_energy_input,MATCH(AU$1,'Data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43" s="1" cm="1">
        <f t="array" aca="1" ref="AV43" ca="1">IFERROR(INDEX(Electricity_projection,MATCH($B43&amp;$A43,INDEX(Electricity_projection,0,3),0),MATCH(YEAR(TODAY()),Timeline_elec_projec,0)+3)*INDEX(Recyc_mat_energy_input,MATCH(AV$1,'Data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43" s="1"/>
      <c r="AX43" s="1"/>
      <c r="AY43" s="1"/>
      <c r="AZ43" s="1"/>
      <c r="BA43" s="1"/>
      <c r="BB43" s="1"/>
      <c r="BC43" s="1">
        <f t="shared" si="6"/>
        <v>0</v>
      </c>
      <c r="BD43" s="1"/>
      <c r="BE43" s="1"/>
      <c r="BF43" s="1"/>
      <c r="BG43" s="1">
        <f ca="1">'Dynamic Materials'!V52</f>
        <v>0</v>
      </c>
      <c r="BH43" s="1"/>
      <c r="BI43" s="1" t="str" cm="1">
        <f t="array" aca="1" ref="BI43" ca="1">IFERROR(INDEX(Electricity_projection,MATCH($B43&amp;$A43,INDEX(Electricity_projection,0,3),0),MATCH(YEAR(TODAY()),Timeline_elec_projec,0)+3)*INDEX(Recyc_mat_energy_input,MATCH(BI$1,'Data Entry'!$B$91:$B$96,0),1)+Diesel_density*INDEX(Recyc_mat_energy_input,MATCH(BI$1,'Data Entry'!$B$91:$B$96,0),2)*INDEX(Indicators,ROW(),MATCH("Diesel Combustion",Materials!$1:$1,0)), "")</f>
        <v/>
      </c>
      <c r="BJ43" s="1"/>
      <c r="BK43" s="1" t="str" cm="1">
        <f t="array" aca="1" ref="BK43" ca="1">IFERROR(INDEX(Electricity_projection,MATCH($B43&amp;$A43,INDEX(Electricity_projection,0,3),0),MATCH(YEAR(TODAY()),Timeline_elec_projec,0)+3)*INDEX(Recyc_mat_energy_input,MATCH(BK$1,'Data Entry'!$B$91:$B$96,0),1)+Diesel_density*INDEX(Recyc_mat_energy_input,MATCH(BK$1,'Data Entry'!$B$91:$B$96,0),2)*INDEX(Indicators,ROW(),MATCH("Diesel Combustion",Materials!$1:$1,0)), "")</f>
        <v/>
      </c>
      <c r="BL43" s="1" t="str" cm="1">
        <f t="array" aca="1" ref="BL43" ca="1">IFERROR(INDEX(Electricity_projection,MATCH($B43&amp;$A43,INDEX(Electricity_projection,0,3),0),MATCH(YEAR(TODAY()),Timeline_elec_projec,0)+3)*INDEX(Recyc_mat_energy_input,MATCH(BL$1,'Data Entry'!$B$91:$B$96,0),1)+Diesel_density*INDEX(Recyc_mat_energy_input,MATCH(BL$1,'Data Entry'!$B$91:$B$96,0),2)*INDEX(Indicators,ROW(),MATCH("Diesel Combustion",Materials!$1:$1,0)), "")</f>
        <v/>
      </c>
      <c r="BM43" s="1"/>
      <c r="BN43" s="1">
        <f>IF(Steel_supplier="Pacific Steel",Material_Impacts[[#This Row],[Pacific Steel]],Material_Impacts[[#This Row],[Infrabuild]])</f>
        <v>0</v>
      </c>
      <c r="BO43" s="1"/>
      <c r="BP43" s="1">
        <v>0</v>
      </c>
      <c r="BQ43">
        <v>0</v>
      </c>
      <c r="BR43">
        <v>0</v>
      </c>
      <c r="BS43" s="443"/>
      <c r="BT43" s="443"/>
      <c r="BU43" s="443"/>
      <c r="BV43" s="443">
        <v>1</v>
      </c>
      <c r="BX43" s="1">
        <v>0</v>
      </c>
      <c r="BY43" s="1">
        <f t="shared" si="3"/>
        <v>0</v>
      </c>
      <c r="BZ43">
        <v>0</v>
      </c>
      <c r="CA43" s="1">
        <v>0</v>
      </c>
      <c r="CB43">
        <v>0</v>
      </c>
      <c r="CC43">
        <v>0</v>
      </c>
      <c r="CD43" s="378">
        <f t="shared" si="7"/>
        <v>0</v>
      </c>
      <c r="CE43" s="208">
        <f t="shared" si="4"/>
        <v>0</v>
      </c>
      <c r="CF43" s="208"/>
      <c r="CG43" s="208"/>
      <c r="CH43" s="208"/>
      <c r="CI43" s="208"/>
      <c r="CJ43" s="208"/>
      <c r="CK43" s="208"/>
      <c r="CL43" s="208"/>
      <c r="CM43" s="208"/>
      <c r="CN43" s="208"/>
      <c r="CO43" s="208"/>
      <c r="CP43" s="208"/>
      <c r="CQ43" s="208"/>
      <c r="CZ43" s="208"/>
      <c r="DA43" s="208"/>
      <c r="DB43" s="208"/>
    </row>
    <row r="44" spans="1:106" x14ac:dyDescent="0.35">
      <c r="A44" t="s">
        <v>409</v>
      </c>
      <c r="B44" t="s">
        <v>54</v>
      </c>
      <c r="C44" t="s">
        <v>768</v>
      </c>
      <c r="D44" t="str">
        <f>Material_Impacts[[#This Row],[15804 version]]&amp;Material_Impacts[[#This Row],[Methodology]]&amp;Material_Impacts[[#This Row],[Acronym]]</f>
        <v>A2AttributionalPENRT</v>
      </c>
      <c r="E44" t="s">
        <v>753</v>
      </c>
      <c r="F44" t="s">
        <v>408</v>
      </c>
      <c r="G44" s="1">
        <v>48.876060000000003</v>
      </c>
      <c r="H44" s="1">
        <v>48.876060000000003</v>
      </c>
      <c r="I44" s="1">
        <v>49.481389999999998</v>
      </c>
      <c r="J44" s="1">
        <v>48.876060000000003</v>
      </c>
      <c r="K44" s="1">
        <v>1.265058147392186E-3</v>
      </c>
      <c r="L44" s="1">
        <v>3.0632481386555768E-3</v>
      </c>
      <c r="M44" s="1">
        <v>1.0652785548207545E-3</v>
      </c>
      <c r="N44" s="1"/>
      <c r="O44" s="443"/>
      <c r="P44" s="1">
        <v>1.4550000000000001</v>
      </c>
      <c r="Q44" s="1">
        <v>0</v>
      </c>
      <c r="R44" s="1">
        <v>0</v>
      </c>
      <c r="S44" s="1">
        <v>0</v>
      </c>
      <c r="T44" s="1">
        <v>0</v>
      </c>
      <c r="U44" s="1">
        <v>0</v>
      </c>
      <c r="V44" s="1">
        <f ca="1">IFERROR('Dynamic Materials'!Q53+'Dynamic Materials'!AQ53, 0)</f>
        <v>3.5859991162943503</v>
      </c>
      <c r="W44" s="1">
        <f ca="1">'Dynamic Materials'!R53</f>
        <v>3.2959889084222436</v>
      </c>
      <c r="X44" s="1">
        <f ca="1">'Dynamic Materials'!T53</f>
        <v>2.8388902761254178</v>
      </c>
      <c r="Y44" s="1">
        <f ca="1">IFERROR('Dynamic Materials'!U53+'Dynamic Materials'!AQ53, 0)</f>
        <v>2.6835947414940469</v>
      </c>
      <c r="Z44" s="1">
        <f ca="1">IFERROR('Dynamic Materials'!S53+'Dynamic Materials'!AQ53, 0)</f>
        <v>3.1385394692201141</v>
      </c>
      <c r="AA44" s="1">
        <f ca="1">'Dynamic Materials'!W53</f>
        <v>6.6660000000000005E-4</v>
      </c>
      <c r="AB44" s="1">
        <v>28.115870000000001</v>
      </c>
      <c r="AC44" s="1">
        <v>105.20132</v>
      </c>
      <c r="AD44" s="209">
        <f>BZ44+200*Material_Impacts[[#This Row],[Truck (32+t)]]+1130*CB44</f>
        <v>45.545737910964149</v>
      </c>
      <c r="AE44" s="1">
        <v>30.423169999999999</v>
      </c>
      <c r="AF44" s="1">
        <v>0.85197999999999996</v>
      </c>
      <c r="AG44" s="1"/>
      <c r="AH44" s="1">
        <v>44.779760000000003</v>
      </c>
      <c r="AI44" s="209">
        <f>'Dynamic Materials'!AG53</f>
        <v>49.401332000000011</v>
      </c>
      <c r="AJ44" s="1">
        <v>0.19384000000000001</v>
      </c>
      <c r="AK44" s="1">
        <v>0.16275000000000001</v>
      </c>
      <c r="AL44" s="1"/>
      <c r="AM44" s="1">
        <f t="shared" si="5"/>
        <v>0</v>
      </c>
      <c r="AN44" s="1">
        <v>0.33139000000000002</v>
      </c>
      <c r="AO44" s="1">
        <v>9.9890699999999999</v>
      </c>
      <c r="AP44" s="209">
        <v>2.0200000000000001E-3</v>
      </c>
      <c r="AQ44" s="1">
        <f ca="1">'Dynamic Materials'!O53</f>
        <v>2.780933504713786</v>
      </c>
      <c r="AR44" s="1">
        <f ca="1">'Dynamic Materials'!P53</f>
        <v>3.0841975100559371</v>
      </c>
      <c r="AS44" s="1"/>
      <c r="AT44" s="1" cm="1">
        <f t="array" aca="1" ref="AT44" ca="1">IFERROR(INDEX(Electricity_projection,MATCH($B44&amp;$A44,INDEX(Electricity_projection,0,3),0),MATCH(YEAR(TODAY()),Timeline_elec_projec,0)+3)*INDEX(Recyc_mat_energy_input,MATCH(AT$1,'Data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5.1265138357380002E-2</v>
      </c>
      <c r="AU44" s="1" cm="1">
        <f t="array" aca="1" ref="AU44" ca="1">IFERROR(INDEX(Electricity_projection,MATCH($B44&amp;$A44,INDEX(Electricity_projection,0,3),0),MATCH(YEAR(TODAY()),Timeline_elec_projec,0)+3)*INDEX(Recyc_mat_energy_input,MATCH(AU$1,'Data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3.3839408657519998E-2</v>
      </c>
      <c r="AV44" s="1" cm="1">
        <f t="array" aca="1" ref="AV44" ca="1">IFERROR(INDEX(Electricity_projection,MATCH($B44&amp;$A44,INDEX(Electricity_projection,0,3),0),MATCH(YEAR(TODAY()),Timeline_elec_projec,0)+3)*INDEX(Recyc_mat_energy_input,MATCH(AV$1,'Data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3.2552436727799991E-2</v>
      </c>
      <c r="AW44" s="1"/>
      <c r="AX44" s="1"/>
      <c r="AY44" s="1"/>
      <c r="AZ44" s="1"/>
      <c r="BA44" s="1"/>
      <c r="BB44" s="1"/>
      <c r="BC44" s="1">
        <f t="shared" si="6"/>
        <v>0</v>
      </c>
      <c r="BD44" s="1"/>
      <c r="BE44" s="1"/>
      <c r="BF44" s="1"/>
      <c r="BG44" s="1">
        <f ca="1">'Dynamic Materials'!V53</f>
        <v>3.2446056524249998E-2</v>
      </c>
      <c r="BH44" s="1"/>
      <c r="BI44" s="1" cm="1">
        <f t="array" aca="1" ref="BI44" ca="1">IFERROR(INDEX(Electricity_projection,MATCH($B44&amp;$A44,INDEX(Electricity_projection,0,3),0),MATCH(YEAR(TODAY()),Timeline_elec_projec,0)+3)*INDEX(Recyc_mat_energy_input,MATCH(BI$1,'Data Entry'!$B$91:$B$96,0),1)+Diesel_density*INDEX(Recyc_mat_energy_input,MATCH(BI$1,'Data Entry'!$B$91:$B$96,0),2)*INDEX(Indicators,ROW(),MATCH("Diesel Combustion",Materials!$1:$1,0)), "")</f>
        <v>0</v>
      </c>
      <c r="BJ44" s="1"/>
      <c r="BK44" s="1" cm="1">
        <f t="array" aca="1" ref="BK44" ca="1">IFERROR(INDEX(Electricity_projection,MATCH($B44&amp;$A44,INDEX(Electricity_projection,0,3),0),MATCH(YEAR(TODAY()),Timeline_elec_projec,0)+3)*INDEX(Recyc_mat_energy_input,MATCH(BK$1,'Data Entry'!$B$91:$B$96,0),1)+Diesel_density*INDEX(Recyc_mat_energy_input,MATCH(BK$1,'Data Entry'!$B$91:$B$96,0),2)*INDEX(Indicators,ROW(),MATCH("Diesel Combustion",Materials!$1:$1,0)), "")</f>
        <v>2.1577802968800006E-2</v>
      </c>
      <c r="BL44" s="1" cm="1">
        <f t="array" aca="1" ref="BL44" ca="1">IFERROR(INDEX(Electricity_projection,MATCH($B44&amp;$A44,INDEX(Electricity_projection,0,3),0),MATCH(YEAR(TODAY()),Timeline_elec_projec,0)+3)*INDEX(Recyc_mat_energy_input,MATCH(BL$1,'Data Entry'!$B$91:$B$96,0),1)+Diesel_density*INDEX(Recyc_mat_energy_input,MATCH(BL$1,'Data Entry'!$B$91:$B$96,0),2)*INDEX(Indicators,ROW(),MATCH("Diesel Combustion",Materials!$1:$1,0)), "")</f>
        <v>6.4049999999999982E-2</v>
      </c>
      <c r="BM44" s="1"/>
      <c r="BN44" s="1">
        <f>IF(Steel_supplier="Pacific Steel",Material_Impacts[[#This Row],[Pacific Steel]],Material_Impacts[[#This Row],[Infrabuild]])</f>
        <v>0</v>
      </c>
      <c r="BO44" s="1"/>
      <c r="BP44" s="1">
        <v>0.25787100000000002</v>
      </c>
      <c r="BQ44">
        <v>49.481389999999998</v>
      </c>
      <c r="BR44">
        <v>48.876060000000003</v>
      </c>
      <c r="BS44" s="443"/>
      <c r="BT44" s="443"/>
      <c r="BU44" s="443"/>
      <c r="BV44" s="443">
        <v>1</v>
      </c>
      <c r="BX44" s="1">
        <v>3.4571299999999998</v>
      </c>
      <c r="BY44" s="1">
        <f t="shared" si="3"/>
        <v>7.9979872758820125E-2</v>
      </c>
      <c r="BZ44">
        <v>45.197150000000001</v>
      </c>
      <c r="CA44" s="1">
        <v>0</v>
      </c>
      <c r="CB44">
        <v>1.1994000000000001E-4</v>
      </c>
      <c r="CC44">
        <v>44.872399999999999</v>
      </c>
      <c r="CD44" s="378">
        <f t="shared" si="7"/>
        <v>1.1561808204000001</v>
      </c>
      <c r="CE44" s="208">
        <f t="shared" si="4"/>
        <v>46.028580820400002</v>
      </c>
      <c r="CF44" s="208"/>
      <c r="CG44" s="208"/>
      <c r="CH44" s="208"/>
      <c r="CI44" s="208"/>
      <c r="CJ44" s="208"/>
      <c r="CK44" s="208"/>
      <c r="CL44" s="208"/>
      <c r="CM44" s="208"/>
      <c r="CN44" s="208"/>
      <c r="CO44" s="208"/>
      <c r="CP44" s="208"/>
      <c r="CQ44" s="208"/>
      <c r="CZ44" s="208"/>
      <c r="DA44" s="208"/>
      <c r="DB44" s="208"/>
    </row>
    <row r="45" spans="1:106" x14ac:dyDescent="0.35">
      <c r="A45" t="s">
        <v>411</v>
      </c>
      <c r="B45" t="s">
        <v>54</v>
      </c>
      <c r="C45" t="s">
        <v>768</v>
      </c>
      <c r="D45" t="str">
        <f>Material_Impacts[[#This Row],[15804 version]]&amp;Material_Impacts[[#This Row],[Methodology]]&amp;Material_Impacts[[#This Row],[Acronym]]</f>
        <v>A2AttributionalPERT</v>
      </c>
      <c r="E45" t="s">
        <v>754</v>
      </c>
      <c r="F45" t="s">
        <v>408</v>
      </c>
      <c r="G45" s="1">
        <v>9.5060000000000006E-2</v>
      </c>
      <c r="H45" s="1">
        <v>9.5060000000000006E-2</v>
      </c>
      <c r="I45" s="1">
        <v>9.8650000000000002E-2</v>
      </c>
      <c r="J45" s="1">
        <v>9.5060000000000006E-2</v>
      </c>
      <c r="K45" s="1">
        <v>2.4604362031452864E-6</v>
      </c>
      <c r="L45" s="1">
        <v>5.9577709017584301E-6</v>
      </c>
      <c r="M45" s="1">
        <v>2.0718809867501784E-6</v>
      </c>
      <c r="N45" s="1"/>
      <c r="O45" s="443"/>
      <c r="P45" s="1">
        <v>1.2529999999999999E-2</v>
      </c>
      <c r="Q45" s="1">
        <v>0</v>
      </c>
      <c r="R45" s="1">
        <v>0</v>
      </c>
      <c r="S45" s="1">
        <v>0</v>
      </c>
      <c r="T45" s="1">
        <v>0</v>
      </c>
      <c r="U45" s="1">
        <v>0</v>
      </c>
      <c r="V45" s="1">
        <f ca="1">IFERROR('Dynamic Materials'!Q54+'Dynamic Materials'!AQ54, 0)</f>
        <v>4.3823450677021494E-2</v>
      </c>
      <c r="W45" s="1">
        <f ca="1">'Dynamic Materials'!R54</f>
        <v>2.5309793020596352E-2</v>
      </c>
      <c r="X45" s="1">
        <f ca="1">'Dynamic Materials'!T54</f>
        <v>1.6231645763692022E-2</v>
      </c>
      <c r="Y45" s="1">
        <f ca="1">IFERROR('Dynamic Materials'!U54+'Dynamic Materials'!AQ54, 0)</f>
        <v>3.4749090023594095E-2</v>
      </c>
      <c r="Z45" s="1">
        <f ca="1">IFERROR('Dynamic Materials'!S54+'Dynamic Materials'!AQ54, 0)</f>
        <v>3.5593449229623791E-2</v>
      </c>
      <c r="AA45" s="1">
        <f ca="1">'Dynamic Materials'!W54</f>
        <v>3.7619999999999998E-4</v>
      </c>
      <c r="AB45" s="1">
        <v>0.20766000000000001</v>
      </c>
      <c r="AC45" s="1">
        <v>3.64758</v>
      </c>
      <c r="AD45" s="209">
        <f>BZ45+200*Material_Impacts[[#This Row],[Truck (32+t)]]+1130*CB45</f>
        <v>9.0389676197350027E-2</v>
      </c>
      <c r="AE45" s="1">
        <v>9.7909999999999997E-2</v>
      </c>
      <c r="AF45" s="1">
        <v>1.5980000000000001E-2</v>
      </c>
      <c r="AG45" s="1"/>
      <c r="AH45" s="1">
        <v>1.1540699999999999</v>
      </c>
      <c r="AI45" s="209">
        <f>'Dynamic Materials'!AG54</f>
        <v>0.42964800000000003</v>
      </c>
      <c r="AJ45" s="1">
        <v>1.336E-2</v>
      </c>
      <c r="AK45" s="1">
        <v>1.0290000000000001E-2</v>
      </c>
      <c r="AL45" s="1"/>
      <c r="AM45" s="1">
        <f t="shared" si="5"/>
        <v>0</v>
      </c>
      <c r="AN45" s="1">
        <v>1.9699999999999999E-2</v>
      </c>
      <c r="AO45" s="1">
        <v>0.25422</v>
      </c>
      <c r="AP45" s="209">
        <v>1.14E-3</v>
      </c>
      <c r="AQ45" s="1">
        <f ca="1">'Dynamic Materials'!O54</f>
        <v>1.1019910830558203E-2</v>
      </c>
      <c r="AR45" s="1">
        <f ca="1">'Dynamic Materials'!P54</f>
        <v>4.0879950258717199E-2</v>
      </c>
      <c r="AS45" s="1"/>
      <c r="AT45" s="1" cm="1">
        <f t="array" aca="1" ref="AT45" ca="1">IFERROR(INDEX(Electricity_projection,MATCH($B45&amp;$A45,INDEX(Electricity_projection,0,3),0),MATCH(YEAR(TODAY()),Timeline_elec_projec,0)+3)*INDEX(Recyc_mat_energy_input,MATCH(AT$1,'Data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5.9537555943800016E-3</v>
      </c>
      <c r="AU45" s="1" cm="1">
        <f t="array" aca="1" ref="AU45" ca="1">IFERROR(INDEX(Electricity_projection,MATCH($B45&amp;$A45,INDEX(Electricity_projection,0,3),0),MATCH(YEAR(TODAY()),Timeline_elec_projec,0)+3)*INDEX(Recyc_mat_energy_input,MATCH(AU$1,'Data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6.3819398055200002E-3</v>
      </c>
      <c r="AV45" s="1" cm="1">
        <f t="array" aca="1" ref="AV45" ca="1">IFERROR(INDEX(Electricity_projection,MATCH($B45&amp;$A45,INDEX(Electricity_projection,0,3),0),MATCH(YEAR(TODAY()),Timeline_elec_projec,0)+3)*INDEX(Recyc_mat_energy_input,MATCH(AV$1,'Data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2.4417861197800001E-2</v>
      </c>
      <c r="AW45" s="1"/>
      <c r="AX45" s="1"/>
      <c r="AY45" s="1"/>
      <c r="AZ45" s="1"/>
      <c r="BA45" s="1"/>
      <c r="BB45" s="1"/>
      <c r="BC45" s="1">
        <f t="shared" si="6"/>
        <v>0</v>
      </c>
      <c r="BD45" s="1"/>
      <c r="BE45" s="1"/>
      <c r="BF45" s="1"/>
      <c r="BG45" s="1">
        <f ca="1">'Dynamic Materials'!V54</f>
        <v>8.0314500367499996E-3</v>
      </c>
      <c r="BH45" s="1"/>
      <c r="BI45" s="1" cm="1">
        <f t="array" aca="1" ref="BI45" ca="1">IFERROR(INDEX(Electricity_projection,MATCH($B45&amp;$A45,INDEX(Electricity_projection,0,3),0),MATCH(YEAR(TODAY()),Timeline_elec_projec,0)+3)*INDEX(Recyc_mat_energy_input,MATCH(BI$1,'Data Entry'!$B$91:$B$96,0),1)+Diesel_density*INDEX(Recyc_mat_energy_input,MATCH(BI$1,'Data Entry'!$B$91:$B$96,0),2)*INDEX(Indicators,ROW(),MATCH("Diesel Combustion",Materials!$1:$1,0)), "")</f>
        <v>0</v>
      </c>
      <c r="BJ45" s="1"/>
      <c r="BK45" s="1" cm="1">
        <f t="array" aca="1" ref="BK45" ca="1">IFERROR(INDEX(Electricity_projection,MATCH($B45&amp;$A45,INDEX(Electricity_projection,0,3),0),MATCH(YEAR(TODAY()),Timeline_elec_projec,0)+3)*INDEX(Recyc_mat_energy_input,MATCH(BK$1,'Data Entry'!$B$91:$B$96,0),1)+Diesel_density*INDEX(Recyc_mat_energy_input,MATCH(BK$1,'Data Entry'!$B$91:$B$96,0),2)*INDEX(Indicators,ROW(),MATCH("Diesel Combustion",Materials!$1:$1,0)), "")</f>
        <v>4.1967088800000007E-5</v>
      </c>
      <c r="BL45" s="1" cm="1">
        <f t="array" aca="1" ref="BL45" ca="1">IFERROR(INDEX(Electricity_projection,MATCH($B45&amp;$A45,INDEX(Electricity_projection,0,3),0),MATCH(YEAR(TODAY()),Timeline_elec_projec,0)+3)*INDEX(Recyc_mat_energy_input,MATCH(BL$1,'Data Entry'!$B$91:$B$96,0),1)+Diesel_density*INDEX(Recyc_mat_energy_input,MATCH(BL$1,'Data Entry'!$B$91:$B$96,0),2)*INDEX(Indicators,ROW(),MATCH("Diesel Combustion",Materials!$1:$1,0)), "")</f>
        <v>9.0822222222222221E-2</v>
      </c>
      <c r="BM45" s="1"/>
      <c r="BN45" s="1">
        <f>IF(Steel_supplier="Pacific Steel",Material_Impacts[[#This Row],[Pacific Steel]],Material_Impacts[[#This Row],[Infrabuild]])</f>
        <v>0</v>
      </c>
      <c r="BO45" s="1"/>
      <c r="BP45" s="1">
        <v>1.7415E-3</v>
      </c>
      <c r="BQ45">
        <v>9.8650000000000002E-2</v>
      </c>
      <c r="BR45">
        <v>9.5060000000000006E-2</v>
      </c>
      <c r="BS45" s="443"/>
      <c r="BT45" s="443"/>
      <c r="BU45" s="443"/>
      <c r="BV45" s="443">
        <v>1</v>
      </c>
      <c r="BX45" s="1">
        <v>3.0839999999999999E-2</v>
      </c>
      <c r="BY45" s="1">
        <f t="shared" si="3"/>
        <v>7.1347599768652398E-4</v>
      </c>
      <c r="BZ45">
        <v>8.906E-2</v>
      </c>
      <c r="CA45" s="1">
        <v>0</v>
      </c>
      <c r="CB45">
        <v>8.0999999999999997E-7</v>
      </c>
      <c r="CC45">
        <v>1.1159300000000001</v>
      </c>
      <c r="CD45" s="378">
        <f t="shared" si="7"/>
        <v>7.8081245999999998E-3</v>
      </c>
      <c r="CE45" s="208">
        <f t="shared" si="4"/>
        <v>1.1237381246</v>
      </c>
      <c r="CF45" s="208"/>
      <c r="CG45" s="208"/>
      <c r="CH45" s="208"/>
      <c r="CI45" s="208"/>
      <c r="CJ45" s="208"/>
      <c r="CK45" s="208"/>
      <c r="CL45" s="208"/>
      <c r="CM45" s="208"/>
      <c r="CN45" s="208"/>
      <c r="CO45" s="208"/>
      <c r="CP45" s="208"/>
      <c r="CQ45" s="208"/>
      <c r="CZ45" s="208"/>
      <c r="DA45" s="208"/>
      <c r="DB45" s="208"/>
    </row>
    <row r="46" spans="1:106" x14ac:dyDescent="0.35">
      <c r="A46" t="s">
        <v>413</v>
      </c>
      <c r="B46" t="s">
        <v>54</v>
      </c>
      <c r="C46" t="s">
        <v>768</v>
      </c>
      <c r="D46" t="str">
        <f>Material_Impacts[[#This Row],[15804 version]]&amp;Material_Impacts[[#This Row],[Methodology]]&amp;Material_Impacts[[#This Row],[Acronym]]</f>
        <v>A2AttributionalFW</v>
      </c>
      <c r="E46" t="s">
        <v>755</v>
      </c>
      <c r="F46" t="s">
        <v>756</v>
      </c>
      <c r="G46" s="1">
        <v>3.3E-4</v>
      </c>
      <c r="H46" s="1">
        <v>3.3E-4</v>
      </c>
      <c r="I46" s="1">
        <v>4.2000000000000002E-4</v>
      </c>
      <c r="J46" s="1">
        <v>3.3E-4</v>
      </c>
      <c r="K46" s="1">
        <v>8.5413838316636286E-9</v>
      </c>
      <c r="L46" s="1">
        <v>2.0682352173156761E-8</v>
      </c>
      <c r="M46" s="1">
        <v>7.1925176270519546E-9</v>
      </c>
      <c r="N46" s="1"/>
      <c r="O46" s="443"/>
      <c r="P46" s="1">
        <v>6.7621100000000002E-5</v>
      </c>
      <c r="Q46" s="1">
        <v>0</v>
      </c>
      <c r="R46" s="1">
        <v>0</v>
      </c>
      <c r="S46" s="1">
        <v>0</v>
      </c>
      <c r="T46" s="1">
        <v>0</v>
      </c>
      <c r="U46" s="1">
        <v>0</v>
      </c>
      <c r="V46" s="1">
        <f ca="1">IFERROR('Dynamic Materials'!Q55+'Dynamic Materials'!AQ55, 0)</f>
        <v>2.9528756249254796E-4</v>
      </c>
      <c r="W46" s="1">
        <f ca="1">'Dynamic Materials'!R55</f>
        <v>4.1957539426860327E-4</v>
      </c>
      <c r="X46" s="1">
        <f ca="1">'Dynamic Materials'!T55</f>
        <v>5.2301960087881264E-4</v>
      </c>
      <c r="Y46" s="1">
        <f ca="1">IFERROR('Dynamic Materials'!U55+'Dynamic Materials'!AQ55, 0)</f>
        <v>4.1760194931583978E-4</v>
      </c>
      <c r="Z46" s="1">
        <f ca="1">IFERROR('Dynamic Materials'!S55+'Dynamic Materials'!AQ55, 0)</f>
        <v>4.1648717364219383E-4</v>
      </c>
      <c r="AA46" s="1">
        <f ca="1">'Dynamic Materials'!W55</f>
        <v>3.3E-4</v>
      </c>
      <c r="AB46" s="1">
        <v>3.46E-3</v>
      </c>
      <c r="AC46" s="1">
        <v>0.12182999999999999</v>
      </c>
      <c r="AD46" s="209">
        <f>BZ46+200*Material_Impacts[[#This Row],[Truck (32+t)]]+1130*CB46</f>
        <v>1.8883818422541041E-4</v>
      </c>
      <c r="AE46" s="1">
        <v>1.15E-3</v>
      </c>
      <c r="AF46" s="1">
        <v>3.6999999999999999E-4</v>
      </c>
      <c r="AG46" s="1"/>
      <c r="AH46" s="1">
        <v>1.8100000000000002E-2</v>
      </c>
      <c r="AI46" s="209">
        <f>'Dynamic Materials'!AG55</f>
        <v>7.2910000000000006E-3</v>
      </c>
      <c r="AJ46" s="1">
        <v>4.0999999999999999E-4</v>
      </c>
      <c r="AK46" s="1">
        <v>9.8791300000000004E-5</v>
      </c>
      <c r="AL46" s="1"/>
      <c r="AM46" s="1">
        <f t="shared" si="5"/>
        <v>0</v>
      </c>
      <c r="AN46" s="1">
        <v>7.6999999999999996E-4</v>
      </c>
      <c r="AO46" s="1">
        <v>4.3E-3</v>
      </c>
      <c r="AP46" s="209">
        <v>1E-3</v>
      </c>
      <c r="AQ46" s="1">
        <f ca="1">'Dynamic Materials'!O55</f>
        <v>2.9362709754812461E-4</v>
      </c>
      <c r="AR46" s="1">
        <f ca="1">'Dynamic Materials'!P55</f>
        <v>9.0308680649459994E-4</v>
      </c>
      <c r="AS46" s="1"/>
      <c r="AT46" s="1" cm="1">
        <f t="array" aca="1" ref="AT46" ca="1">IFERROR(INDEX(Electricity_projection,MATCH($B46&amp;$A46,INDEX(Electricity_projection,0,3),0),MATCH(YEAR(TODAY()),Timeline_elec_projec,0)+3)*INDEX(Recyc_mat_energy_input,MATCH(AT$1,'Data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3.0031575158999998E-4</v>
      </c>
      <c r="AU46" s="1" cm="1">
        <f t="array" aca="1" ref="AU46" ca="1">IFERROR(INDEX(Electricity_projection,MATCH($B46&amp;$A46,INDEX(Electricity_projection,0,3),0),MATCH(YEAR(TODAY()),Timeline_elec_projec,0)+3)*INDEX(Recyc_mat_energy_input,MATCH(AU$1,'Data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1.9836035999999999E-7</v>
      </c>
      <c r="AV46" s="1" cm="1">
        <f t="array" aca="1" ref="AV46" ca="1">IFERROR(INDEX(Electricity_projection,MATCH($B46&amp;$A46,INDEX(Electricity_projection,0,3),0),MATCH(YEAR(TODAY()),Timeline_elec_projec,0)+3)*INDEX(Recyc_mat_energy_input,MATCH(AV$1,'Data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1.0366289999999999E-7</v>
      </c>
      <c r="AW46" s="1"/>
      <c r="AX46" s="1"/>
      <c r="AY46" s="1"/>
      <c r="AZ46" s="1"/>
      <c r="BA46" s="1"/>
      <c r="BB46" s="1"/>
      <c r="BC46" s="1">
        <f t="shared" si="6"/>
        <v>0</v>
      </c>
      <c r="BD46" s="1"/>
      <c r="BE46" s="1"/>
      <c r="BF46" s="1"/>
      <c r="BG46" s="1">
        <f ca="1">'Dynamic Materials'!V55</f>
        <v>3.0017860837499997E-4</v>
      </c>
      <c r="BH46" s="1"/>
      <c r="BI46" s="1" t="str" cm="1">
        <f t="array" aca="1" ref="BI46" ca="1">IFERROR(INDEX(Electricity_projection,MATCH($B46&amp;$A46,INDEX(Electricity_projection,0,3),0),MATCH(YEAR(TODAY()),Timeline_elec_projec,0)+3)*INDEX(Recyc_mat_energy_input,MATCH(BI$1,'Data Entry'!$B$91:$B$96,0),1)+Diesel_density*INDEX(Recyc_mat_energy_input,MATCH(BI$1,'Data Entry'!$B$91:$B$96,0),2)*INDEX(Indicators,ROW(),MATCH("Diesel Combustion",Materials!$1:$1,0)), "")</f>
        <v/>
      </c>
      <c r="BJ46" s="1"/>
      <c r="BK46" s="1" t="str" cm="1">
        <f t="array" aca="1" ref="BK46" ca="1">IFERROR(INDEX(Electricity_projection,MATCH($B46&amp;$A46,INDEX(Electricity_projection,0,3),0),MATCH(YEAR(TODAY()),Timeline_elec_projec,0)+3)*INDEX(Recyc_mat_energy_input,MATCH(BK$1,'Data Entry'!$B$91:$B$96,0),1)+Diesel_density*INDEX(Recyc_mat_energy_input,MATCH(BK$1,'Data Entry'!$B$91:$B$96,0),2)*INDEX(Indicators,ROW(),MATCH("Diesel Combustion",Materials!$1:$1,0)), "")</f>
        <v/>
      </c>
      <c r="BL46" s="1" t="str" cm="1">
        <f t="array" aca="1" ref="BL46" ca="1">IFERROR(INDEX(Electricity_projection,MATCH($B46&amp;$A46,INDEX(Electricity_projection,0,3),0),MATCH(YEAR(TODAY()),Timeline_elec_projec,0)+3)*INDEX(Recyc_mat_energy_input,MATCH(BL$1,'Data Entry'!$B$91:$B$96,0),1)+Diesel_density*INDEX(Recyc_mat_energy_input,MATCH(BL$1,'Data Entry'!$B$91:$B$96,0),2)*INDEX(Indicators,ROW(),MATCH("Diesel Combustion",Materials!$1:$1,0)), "")</f>
        <v/>
      </c>
      <c r="BM46" s="1"/>
      <c r="BN46" s="1">
        <f>IF(Steel_supplier="Pacific Steel",Material_Impacts[[#This Row],[Pacific Steel]],Material_Impacts[[#This Row],[Infrabuild]])</f>
        <v>0</v>
      </c>
      <c r="BO46" s="1"/>
      <c r="BP46" s="1">
        <v>1.4079038500000001E-5</v>
      </c>
      <c r="BQ46">
        <v>4.2000000000000002E-4</v>
      </c>
      <c r="BR46">
        <v>3.3E-4</v>
      </c>
      <c r="BS46" s="443"/>
      <c r="BT46" s="443"/>
      <c r="BU46" s="443"/>
      <c r="BV46" s="443">
        <v>1</v>
      </c>
      <c r="BX46" s="1">
        <v>2.0000000000000001E-4</v>
      </c>
      <c r="BY46" s="1">
        <f t="shared" si="3"/>
        <v>4.6269519953730481E-6</v>
      </c>
      <c r="BZ46">
        <v>1.8000000000000001E-4</v>
      </c>
      <c r="CA46" s="1">
        <v>0</v>
      </c>
      <c r="CB46">
        <v>6.5483900000000004E-9</v>
      </c>
      <c r="CC46">
        <v>1.8169999999999999E-2</v>
      </c>
      <c r="CD46" s="378">
        <f t="shared" si="7"/>
        <v>6.3124253147400002E-5</v>
      </c>
      <c r="CE46" s="208">
        <f t="shared" si="4"/>
        <v>1.8233124253147399E-2</v>
      </c>
      <c r="CF46" s="208"/>
      <c r="CG46" s="208"/>
      <c r="CH46" s="208"/>
      <c r="CI46" s="208"/>
      <c r="CJ46" s="208"/>
      <c r="CK46" s="208"/>
      <c r="CL46" s="208"/>
      <c r="CM46" s="208"/>
      <c r="CN46" s="208"/>
      <c r="CO46" s="208"/>
      <c r="CP46" s="208"/>
      <c r="CQ46" s="208"/>
      <c r="CZ46" s="208"/>
      <c r="DA46" s="208"/>
      <c r="DB46" s="208"/>
    </row>
    <row r="47" spans="1:106" x14ac:dyDescent="0.35">
      <c r="A47" t="s">
        <v>508</v>
      </c>
      <c r="B47" t="s">
        <v>54</v>
      </c>
      <c r="C47" t="s">
        <v>768</v>
      </c>
      <c r="D47" t="str">
        <f>Material_Impacts[[#This Row],[15804 version]]&amp;Material_Impacts[[#This Row],[Methodology]]&amp;Material_Impacts[[#This Row],[Acronym]]</f>
        <v>A2AttributionalSM</v>
      </c>
      <c r="E47" t="s">
        <v>757</v>
      </c>
      <c r="F47" t="s">
        <v>758</v>
      </c>
      <c r="G47" s="1">
        <v>0</v>
      </c>
      <c r="H47" s="1">
        <v>0</v>
      </c>
      <c r="I47" s="1">
        <v>0</v>
      </c>
      <c r="J47" s="1">
        <v>0</v>
      </c>
      <c r="K47" s="1">
        <v>0</v>
      </c>
      <c r="L47" s="1">
        <v>0</v>
      </c>
      <c r="M47" s="1">
        <v>0</v>
      </c>
      <c r="N47" s="1"/>
      <c r="O47" s="443"/>
      <c r="P47" s="1">
        <v>0</v>
      </c>
      <c r="Q47" s="1">
        <v>0</v>
      </c>
      <c r="R47" s="1">
        <v>0</v>
      </c>
      <c r="S47" s="1">
        <v>0</v>
      </c>
      <c r="T47" s="1">
        <v>0</v>
      </c>
      <c r="U47" s="1">
        <v>0</v>
      </c>
      <c r="V47" s="1">
        <f ca="1">IFERROR('Dynamic Materials'!Q56+'Dynamic Materials'!AQ56, 0)</f>
        <v>1.2286007609406925E-4</v>
      </c>
      <c r="W47" s="1">
        <f ca="1">'Dynamic Materials'!R56</f>
        <v>1.2286007609406925E-4</v>
      </c>
      <c r="X47" s="1">
        <f ca="1">'Dynamic Materials'!T56</f>
        <v>1.2286007609406925E-4</v>
      </c>
      <c r="Y47" s="1">
        <f ca="1">IFERROR('Dynamic Materials'!U56+'Dynamic Materials'!AQ56, 0)</f>
        <v>1.2286007609406925E-4</v>
      </c>
      <c r="Z47" s="1">
        <f ca="1">IFERROR('Dynamic Materials'!S56+'Dynamic Materials'!AQ56, 0)</f>
        <v>1.2286007609406925E-4</v>
      </c>
      <c r="AA47" s="1">
        <f ca="1">'Dynamic Materials'!W56</f>
        <v>0</v>
      </c>
      <c r="AB47" s="1">
        <v>0</v>
      </c>
      <c r="AC47" s="1">
        <v>0</v>
      </c>
      <c r="AD47" s="209">
        <f>BZ47+200*Material_Impacts[[#This Row],[Truck (32+t)]]+1130*CB47</f>
        <v>0</v>
      </c>
      <c r="AE47" s="1">
        <v>0</v>
      </c>
      <c r="AF47" s="1">
        <v>0</v>
      </c>
      <c r="AG47" s="1"/>
      <c r="AH47" s="1">
        <v>0</v>
      </c>
      <c r="AI47" s="209">
        <f>'Dynamic Materials'!AG56</f>
        <v>0</v>
      </c>
      <c r="AJ47" s="1">
        <v>0</v>
      </c>
      <c r="AK47" s="1">
        <v>0</v>
      </c>
      <c r="AL47" s="1"/>
      <c r="AM47" s="1">
        <f t="shared" si="5"/>
        <v>0</v>
      </c>
      <c r="AN47" s="1">
        <v>0</v>
      </c>
      <c r="AO47" s="1">
        <v>0</v>
      </c>
      <c r="AP47" s="209">
        <v>0</v>
      </c>
      <c r="AQ47" s="1">
        <f ca="1">'Dynamic Materials'!O56</f>
        <v>0</v>
      </c>
      <c r="AR47" s="1">
        <f ca="1">'Dynamic Materials'!P56</f>
        <v>0</v>
      </c>
      <c r="AS47" s="1"/>
      <c r="AT47" s="1" cm="1">
        <f t="array" aca="1" ref="AT47" ca="1">IFERROR(INDEX(Electricity_projection,MATCH($B47&amp;$A47,INDEX(Electricity_projection,0,3),0),MATCH(YEAR(TODAY()),Timeline_elec_projec,0)+3)*INDEX(Recyc_mat_energy_input,MATCH(AT$1,'Data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47" s="1" cm="1">
        <f t="array" aca="1" ref="AU47" ca="1">IFERROR(INDEX(Electricity_projection,MATCH($B47&amp;$A47,INDEX(Electricity_projection,0,3),0),MATCH(YEAR(TODAY()),Timeline_elec_projec,0)+3)*INDEX(Recyc_mat_energy_input,MATCH(AU$1,'Data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47" s="1" cm="1">
        <f t="array" aca="1" ref="AV47" ca="1">IFERROR(INDEX(Electricity_projection,MATCH($B47&amp;$A47,INDEX(Electricity_projection,0,3),0),MATCH(YEAR(TODAY()),Timeline_elec_projec,0)+3)*INDEX(Recyc_mat_energy_input,MATCH(AV$1,'Data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47" s="1"/>
      <c r="AX47" s="1"/>
      <c r="AY47" s="1"/>
      <c r="AZ47" s="1"/>
      <c r="BA47" s="1"/>
      <c r="BB47" s="1"/>
      <c r="BC47" s="1">
        <f t="shared" si="6"/>
        <v>0</v>
      </c>
      <c r="BD47" s="1"/>
      <c r="BE47" s="1"/>
      <c r="BF47" s="1"/>
      <c r="BG47" s="1">
        <f ca="1">'Dynamic Materials'!V56</f>
        <v>0</v>
      </c>
      <c r="BH47" s="1"/>
      <c r="BI47" s="1" t="str" cm="1">
        <f t="array" aca="1" ref="BI47" ca="1">IFERROR(INDEX(Electricity_projection,MATCH($B47&amp;$A47,INDEX(Electricity_projection,0,3),0),MATCH(YEAR(TODAY()),Timeline_elec_projec,0)+3)*INDEX(Recyc_mat_energy_input,MATCH(BI$1,'Data Entry'!$B$91:$B$96,0),1)+Diesel_density*INDEX(Recyc_mat_energy_input,MATCH(BI$1,'Data Entry'!$B$91:$B$96,0),2)*INDEX(Indicators,ROW(),MATCH("Diesel Combustion",Materials!$1:$1,0)), "")</f>
        <v/>
      </c>
      <c r="BJ47" s="1"/>
      <c r="BK47" s="1" t="str" cm="1">
        <f t="array" aca="1" ref="BK47" ca="1">IFERROR(INDEX(Electricity_projection,MATCH($B47&amp;$A47,INDEX(Electricity_projection,0,3),0),MATCH(YEAR(TODAY()),Timeline_elec_projec,0)+3)*INDEX(Recyc_mat_energy_input,MATCH(BK$1,'Data Entry'!$B$91:$B$96,0),1)+Diesel_density*INDEX(Recyc_mat_energy_input,MATCH(BK$1,'Data Entry'!$B$91:$B$96,0),2)*INDEX(Indicators,ROW(),MATCH("Diesel Combustion",Materials!$1:$1,0)), "")</f>
        <v/>
      </c>
      <c r="BL47" s="1" t="str" cm="1">
        <f t="array" aca="1" ref="BL47" ca="1">IFERROR(INDEX(Electricity_projection,MATCH($B47&amp;$A47,INDEX(Electricity_projection,0,3),0),MATCH(YEAR(TODAY()),Timeline_elec_projec,0)+3)*INDEX(Recyc_mat_energy_input,MATCH(BL$1,'Data Entry'!$B$91:$B$96,0),1)+Diesel_density*INDEX(Recyc_mat_energy_input,MATCH(BL$1,'Data Entry'!$B$91:$B$96,0),2)*INDEX(Indicators,ROW(),MATCH("Diesel Combustion",Materials!$1:$1,0)), "")</f>
        <v/>
      </c>
      <c r="BM47" s="1"/>
      <c r="BN47" s="1">
        <f>IF(Steel_supplier="Pacific Steel",Material_Impacts[[#This Row],[Pacific Steel]],Material_Impacts[[#This Row],[Infrabuild]])</f>
        <v>0</v>
      </c>
      <c r="BO47" s="1"/>
      <c r="BP47" s="1">
        <v>0</v>
      </c>
      <c r="BQ47">
        <v>0</v>
      </c>
      <c r="BR47">
        <v>0</v>
      </c>
      <c r="BS47" s="443"/>
      <c r="BT47" s="443"/>
      <c r="BU47" s="443"/>
      <c r="BV47" s="443">
        <v>1</v>
      </c>
      <c r="BX47" s="1">
        <v>0</v>
      </c>
      <c r="BY47" s="1">
        <f t="shared" si="3"/>
        <v>0</v>
      </c>
      <c r="BZ47">
        <v>0</v>
      </c>
      <c r="CA47" s="1">
        <v>0</v>
      </c>
      <c r="CB47">
        <v>0</v>
      </c>
      <c r="CC47">
        <v>0</v>
      </c>
      <c r="CD47" s="378">
        <f t="shared" si="7"/>
        <v>0</v>
      </c>
      <c r="CE47" s="208">
        <f t="shared" si="4"/>
        <v>0</v>
      </c>
      <c r="CF47" s="208"/>
      <c r="CG47" s="208"/>
      <c r="CH47" s="208"/>
      <c r="CI47" s="208"/>
      <c r="CJ47" s="208"/>
      <c r="CK47" s="208"/>
      <c r="CL47" s="208"/>
      <c r="CM47" s="208"/>
      <c r="CN47" s="208"/>
      <c r="CO47" s="208"/>
      <c r="CP47" s="208"/>
      <c r="CQ47" s="208"/>
      <c r="CZ47" s="208"/>
      <c r="DA47" s="208"/>
      <c r="DB47" s="208"/>
    </row>
    <row r="48" spans="1:106" x14ac:dyDescent="0.35">
      <c r="A48" t="s">
        <v>510</v>
      </c>
      <c r="B48" t="s">
        <v>54</v>
      </c>
      <c r="C48" t="s">
        <v>768</v>
      </c>
      <c r="D48" t="str">
        <f>Material_Impacts[[#This Row],[15804 version]]&amp;Material_Impacts[[#This Row],[Methodology]]&amp;Material_Impacts[[#This Row],[Acronym]]</f>
        <v>A2AttributionalNRSF</v>
      </c>
      <c r="E48" t="s">
        <v>759</v>
      </c>
      <c r="F48" t="s">
        <v>760</v>
      </c>
      <c r="G48" s="1">
        <v>0</v>
      </c>
      <c r="H48" s="1">
        <v>0</v>
      </c>
      <c r="I48" s="1">
        <v>0</v>
      </c>
      <c r="J48" s="1">
        <v>0</v>
      </c>
      <c r="K48" s="1">
        <v>0</v>
      </c>
      <c r="L48" s="1">
        <v>0</v>
      </c>
      <c r="M48" s="1">
        <v>0</v>
      </c>
      <c r="N48" s="1"/>
      <c r="O48" s="443"/>
      <c r="P48" s="1">
        <v>0</v>
      </c>
      <c r="Q48" s="1">
        <v>0</v>
      </c>
      <c r="R48" s="1">
        <v>0</v>
      </c>
      <c r="S48" s="1">
        <v>0</v>
      </c>
      <c r="T48" s="1">
        <v>0</v>
      </c>
      <c r="U48" s="1">
        <v>0</v>
      </c>
      <c r="V48" s="1">
        <f ca="1">IFERROR('Dynamic Materials'!Q57+'Dynamic Materials'!AQ57, 0)</f>
        <v>1.2286007609406925E-4</v>
      </c>
      <c r="W48" s="1">
        <f ca="1">'Dynamic Materials'!R57</f>
        <v>1.2286007609406925E-4</v>
      </c>
      <c r="X48" s="1">
        <f ca="1">'Dynamic Materials'!T57</f>
        <v>1.2286007609406925E-4</v>
      </c>
      <c r="Y48" s="1">
        <f ca="1">IFERROR('Dynamic Materials'!U57+'Dynamic Materials'!AQ57, 0)</f>
        <v>1.2286007609406925E-4</v>
      </c>
      <c r="Z48" s="1">
        <f ca="1">IFERROR('Dynamic Materials'!S57+'Dynamic Materials'!AQ57, 0)</f>
        <v>1.2286007609406925E-4</v>
      </c>
      <c r="AA48" s="1">
        <f ca="1">'Dynamic Materials'!W57</f>
        <v>0</v>
      </c>
      <c r="AB48" s="1">
        <v>0</v>
      </c>
      <c r="AC48" s="1">
        <v>0</v>
      </c>
      <c r="AD48" s="209">
        <f>BZ48+200*Material_Impacts[[#This Row],[Truck (32+t)]]+1130*CB48</f>
        <v>0</v>
      </c>
      <c r="AE48" s="1">
        <v>0</v>
      </c>
      <c r="AF48" s="1">
        <v>0</v>
      </c>
      <c r="AG48" s="1"/>
      <c r="AH48" s="1">
        <v>0</v>
      </c>
      <c r="AI48" s="209">
        <f>'Dynamic Materials'!AG57</f>
        <v>0</v>
      </c>
      <c r="AJ48" s="1">
        <v>0</v>
      </c>
      <c r="AK48" s="1">
        <v>0</v>
      </c>
      <c r="AL48" s="1"/>
      <c r="AM48" s="1">
        <f t="shared" si="5"/>
        <v>0</v>
      </c>
      <c r="AN48" s="1">
        <v>0</v>
      </c>
      <c r="AO48" s="1">
        <v>0</v>
      </c>
      <c r="AP48" s="209">
        <v>0</v>
      </c>
      <c r="AQ48" s="1">
        <f ca="1">'Dynamic Materials'!O57</f>
        <v>0</v>
      </c>
      <c r="AR48" s="1">
        <f ca="1">'Dynamic Materials'!P57</f>
        <v>0</v>
      </c>
      <c r="AS48" s="1"/>
      <c r="AT48" s="1" cm="1">
        <f t="array" aca="1" ref="AT48" ca="1">IFERROR(INDEX(Electricity_projection,MATCH($B48&amp;$A48,INDEX(Electricity_projection,0,3),0),MATCH(YEAR(TODAY()),Timeline_elec_projec,0)+3)*INDEX(Recyc_mat_energy_input,MATCH(AT$1,'Data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48" s="1" cm="1">
        <f t="array" aca="1" ref="AU48" ca="1">IFERROR(INDEX(Electricity_projection,MATCH($B48&amp;$A48,INDEX(Electricity_projection,0,3),0),MATCH(YEAR(TODAY()),Timeline_elec_projec,0)+3)*INDEX(Recyc_mat_energy_input,MATCH(AU$1,'Data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48" s="1" cm="1">
        <f t="array" aca="1" ref="AV48" ca="1">IFERROR(INDEX(Electricity_projection,MATCH($B48&amp;$A48,INDEX(Electricity_projection,0,3),0),MATCH(YEAR(TODAY()),Timeline_elec_projec,0)+3)*INDEX(Recyc_mat_energy_input,MATCH(AV$1,'Data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48" s="1"/>
      <c r="AX48" s="1"/>
      <c r="AY48" s="1"/>
      <c r="AZ48" s="1"/>
      <c r="BA48" s="1"/>
      <c r="BB48" s="1"/>
      <c r="BC48" s="1">
        <f t="shared" si="6"/>
        <v>0</v>
      </c>
      <c r="BD48" s="1"/>
      <c r="BE48" s="1"/>
      <c r="BF48" s="1"/>
      <c r="BG48" s="1">
        <f ca="1">'Dynamic Materials'!V57</f>
        <v>0</v>
      </c>
      <c r="BH48" s="1"/>
      <c r="BI48" s="1" t="str" cm="1">
        <f t="array" aca="1" ref="BI48" ca="1">IFERROR(INDEX(Electricity_projection,MATCH($B48&amp;$A48,INDEX(Electricity_projection,0,3),0),MATCH(YEAR(TODAY()),Timeline_elec_projec,0)+3)*INDEX(Recyc_mat_energy_input,MATCH(BI$1,'Data Entry'!$B$91:$B$96,0),1)+Diesel_density*INDEX(Recyc_mat_energy_input,MATCH(BI$1,'Data Entry'!$B$91:$B$96,0),2)*INDEX(Indicators,ROW(),MATCH("Diesel Combustion",Materials!$1:$1,0)), "")</f>
        <v/>
      </c>
      <c r="BJ48" s="1"/>
      <c r="BK48" s="1" t="str" cm="1">
        <f t="array" aca="1" ref="BK48" ca="1">IFERROR(INDEX(Electricity_projection,MATCH($B48&amp;$A48,INDEX(Electricity_projection,0,3),0),MATCH(YEAR(TODAY()),Timeline_elec_projec,0)+3)*INDEX(Recyc_mat_energy_input,MATCH(BK$1,'Data Entry'!$B$91:$B$96,0),1)+Diesel_density*INDEX(Recyc_mat_energy_input,MATCH(BK$1,'Data Entry'!$B$91:$B$96,0),2)*INDEX(Indicators,ROW(),MATCH("Diesel Combustion",Materials!$1:$1,0)), "")</f>
        <v/>
      </c>
      <c r="BL48" s="1" t="str" cm="1">
        <f t="array" aca="1" ref="BL48" ca="1">IFERROR(INDEX(Electricity_projection,MATCH($B48&amp;$A48,INDEX(Electricity_projection,0,3),0),MATCH(YEAR(TODAY()),Timeline_elec_projec,0)+3)*INDEX(Recyc_mat_energy_input,MATCH(BL$1,'Data Entry'!$B$91:$B$96,0),1)+Diesel_density*INDEX(Recyc_mat_energy_input,MATCH(BL$1,'Data Entry'!$B$91:$B$96,0),2)*INDEX(Indicators,ROW(),MATCH("Diesel Combustion",Materials!$1:$1,0)), "")</f>
        <v/>
      </c>
      <c r="BM48" s="1"/>
      <c r="BN48" s="1">
        <f>IF(Steel_supplier="Pacific Steel",Material_Impacts[[#This Row],[Pacific Steel]],Material_Impacts[[#This Row],[Infrabuild]])</f>
        <v>0</v>
      </c>
      <c r="BO48" s="1"/>
      <c r="BP48" s="1">
        <v>0</v>
      </c>
      <c r="BQ48">
        <v>0</v>
      </c>
      <c r="BR48">
        <v>0</v>
      </c>
      <c r="BS48" s="443"/>
      <c r="BT48" s="443"/>
      <c r="BU48" s="443"/>
      <c r="BV48" s="443">
        <v>1</v>
      </c>
      <c r="BX48" s="1">
        <v>0</v>
      </c>
      <c r="BY48" s="1">
        <f t="shared" si="3"/>
        <v>0</v>
      </c>
      <c r="BZ48">
        <v>0</v>
      </c>
      <c r="CA48" s="1">
        <v>0</v>
      </c>
      <c r="CB48">
        <v>0</v>
      </c>
      <c r="CC48">
        <v>0</v>
      </c>
      <c r="CD48" s="378">
        <f t="shared" si="7"/>
        <v>0</v>
      </c>
      <c r="CE48" s="208">
        <f t="shared" si="4"/>
        <v>0</v>
      </c>
      <c r="CF48" s="208"/>
      <c r="CG48" s="208"/>
      <c r="CH48" s="208"/>
      <c r="CI48" s="208"/>
      <c r="CJ48" s="208"/>
      <c r="CK48" s="208"/>
      <c r="CL48" s="208"/>
      <c r="CM48" s="208"/>
      <c r="CN48" s="208"/>
      <c r="CO48" s="208"/>
      <c r="CP48" s="208"/>
      <c r="CQ48" s="208"/>
      <c r="CZ48" s="208"/>
      <c r="DA48" s="208"/>
      <c r="DB48" s="208"/>
    </row>
    <row r="49" spans="1:106" x14ac:dyDescent="0.35">
      <c r="A49" t="s">
        <v>512</v>
      </c>
      <c r="B49" t="s">
        <v>54</v>
      </c>
      <c r="C49" t="s">
        <v>768</v>
      </c>
      <c r="D49" t="str">
        <f>Material_Impacts[[#This Row],[15804 version]]&amp;Material_Impacts[[#This Row],[Methodology]]&amp;Material_Impacts[[#This Row],[Acronym]]</f>
        <v>A2AttributionalRSF</v>
      </c>
      <c r="E49" t="s">
        <v>761</v>
      </c>
      <c r="F49" t="s">
        <v>760</v>
      </c>
      <c r="G49" s="1">
        <v>0</v>
      </c>
      <c r="H49" s="1">
        <v>0</v>
      </c>
      <c r="I49" s="1">
        <v>0</v>
      </c>
      <c r="J49" s="1">
        <v>0</v>
      </c>
      <c r="K49" s="1">
        <v>0</v>
      </c>
      <c r="L49" s="1">
        <v>0</v>
      </c>
      <c r="M49" s="1">
        <v>0</v>
      </c>
      <c r="N49" s="1"/>
      <c r="O49" s="443"/>
      <c r="P49" s="1">
        <v>0</v>
      </c>
      <c r="Q49" s="1">
        <v>0</v>
      </c>
      <c r="R49" s="1">
        <v>0</v>
      </c>
      <c r="S49" s="1">
        <v>0</v>
      </c>
      <c r="T49" s="1">
        <v>0</v>
      </c>
      <c r="U49" s="1">
        <v>0</v>
      </c>
      <c r="V49" s="1">
        <f ca="1">IFERROR('Dynamic Materials'!Q58+'Dynamic Materials'!AQ58, 0)</f>
        <v>1.2286007609406925E-4</v>
      </c>
      <c r="W49" s="1">
        <f ca="1">'Dynamic Materials'!R58</f>
        <v>1.2286007609406925E-4</v>
      </c>
      <c r="X49" s="1">
        <f ca="1">'Dynamic Materials'!T58</f>
        <v>1.2286007609406925E-4</v>
      </c>
      <c r="Y49" s="1">
        <f ca="1">IFERROR('Dynamic Materials'!U58+'Dynamic Materials'!AQ58, 0)</f>
        <v>1.2286007609406925E-4</v>
      </c>
      <c r="Z49" s="1">
        <f ca="1">IFERROR('Dynamic Materials'!S58+'Dynamic Materials'!AQ58, 0)</f>
        <v>1.2286007609406925E-4</v>
      </c>
      <c r="AA49" s="1">
        <f ca="1">'Dynamic Materials'!W58</f>
        <v>0</v>
      </c>
      <c r="AB49" s="1">
        <v>0</v>
      </c>
      <c r="AC49" s="1">
        <v>0</v>
      </c>
      <c r="AD49" s="209">
        <f>BZ49+200*Material_Impacts[[#This Row],[Truck (32+t)]]+1130*CB49</f>
        <v>0</v>
      </c>
      <c r="AE49" s="1">
        <v>0</v>
      </c>
      <c r="AF49" s="1">
        <v>0</v>
      </c>
      <c r="AG49" s="1"/>
      <c r="AH49" s="1">
        <v>0</v>
      </c>
      <c r="AI49" s="209">
        <f>'Dynamic Materials'!AG58</f>
        <v>0</v>
      </c>
      <c r="AJ49" s="1">
        <v>0</v>
      </c>
      <c r="AK49" s="1">
        <v>0</v>
      </c>
      <c r="AL49" s="1"/>
      <c r="AM49" s="1">
        <f t="shared" si="5"/>
        <v>0</v>
      </c>
      <c r="AN49" s="1">
        <v>0</v>
      </c>
      <c r="AO49" s="1">
        <v>0</v>
      </c>
      <c r="AP49" s="209">
        <v>0</v>
      </c>
      <c r="AQ49" s="1">
        <f ca="1">'Dynamic Materials'!O58</f>
        <v>0</v>
      </c>
      <c r="AR49" s="1">
        <f ca="1">'Dynamic Materials'!P58</f>
        <v>0</v>
      </c>
      <c r="AS49" s="1"/>
      <c r="AT49" s="1" cm="1">
        <f t="array" aca="1" ref="AT49" ca="1">IFERROR(INDEX(Electricity_projection,MATCH($B49&amp;$A49,INDEX(Electricity_projection,0,3),0),MATCH(YEAR(TODAY()),Timeline_elec_projec,0)+3)*INDEX(Recyc_mat_energy_input,MATCH(AT$1,'Data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49" s="1" cm="1">
        <f t="array" aca="1" ref="AU49" ca="1">IFERROR(INDEX(Electricity_projection,MATCH($B49&amp;$A49,INDEX(Electricity_projection,0,3),0),MATCH(YEAR(TODAY()),Timeline_elec_projec,0)+3)*INDEX(Recyc_mat_energy_input,MATCH(AU$1,'Data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49" s="1" cm="1">
        <f t="array" aca="1" ref="AV49" ca="1">IFERROR(INDEX(Electricity_projection,MATCH($B49&amp;$A49,INDEX(Electricity_projection,0,3),0),MATCH(YEAR(TODAY()),Timeline_elec_projec,0)+3)*INDEX(Recyc_mat_energy_input,MATCH(AV$1,'Data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49" s="1"/>
      <c r="AX49" s="1"/>
      <c r="AY49" s="1"/>
      <c r="AZ49" s="1"/>
      <c r="BA49" s="1"/>
      <c r="BB49" s="1"/>
      <c r="BC49" s="1">
        <f t="shared" si="6"/>
        <v>0</v>
      </c>
      <c r="BD49" s="1"/>
      <c r="BE49" s="1"/>
      <c r="BF49" s="1"/>
      <c r="BG49" s="1">
        <f ca="1">'Dynamic Materials'!V58</f>
        <v>0</v>
      </c>
      <c r="BH49" s="1"/>
      <c r="BI49" s="1" t="str" cm="1">
        <f t="array" aca="1" ref="BI49" ca="1">IFERROR(INDEX(Electricity_projection,MATCH($B49&amp;$A49,INDEX(Electricity_projection,0,3),0),MATCH(YEAR(TODAY()),Timeline_elec_projec,0)+3)*INDEX(Recyc_mat_energy_input,MATCH(BI$1,'Data Entry'!$B$91:$B$96,0),1)+Diesel_density*INDEX(Recyc_mat_energy_input,MATCH(BI$1,'Data Entry'!$B$91:$B$96,0),2)*INDEX(Indicators,ROW(),MATCH("Diesel Combustion",Materials!$1:$1,0)), "")</f>
        <v/>
      </c>
      <c r="BJ49" s="1"/>
      <c r="BK49" s="1" t="str" cm="1">
        <f t="array" aca="1" ref="BK49" ca="1">IFERROR(INDEX(Electricity_projection,MATCH($B49&amp;$A49,INDEX(Electricity_projection,0,3),0),MATCH(YEAR(TODAY()),Timeline_elec_projec,0)+3)*INDEX(Recyc_mat_energy_input,MATCH(BK$1,'Data Entry'!$B$91:$B$96,0),1)+Diesel_density*INDEX(Recyc_mat_energy_input,MATCH(BK$1,'Data Entry'!$B$91:$B$96,0),2)*INDEX(Indicators,ROW(),MATCH("Diesel Combustion",Materials!$1:$1,0)), "")</f>
        <v/>
      </c>
      <c r="BL49" s="1" t="str" cm="1">
        <f t="array" aca="1" ref="BL49" ca="1">IFERROR(INDEX(Electricity_projection,MATCH($B49&amp;$A49,INDEX(Electricity_projection,0,3),0),MATCH(YEAR(TODAY()),Timeline_elec_projec,0)+3)*INDEX(Recyc_mat_energy_input,MATCH(BL$1,'Data Entry'!$B$91:$B$96,0),1)+Diesel_density*INDEX(Recyc_mat_energy_input,MATCH(BL$1,'Data Entry'!$B$91:$B$96,0),2)*INDEX(Indicators,ROW(),MATCH("Diesel Combustion",Materials!$1:$1,0)), "")</f>
        <v/>
      </c>
      <c r="BM49" s="1"/>
      <c r="BN49" s="1">
        <f>IF(Steel_supplier="Pacific Steel",Material_Impacts[[#This Row],[Pacific Steel]],Material_Impacts[[#This Row],[Infrabuild]])</f>
        <v>0</v>
      </c>
      <c r="BO49" s="1"/>
      <c r="BP49" s="1">
        <v>0</v>
      </c>
      <c r="BQ49">
        <v>0</v>
      </c>
      <c r="BR49">
        <v>0</v>
      </c>
      <c r="BS49" s="443"/>
      <c r="BT49" s="443"/>
      <c r="BU49" s="443"/>
      <c r="BV49" s="443">
        <v>1</v>
      </c>
      <c r="BX49" s="1">
        <v>0</v>
      </c>
      <c r="BY49" s="1">
        <f t="shared" si="3"/>
        <v>0</v>
      </c>
      <c r="BZ49">
        <v>0</v>
      </c>
      <c r="CA49" s="1">
        <v>0</v>
      </c>
      <c r="CB49">
        <v>0</v>
      </c>
      <c r="CC49">
        <v>0</v>
      </c>
      <c r="CD49" s="378">
        <f t="shared" si="7"/>
        <v>0</v>
      </c>
      <c r="CE49" s="208">
        <f t="shared" si="4"/>
        <v>0</v>
      </c>
      <c r="CF49" s="208"/>
      <c r="CG49" s="208"/>
      <c r="CH49" s="208"/>
      <c r="CI49" s="208"/>
      <c r="CJ49" s="208"/>
      <c r="CK49" s="208"/>
      <c r="CL49" s="208"/>
      <c r="CM49" s="208"/>
      <c r="CN49" s="208"/>
      <c r="CO49" s="208"/>
      <c r="CP49" s="208"/>
      <c r="CQ49" s="208"/>
      <c r="CZ49" s="208"/>
      <c r="DA49" s="208"/>
      <c r="DB49" s="208"/>
    </row>
    <row r="50" spans="1:106" x14ac:dyDescent="0.35">
      <c r="A50" t="s">
        <v>546</v>
      </c>
      <c r="B50" t="s">
        <v>54</v>
      </c>
      <c r="C50" t="s">
        <v>768</v>
      </c>
      <c r="D50" t="str">
        <f>Material_Impacts[[#This Row],[15804 version]]&amp;Material_Impacts[[#This Row],[Methodology]]&amp;Material_Impacts[[#This Row],[Acronym]]</f>
        <v>A2AttributionalHWD</v>
      </c>
      <c r="E50" t="s">
        <v>762</v>
      </c>
      <c r="F50" t="s">
        <v>763</v>
      </c>
      <c r="G50" s="1">
        <v>0</v>
      </c>
      <c r="H50" s="1">
        <v>0</v>
      </c>
      <c r="I50" s="1">
        <v>0</v>
      </c>
      <c r="J50" s="1">
        <v>0</v>
      </c>
      <c r="K50" s="1">
        <v>0</v>
      </c>
      <c r="L50" s="1">
        <v>0</v>
      </c>
      <c r="M50" s="1">
        <v>0</v>
      </c>
      <c r="N50" s="1"/>
      <c r="O50" s="443"/>
      <c r="P50" s="1">
        <v>0</v>
      </c>
      <c r="Q50" s="1">
        <v>0</v>
      </c>
      <c r="R50" s="1">
        <v>0</v>
      </c>
      <c r="S50" s="1">
        <v>0</v>
      </c>
      <c r="T50" s="1">
        <v>0</v>
      </c>
      <c r="U50" s="1">
        <v>0</v>
      </c>
      <c r="V50" s="1">
        <f ca="1">IFERROR('Dynamic Materials'!Q59+'Dynamic Materials'!AQ59, 0)</f>
        <v>1.2286007609406925E-4</v>
      </c>
      <c r="W50" s="1">
        <f ca="1">'Dynamic Materials'!R59</f>
        <v>1.2286007609406925E-4</v>
      </c>
      <c r="X50" s="1">
        <f ca="1">'Dynamic Materials'!T59</f>
        <v>1.2286007609406925E-4</v>
      </c>
      <c r="Y50" s="1">
        <f ca="1">IFERROR('Dynamic Materials'!U59+'Dynamic Materials'!AQ59, 0)</f>
        <v>1.2286007609406925E-4</v>
      </c>
      <c r="Z50" s="1">
        <f ca="1">IFERROR('Dynamic Materials'!S59+'Dynamic Materials'!AQ59, 0)</f>
        <v>1.2286007609406925E-4</v>
      </c>
      <c r="AA50" s="1">
        <f ca="1">'Dynamic Materials'!W59</f>
        <v>0</v>
      </c>
      <c r="AB50" s="1">
        <v>0</v>
      </c>
      <c r="AC50" s="1">
        <v>0</v>
      </c>
      <c r="AD50" s="209">
        <f>BZ50+200*Material_Impacts[[#This Row],[Truck (32+t)]]+1130*CB50</f>
        <v>0</v>
      </c>
      <c r="AE50" s="1">
        <v>0</v>
      </c>
      <c r="AF50" s="1">
        <v>0</v>
      </c>
      <c r="AG50" s="1"/>
      <c r="AH50" s="1">
        <v>0</v>
      </c>
      <c r="AI50" s="209">
        <f>'Dynamic Materials'!AG59</f>
        <v>0</v>
      </c>
      <c r="AJ50" s="1">
        <v>0</v>
      </c>
      <c r="AK50" s="1">
        <v>0</v>
      </c>
      <c r="AL50" s="1"/>
      <c r="AM50" s="1">
        <f t="shared" si="5"/>
        <v>0</v>
      </c>
      <c r="AN50" s="1">
        <v>0</v>
      </c>
      <c r="AO50" s="1">
        <v>0</v>
      </c>
      <c r="AP50" s="209">
        <v>0</v>
      </c>
      <c r="AQ50" s="1">
        <f ca="1">'Dynamic Materials'!O59</f>
        <v>0</v>
      </c>
      <c r="AR50" s="1">
        <f ca="1">'Dynamic Materials'!P59</f>
        <v>0</v>
      </c>
      <c r="AS50" s="1"/>
      <c r="AT50" s="1" cm="1">
        <f t="array" aca="1" ref="AT50" ca="1">IFERROR(INDEX(Electricity_projection,MATCH($B50&amp;$A50,INDEX(Electricity_projection,0,3),0),MATCH(YEAR(TODAY()),Timeline_elec_projec,0)+3)*INDEX(Recyc_mat_energy_input,MATCH(AT$1,'Data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50" s="1" cm="1">
        <f t="array" aca="1" ref="AU50" ca="1">IFERROR(INDEX(Electricity_projection,MATCH($B50&amp;$A50,INDEX(Electricity_projection,0,3),0),MATCH(YEAR(TODAY()),Timeline_elec_projec,0)+3)*INDEX(Recyc_mat_energy_input,MATCH(AU$1,'Data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50" s="1" cm="1">
        <f t="array" aca="1" ref="AV50" ca="1">IFERROR(INDEX(Electricity_projection,MATCH($B50&amp;$A50,INDEX(Electricity_projection,0,3),0),MATCH(YEAR(TODAY()),Timeline_elec_projec,0)+3)*INDEX(Recyc_mat_energy_input,MATCH(AV$1,'Data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50" s="1"/>
      <c r="AX50" s="1"/>
      <c r="AY50" s="1"/>
      <c r="AZ50" s="1"/>
      <c r="BA50" s="1"/>
      <c r="BB50" s="1"/>
      <c r="BC50" s="1">
        <f t="shared" si="6"/>
        <v>0</v>
      </c>
      <c r="BD50" s="1"/>
      <c r="BE50" s="1"/>
      <c r="BF50" s="1"/>
      <c r="BG50" s="1">
        <f ca="1">'Dynamic Materials'!V59</f>
        <v>0</v>
      </c>
      <c r="BH50" s="1"/>
      <c r="BI50" s="1" t="str" cm="1">
        <f t="array" aca="1" ref="BI50" ca="1">IFERROR(INDEX(Electricity_projection,MATCH($B50&amp;$A50,INDEX(Electricity_projection,0,3),0),MATCH(YEAR(TODAY()),Timeline_elec_projec,0)+3)*INDEX(Recyc_mat_energy_input,MATCH(BI$1,'Data Entry'!$B$91:$B$96,0),1)+Diesel_density*INDEX(Recyc_mat_energy_input,MATCH(BI$1,'Data Entry'!$B$91:$B$96,0),2)*INDEX(Indicators,ROW(),MATCH("Diesel Combustion",Materials!$1:$1,0)), "")</f>
        <v/>
      </c>
      <c r="BJ50" s="1"/>
      <c r="BK50" s="1" t="str" cm="1">
        <f t="array" aca="1" ref="BK50" ca="1">IFERROR(INDEX(Electricity_projection,MATCH($B50&amp;$A50,INDEX(Electricity_projection,0,3),0),MATCH(YEAR(TODAY()),Timeline_elec_projec,0)+3)*INDEX(Recyc_mat_energy_input,MATCH(BK$1,'Data Entry'!$B$91:$B$96,0),1)+Diesel_density*INDEX(Recyc_mat_energy_input,MATCH(BK$1,'Data Entry'!$B$91:$B$96,0),2)*INDEX(Indicators,ROW(),MATCH("Diesel Combustion",Materials!$1:$1,0)), "")</f>
        <v/>
      </c>
      <c r="BL50" s="1" t="str" cm="1">
        <f t="array" aca="1" ref="BL50" ca="1">IFERROR(INDEX(Electricity_projection,MATCH($B50&amp;$A50,INDEX(Electricity_projection,0,3),0),MATCH(YEAR(TODAY()),Timeline_elec_projec,0)+3)*INDEX(Recyc_mat_energy_input,MATCH(BL$1,'Data Entry'!$B$91:$B$96,0),1)+Diesel_density*INDEX(Recyc_mat_energy_input,MATCH(BL$1,'Data Entry'!$B$91:$B$96,0),2)*INDEX(Indicators,ROW(),MATCH("Diesel Combustion",Materials!$1:$1,0)), "")</f>
        <v/>
      </c>
      <c r="BM50" s="1"/>
      <c r="BN50" s="1">
        <f>IF(Steel_supplier="Pacific Steel",Material_Impacts[[#This Row],[Pacific Steel]],Material_Impacts[[#This Row],[Infrabuild]])</f>
        <v>0</v>
      </c>
      <c r="BO50" s="1"/>
      <c r="BP50" s="1">
        <v>0</v>
      </c>
      <c r="BQ50">
        <v>0</v>
      </c>
      <c r="BR50">
        <v>0</v>
      </c>
      <c r="BS50" s="443"/>
      <c r="BT50" s="443"/>
      <c r="BU50" s="443"/>
      <c r="BV50" s="443">
        <v>1</v>
      </c>
      <c r="BX50" s="1">
        <v>0</v>
      </c>
      <c r="BY50" s="1">
        <f t="shared" si="3"/>
        <v>0</v>
      </c>
      <c r="BZ50">
        <v>0</v>
      </c>
      <c r="CA50" s="1">
        <v>0</v>
      </c>
      <c r="CB50">
        <v>0</v>
      </c>
      <c r="CC50">
        <v>0</v>
      </c>
      <c r="CD50" s="378">
        <f t="shared" si="7"/>
        <v>0</v>
      </c>
      <c r="CE50" s="208">
        <f t="shared" si="4"/>
        <v>0</v>
      </c>
      <c r="CF50" s="208"/>
      <c r="CG50" s="208"/>
      <c r="CH50" s="208"/>
      <c r="CI50" s="208"/>
      <c r="CJ50" s="208"/>
      <c r="CK50" s="208"/>
      <c r="CL50" s="208"/>
      <c r="CM50" s="208"/>
      <c r="CN50" s="208"/>
      <c r="CO50" s="208"/>
      <c r="CP50" s="208"/>
      <c r="CQ50" s="208"/>
      <c r="CZ50" s="208"/>
      <c r="DA50" s="208"/>
      <c r="DB50" s="208"/>
    </row>
    <row r="51" spans="1:106" x14ac:dyDescent="0.35">
      <c r="A51" t="s">
        <v>516</v>
      </c>
      <c r="B51" t="s">
        <v>54</v>
      </c>
      <c r="C51" t="s">
        <v>768</v>
      </c>
      <c r="D51" t="str">
        <f>Material_Impacts[[#This Row],[15804 version]]&amp;Material_Impacts[[#This Row],[Methodology]]&amp;Material_Impacts[[#This Row],[Acronym]]</f>
        <v>A2AttributionalNHWD</v>
      </c>
      <c r="E51" t="s">
        <v>764</v>
      </c>
      <c r="F51" t="s">
        <v>765</v>
      </c>
      <c r="G51" s="1">
        <v>0</v>
      </c>
      <c r="H51" s="1">
        <v>0</v>
      </c>
      <c r="I51" s="1">
        <v>0</v>
      </c>
      <c r="J51" s="1">
        <v>0</v>
      </c>
      <c r="K51" s="1">
        <v>0</v>
      </c>
      <c r="L51" s="1">
        <v>0</v>
      </c>
      <c r="M51" s="1">
        <v>0</v>
      </c>
      <c r="N51" s="1"/>
      <c r="O51" s="443"/>
      <c r="P51" s="1">
        <v>0</v>
      </c>
      <c r="Q51" s="1">
        <v>0</v>
      </c>
      <c r="R51" s="1">
        <v>0</v>
      </c>
      <c r="S51" s="1">
        <v>0</v>
      </c>
      <c r="T51" s="1">
        <v>0</v>
      </c>
      <c r="U51" s="1">
        <v>0</v>
      </c>
      <c r="V51" s="1">
        <f ca="1">IFERROR('Dynamic Materials'!Q60+'Dynamic Materials'!AQ60, 0)</f>
        <v>1.2286007609406925E-4</v>
      </c>
      <c r="W51" s="1">
        <f ca="1">'Dynamic Materials'!R60</f>
        <v>1.2286007609406925E-4</v>
      </c>
      <c r="X51" s="1">
        <f ca="1">'Dynamic Materials'!T60</f>
        <v>1.2286007609406925E-4</v>
      </c>
      <c r="Y51" s="1">
        <f ca="1">IFERROR('Dynamic Materials'!U60+'Dynamic Materials'!AQ60, 0)</f>
        <v>1.2286007609406925E-4</v>
      </c>
      <c r="Z51" s="1">
        <f ca="1">IFERROR('Dynamic Materials'!S60+'Dynamic Materials'!AQ60, 0)</f>
        <v>1.2286007609406925E-4</v>
      </c>
      <c r="AA51" s="1">
        <f ca="1">'Dynamic Materials'!W60</f>
        <v>0</v>
      </c>
      <c r="AB51" s="1">
        <v>0</v>
      </c>
      <c r="AC51" s="1">
        <v>0</v>
      </c>
      <c r="AD51" s="209">
        <f>BZ51+200*Material_Impacts[[#This Row],[Truck (32+t)]]+1130*CB51</f>
        <v>0</v>
      </c>
      <c r="AE51" s="1">
        <v>0</v>
      </c>
      <c r="AF51" s="1">
        <v>0</v>
      </c>
      <c r="AG51" s="1"/>
      <c r="AH51" s="1">
        <v>0</v>
      </c>
      <c r="AI51" s="209">
        <f>'Dynamic Materials'!AG60</f>
        <v>0</v>
      </c>
      <c r="AJ51" s="1">
        <v>0</v>
      </c>
      <c r="AK51" s="1">
        <v>0</v>
      </c>
      <c r="AL51" s="1"/>
      <c r="AM51" s="1">
        <f t="shared" si="5"/>
        <v>0</v>
      </c>
      <c r="AN51" s="1">
        <v>0</v>
      </c>
      <c r="AO51" s="1">
        <v>0</v>
      </c>
      <c r="AP51" s="209">
        <v>0</v>
      </c>
      <c r="AQ51" s="1">
        <f ca="1">'Dynamic Materials'!O60</f>
        <v>0</v>
      </c>
      <c r="AR51" s="1">
        <f ca="1">'Dynamic Materials'!P60</f>
        <v>0</v>
      </c>
      <c r="AS51" s="1"/>
      <c r="AT51" s="1" cm="1">
        <f t="array" aca="1" ref="AT51" ca="1">IFERROR(INDEX(Electricity_projection,MATCH($B51&amp;$A51,INDEX(Electricity_projection,0,3),0),MATCH(YEAR(TODAY()),Timeline_elec_projec,0)+3)*INDEX(Recyc_mat_energy_input,MATCH(AT$1,'Data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51" s="1" cm="1">
        <f t="array" aca="1" ref="AU51" ca="1">IFERROR(INDEX(Electricity_projection,MATCH($B51&amp;$A51,INDEX(Electricity_projection,0,3),0),MATCH(YEAR(TODAY()),Timeline_elec_projec,0)+3)*INDEX(Recyc_mat_energy_input,MATCH(AU$1,'Data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51" s="1" cm="1">
        <f t="array" aca="1" ref="AV51" ca="1">IFERROR(INDEX(Electricity_projection,MATCH($B51&amp;$A51,INDEX(Electricity_projection,0,3),0),MATCH(YEAR(TODAY()),Timeline_elec_projec,0)+3)*INDEX(Recyc_mat_energy_input,MATCH(AV$1,'Data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51" s="1"/>
      <c r="AX51" s="1"/>
      <c r="AY51" s="1"/>
      <c r="AZ51" s="1"/>
      <c r="BA51" s="1"/>
      <c r="BB51" s="1"/>
      <c r="BC51" s="1">
        <f t="shared" si="6"/>
        <v>0</v>
      </c>
      <c r="BD51" s="1"/>
      <c r="BE51" s="1"/>
      <c r="BF51" s="1"/>
      <c r="BG51" s="1">
        <f ca="1">'Dynamic Materials'!V60</f>
        <v>0</v>
      </c>
      <c r="BH51" s="1"/>
      <c r="BI51" s="1" t="str" cm="1">
        <f t="array" aca="1" ref="BI51" ca="1">IFERROR(INDEX(Electricity_projection,MATCH($B51&amp;$A51,INDEX(Electricity_projection,0,3),0),MATCH(YEAR(TODAY()),Timeline_elec_projec,0)+3)*INDEX(Recyc_mat_energy_input,MATCH(BI$1,'Data Entry'!$B$91:$B$96,0),1)+Diesel_density*INDEX(Recyc_mat_energy_input,MATCH(BI$1,'Data Entry'!$B$91:$B$96,0),2)*INDEX(Indicators,ROW(),MATCH("Diesel Combustion",Materials!$1:$1,0)), "")</f>
        <v/>
      </c>
      <c r="BJ51" s="1"/>
      <c r="BK51" s="1" t="str" cm="1">
        <f t="array" aca="1" ref="BK51" ca="1">IFERROR(INDEX(Electricity_projection,MATCH($B51&amp;$A51,INDEX(Electricity_projection,0,3),0),MATCH(YEAR(TODAY()),Timeline_elec_projec,0)+3)*INDEX(Recyc_mat_energy_input,MATCH(BK$1,'Data Entry'!$B$91:$B$96,0),1)+Diesel_density*INDEX(Recyc_mat_energy_input,MATCH(BK$1,'Data Entry'!$B$91:$B$96,0),2)*INDEX(Indicators,ROW(),MATCH("Diesel Combustion",Materials!$1:$1,0)), "")</f>
        <v/>
      </c>
      <c r="BL51" s="1" t="str" cm="1">
        <f t="array" aca="1" ref="BL51" ca="1">IFERROR(INDEX(Electricity_projection,MATCH($B51&amp;$A51,INDEX(Electricity_projection,0,3),0),MATCH(YEAR(TODAY()),Timeline_elec_projec,0)+3)*INDEX(Recyc_mat_energy_input,MATCH(BL$1,'Data Entry'!$B$91:$B$96,0),1)+Diesel_density*INDEX(Recyc_mat_energy_input,MATCH(BL$1,'Data Entry'!$B$91:$B$96,0),2)*INDEX(Indicators,ROW(),MATCH("Diesel Combustion",Materials!$1:$1,0)), "")</f>
        <v/>
      </c>
      <c r="BM51" s="1"/>
      <c r="BN51" s="1">
        <f>IF(Steel_supplier="Pacific Steel",Material_Impacts[[#This Row],[Pacific Steel]],Material_Impacts[[#This Row],[Infrabuild]])</f>
        <v>0</v>
      </c>
      <c r="BO51" s="1"/>
      <c r="BP51" s="1">
        <v>0</v>
      </c>
      <c r="BQ51">
        <v>0</v>
      </c>
      <c r="BR51">
        <v>0</v>
      </c>
      <c r="BS51" s="443"/>
      <c r="BT51" s="443"/>
      <c r="BU51" s="443"/>
      <c r="BV51" s="443">
        <v>1</v>
      </c>
      <c r="BX51" s="1">
        <v>0</v>
      </c>
      <c r="BY51" s="1">
        <f t="shared" si="3"/>
        <v>0</v>
      </c>
      <c r="BZ51">
        <v>0</v>
      </c>
      <c r="CA51" s="1">
        <v>0</v>
      </c>
      <c r="CB51">
        <v>0</v>
      </c>
      <c r="CC51">
        <v>0</v>
      </c>
      <c r="CD51" s="378">
        <f t="shared" si="7"/>
        <v>0</v>
      </c>
      <c r="CE51" s="208">
        <f t="shared" si="4"/>
        <v>0</v>
      </c>
      <c r="CF51" s="208"/>
      <c r="CG51" s="208"/>
      <c r="CH51" s="208"/>
      <c r="CI51" s="208"/>
      <c r="CJ51" s="208"/>
      <c r="CK51" s="208"/>
      <c r="CL51" s="208"/>
      <c r="CM51" s="208"/>
      <c r="CN51" s="208"/>
      <c r="CO51" s="208"/>
      <c r="CP51" s="208"/>
      <c r="CQ51" s="208"/>
      <c r="CZ51" s="208"/>
      <c r="DA51" s="208"/>
      <c r="DB51" s="208"/>
    </row>
    <row r="52" spans="1:106" x14ac:dyDescent="0.35">
      <c r="A52" t="s">
        <v>518</v>
      </c>
      <c r="B52" t="s">
        <v>54</v>
      </c>
      <c r="C52" t="s">
        <v>768</v>
      </c>
      <c r="D52" t="str">
        <f>Material_Impacts[[#This Row],[15804 version]]&amp;Material_Impacts[[#This Row],[Methodology]]&amp;Material_Impacts[[#This Row],[Acronym]]</f>
        <v>A2AttributionalRWD</v>
      </c>
      <c r="E52" t="s">
        <v>766</v>
      </c>
      <c r="F52" t="s">
        <v>767</v>
      </c>
      <c r="G52" s="1">
        <v>0</v>
      </c>
      <c r="H52" s="1">
        <v>0</v>
      </c>
      <c r="I52" s="1">
        <v>0</v>
      </c>
      <c r="J52" s="1">
        <v>0</v>
      </c>
      <c r="K52" s="1">
        <v>0</v>
      </c>
      <c r="L52" s="1">
        <v>0</v>
      </c>
      <c r="M52" s="1">
        <v>0</v>
      </c>
      <c r="N52" s="1"/>
      <c r="O52" s="443"/>
      <c r="P52" s="1">
        <v>0</v>
      </c>
      <c r="Q52" s="1">
        <v>0</v>
      </c>
      <c r="R52" s="1">
        <v>0</v>
      </c>
      <c r="S52" s="1">
        <v>0</v>
      </c>
      <c r="T52" s="1">
        <v>0</v>
      </c>
      <c r="U52" s="1">
        <v>0</v>
      </c>
      <c r="V52" s="1">
        <f ca="1">IFERROR('Dynamic Materials'!Q61+'Dynamic Materials'!AQ61, 0)</f>
        <v>1.2286007609406925E-4</v>
      </c>
      <c r="W52" s="1">
        <f ca="1">'Dynamic Materials'!R61</f>
        <v>1.2286007609406925E-4</v>
      </c>
      <c r="X52" s="1">
        <f ca="1">'Dynamic Materials'!T61</f>
        <v>1.2286007609406925E-4</v>
      </c>
      <c r="Y52" s="1">
        <f ca="1">IFERROR('Dynamic Materials'!U61+'Dynamic Materials'!AQ61, 0)</f>
        <v>1.2286007609406925E-4</v>
      </c>
      <c r="Z52" s="1">
        <f ca="1">IFERROR('Dynamic Materials'!S61+'Dynamic Materials'!AQ61, 0)</f>
        <v>1.2286007609406925E-4</v>
      </c>
      <c r="AA52" s="1">
        <f ca="1">'Dynamic Materials'!W61</f>
        <v>0</v>
      </c>
      <c r="AB52" s="1">
        <v>0</v>
      </c>
      <c r="AC52" s="1">
        <v>0</v>
      </c>
      <c r="AD52" s="209">
        <f>BZ52+200*Material_Impacts[[#This Row],[Truck (32+t)]]+1130*CB52</f>
        <v>0</v>
      </c>
      <c r="AE52" s="1">
        <v>0</v>
      </c>
      <c r="AF52" s="1">
        <v>0</v>
      </c>
      <c r="AG52" s="1"/>
      <c r="AH52" s="1">
        <v>0</v>
      </c>
      <c r="AI52" s="209">
        <f>'Dynamic Materials'!AG61</f>
        <v>0</v>
      </c>
      <c r="AJ52" s="1">
        <v>0</v>
      </c>
      <c r="AK52" s="1">
        <v>0</v>
      </c>
      <c r="AL52" s="1"/>
      <c r="AM52" s="1">
        <f t="shared" si="5"/>
        <v>0</v>
      </c>
      <c r="AN52" s="1">
        <v>0</v>
      </c>
      <c r="AO52" s="1">
        <v>0</v>
      </c>
      <c r="AP52" s="209">
        <v>0</v>
      </c>
      <c r="AQ52" s="1">
        <f ca="1">'Dynamic Materials'!O61</f>
        <v>0</v>
      </c>
      <c r="AR52" s="1">
        <f ca="1">'Dynamic Materials'!P61</f>
        <v>0</v>
      </c>
      <c r="AS52" s="1"/>
      <c r="AT52" s="1" cm="1">
        <f t="array" aca="1" ref="AT52" ca="1">IFERROR(INDEX(Electricity_projection,MATCH($B52&amp;$A52,INDEX(Electricity_projection,0,3),0),MATCH(YEAR(TODAY()),Timeline_elec_projec,0)+3)*INDEX(Recyc_mat_energy_input,MATCH(AT$1,'Data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52" s="1" cm="1">
        <f t="array" aca="1" ref="AU52" ca="1">IFERROR(INDEX(Electricity_projection,MATCH($B52&amp;$A52,INDEX(Electricity_projection,0,3),0),MATCH(YEAR(TODAY()),Timeline_elec_projec,0)+3)*INDEX(Recyc_mat_energy_input,MATCH(AU$1,'Data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52" s="1" cm="1">
        <f t="array" aca="1" ref="AV52" ca="1">IFERROR(INDEX(Electricity_projection,MATCH($B52&amp;$A52,INDEX(Electricity_projection,0,3),0),MATCH(YEAR(TODAY()),Timeline_elec_projec,0)+3)*INDEX(Recyc_mat_energy_input,MATCH(AV$1,'Data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52" s="1"/>
      <c r="AX52" s="1"/>
      <c r="AY52" s="1"/>
      <c r="AZ52" s="1"/>
      <c r="BA52" s="1"/>
      <c r="BB52" s="1"/>
      <c r="BC52" s="1">
        <f t="shared" si="6"/>
        <v>0</v>
      </c>
      <c r="BD52" s="1"/>
      <c r="BE52" s="1"/>
      <c r="BF52" s="1"/>
      <c r="BG52" s="1">
        <f ca="1">'Dynamic Materials'!V61</f>
        <v>0</v>
      </c>
      <c r="BH52" s="1"/>
      <c r="BI52" s="1" t="str" cm="1">
        <f t="array" aca="1" ref="BI52" ca="1">IFERROR(INDEX(Electricity_projection,MATCH($B52&amp;$A52,INDEX(Electricity_projection,0,3),0),MATCH(YEAR(TODAY()),Timeline_elec_projec,0)+3)*INDEX(Recyc_mat_energy_input,MATCH(BI$1,'Data Entry'!$B$91:$B$96,0),1)+Diesel_density*INDEX(Recyc_mat_energy_input,MATCH(BI$1,'Data Entry'!$B$91:$B$96,0),2)*INDEX(Indicators,ROW(),MATCH("Diesel Combustion",Materials!$1:$1,0)), "")</f>
        <v/>
      </c>
      <c r="BJ52" s="1"/>
      <c r="BK52" s="1" t="str" cm="1">
        <f t="array" aca="1" ref="BK52" ca="1">IFERROR(INDEX(Electricity_projection,MATCH($B52&amp;$A52,INDEX(Electricity_projection,0,3),0),MATCH(YEAR(TODAY()),Timeline_elec_projec,0)+3)*INDEX(Recyc_mat_energy_input,MATCH(BK$1,'Data Entry'!$B$91:$B$96,0),1)+Diesel_density*INDEX(Recyc_mat_energy_input,MATCH(BK$1,'Data Entry'!$B$91:$B$96,0),2)*INDEX(Indicators,ROW(),MATCH("Diesel Combustion",Materials!$1:$1,0)), "")</f>
        <v/>
      </c>
      <c r="BL52" s="1" t="str" cm="1">
        <f t="array" aca="1" ref="BL52" ca="1">IFERROR(INDEX(Electricity_projection,MATCH($B52&amp;$A52,INDEX(Electricity_projection,0,3),0),MATCH(YEAR(TODAY()),Timeline_elec_projec,0)+3)*INDEX(Recyc_mat_energy_input,MATCH(BL$1,'Data Entry'!$B$91:$B$96,0),1)+Diesel_density*INDEX(Recyc_mat_energy_input,MATCH(BL$1,'Data Entry'!$B$91:$B$96,0),2)*INDEX(Indicators,ROW(),MATCH("Diesel Combustion",Materials!$1:$1,0)), "")</f>
        <v/>
      </c>
      <c r="BM52" s="1"/>
      <c r="BN52" s="1">
        <f>IF(Steel_supplier="Pacific Steel",Material_Impacts[[#This Row],[Pacific Steel]],Material_Impacts[[#This Row],[Infrabuild]])</f>
        <v>0</v>
      </c>
      <c r="BO52" s="1"/>
      <c r="BP52" s="1">
        <v>0</v>
      </c>
      <c r="BQ52">
        <v>0</v>
      </c>
      <c r="BR52">
        <v>0</v>
      </c>
      <c r="BS52" s="443"/>
      <c r="BT52" s="443"/>
      <c r="BU52" s="443"/>
      <c r="BV52" s="443">
        <v>1</v>
      </c>
      <c r="BX52" s="1">
        <v>0</v>
      </c>
      <c r="BY52" s="1">
        <f t="shared" si="3"/>
        <v>0</v>
      </c>
      <c r="BZ52">
        <v>0</v>
      </c>
      <c r="CA52" s="1">
        <v>0</v>
      </c>
      <c r="CB52">
        <v>0</v>
      </c>
      <c r="CC52">
        <v>0</v>
      </c>
      <c r="CD52" s="378">
        <f t="shared" si="7"/>
        <v>0</v>
      </c>
      <c r="CE52" s="208">
        <f t="shared" si="4"/>
        <v>0</v>
      </c>
      <c r="CF52" s="208"/>
      <c r="CG52" s="208"/>
      <c r="CH52" s="208"/>
      <c r="CI52" s="208"/>
      <c r="CJ52" s="208"/>
      <c r="CK52" s="208"/>
      <c r="CL52" s="208"/>
      <c r="CM52" s="208"/>
      <c r="CN52" s="208"/>
      <c r="CO52" s="208"/>
      <c r="CP52" s="208"/>
      <c r="CQ52" s="208"/>
      <c r="CZ52" s="208"/>
      <c r="DA52" s="208"/>
      <c r="DB52" s="208"/>
    </row>
    <row r="53" spans="1:106" x14ac:dyDescent="0.35">
      <c r="A53" t="s">
        <v>416</v>
      </c>
      <c r="B53" t="s">
        <v>54</v>
      </c>
      <c r="C53" t="s">
        <v>768</v>
      </c>
      <c r="D53" t="str">
        <f>Material_Impacts[[#This Row],[15804 version]]&amp;Material_Impacts[[#This Row],[Methodology]]&amp;Material_Impacts[[#This Row],[Acronym]]</f>
        <v>A2AttributionalTox_fw</v>
      </c>
      <c r="E53" t="s">
        <v>785</v>
      </c>
      <c r="F53" t="s">
        <v>415</v>
      </c>
      <c r="G53" s="1">
        <v>0.18393000000000001</v>
      </c>
      <c r="H53" s="1">
        <v>0.18393000000000001</v>
      </c>
      <c r="I53" s="1">
        <v>0.21117</v>
      </c>
      <c r="J53" s="1">
        <v>0.18393000000000001</v>
      </c>
      <c r="K53" s="1">
        <v>4.7606567519936098E-6</v>
      </c>
      <c r="L53" s="1">
        <v>1.152759101578401E-5</v>
      </c>
      <c r="M53" s="1">
        <v>4.0088477792232307E-6</v>
      </c>
      <c r="N53" s="1"/>
      <c r="O53" s="443"/>
      <c r="P53" s="1">
        <v>1.8699999999999999E-3</v>
      </c>
      <c r="Q53" s="1">
        <v>0</v>
      </c>
      <c r="R53" s="1">
        <v>0</v>
      </c>
      <c r="S53" s="1">
        <v>0</v>
      </c>
      <c r="T53" s="1">
        <v>0</v>
      </c>
      <c r="U53" s="1">
        <v>0</v>
      </c>
      <c r="V53" s="1">
        <f ca="1">IFERROR('Dynamic Materials'!Q62+'Dynamic Materials'!AQ62, 0)</f>
        <v>1.2077548738189897E-2</v>
      </c>
      <c r="W53" s="1">
        <f ca="1">'Dynamic Materials'!R62</f>
        <v>6.1991595270962624E-2</v>
      </c>
      <c r="X53" s="1">
        <f ca="1">'Dynamic Materials'!T62</f>
        <v>5.322002037323368E-2</v>
      </c>
      <c r="Y53" s="1">
        <f ca="1">IFERROR('Dynamic Materials'!U62+'Dynamic Materials'!AQ62, 0)</f>
        <v>8.7473276855568015E-3</v>
      </c>
      <c r="Z53" s="1">
        <f ca="1">IFERROR('Dynamic Materials'!S62+'Dynamic Materials'!AQ62, 0)</f>
        <v>1.0436551916571349E-2</v>
      </c>
      <c r="AA53" s="1">
        <f ca="1">'Dynamic Materials'!W62</f>
        <v>2.5938000000000001E-6</v>
      </c>
      <c r="AB53" s="1">
        <v>0.16653999999999999</v>
      </c>
      <c r="AC53" s="1">
        <v>0.63019000000000003</v>
      </c>
      <c r="AD53" s="209">
        <f>BZ53+200*Material_Impacts[[#This Row],[Truck (32+t)]]+1130*CB53</f>
        <v>0.16910076955584466</v>
      </c>
      <c r="AE53" s="1">
        <v>0.14707000000000001</v>
      </c>
      <c r="AF53" s="1">
        <v>6.7799999999999996E-3</v>
      </c>
      <c r="AG53" s="1"/>
      <c r="AH53" s="1">
        <v>0.29203000000000001</v>
      </c>
      <c r="AI53" s="209">
        <f>'Dynamic Materials'!AG62</f>
        <v>3.0213320000000001</v>
      </c>
      <c r="AJ53" s="1">
        <v>1.4499999999999999E-3</v>
      </c>
      <c r="AK53" s="1">
        <v>5.3899999999999998E-3</v>
      </c>
      <c r="AL53" s="1"/>
      <c r="AM53" s="1">
        <f t="shared" si="5"/>
        <v>0</v>
      </c>
      <c r="AN53" s="1">
        <v>2.7000000000000001E-3</v>
      </c>
      <c r="AO53" s="1">
        <v>6.4500000000000002E-2</v>
      </c>
      <c r="AP53" s="209">
        <v>7.8599999999999993E-6</v>
      </c>
      <c r="AQ53" s="1">
        <f ca="1">'Dynamic Materials'!O62</f>
        <v>1.031369184047728E-2</v>
      </c>
      <c r="AR53" s="1">
        <f ca="1">'Dynamic Materials'!P62</f>
        <v>0.26650212566712661</v>
      </c>
      <c r="AS53" s="1"/>
      <c r="AT53" s="1" cm="1">
        <f t="array" aca="1" ref="AT53" ca="1">IFERROR(INDEX(Electricity_projection,MATCH($B53&amp;$A53,INDEX(Electricity_projection,0,3),0),MATCH(YEAR(TODAY()),Timeline_elec_projec,0)+3)*INDEX(Recyc_mat_energy_input,MATCH(AT$1,'Data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1.7834645439000001E-4</v>
      </c>
      <c r="AU53" s="1" cm="1">
        <f t="array" aca="1" ref="AU53" ca="1">IFERROR(INDEX(Electricity_projection,MATCH($B53&amp;$A53,INDEX(Electricity_projection,0,3),0),MATCH(YEAR(TODAY()),Timeline_elec_projec,0)+3)*INDEX(Recyc_mat_energy_input,MATCH(AU$1,'Data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1.1055885156000001E-4</v>
      </c>
      <c r="AV53" s="1" cm="1">
        <f t="array" aca="1" ref="AV53" ca="1">IFERROR(INDEX(Electricity_projection,MATCH($B53&amp;$A53,INDEX(Electricity_projection,0,3),0),MATCH(YEAR(TODAY()),Timeline_elec_projec,0)+3)*INDEX(Recyc_mat_energy_input,MATCH(AV$1,'Data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5.7777930900000001E-5</v>
      </c>
      <c r="AW53" s="1"/>
      <c r="AX53" s="1"/>
      <c r="AY53" s="1"/>
      <c r="AZ53" s="1"/>
      <c r="BA53" s="1"/>
      <c r="BB53" s="1"/>
      <c r="BC53" s="1">
        <f t="shared" si="6"/>
        <v>0</v>
      </c>
      <c r="BD53" s="1"/>
      <c r="BE53" s="1"/>
      <c r="BF53" s="1"/>
      <c r="BG53" s="1">
        <f ca="1">'Dynamic Materials'!V62</f>
        <v>1.01907813375E-4</v>
      </c>
      <c r="BH53" s="1"/>
      <c r="BI53" s="1" t="str" cm="1">
        <f t="array" aca="1" ref="BI53" ca="1">IFERROR(INDEX(Electricity_projection,MATCH($B53&amp;$A53,INDEX(Electricity_projection,0,3),0),MATCH(YEAR(TODAY()),Timeline_elec_projec,0)+3)*INDEX(Recyc_mat_energy_input,MATCH(BI$1,'Data Entry'!$B$91:$B$96,0),1)+Diesel_density*INDEX(Recyc_mat_energy_input,MATCH(BI$1,'Data Entry'!$B$91:$B$96,0),2)*INDEX(Indicators,ROW(),MATCH("Diesel Combustion",Materials!$1:$1,0)), "")</f>
        <v/>
      </c>
      <c r="BJ53" s="1"/>
      <c r="BK53" s="1" t="str" cm="1">
        <f t="array" aca="1" ref="BK53" ca="1">IFERROR(INDEX(Electricity_projection,MATCH($B53&amp;$A53,INDEX(Electricity_projection,0,3),0),MATCH(YEAR(TODAY()),Timeline_elec_projec,0)+3)*INDEX(Recyc_mat_energy_input,MATCH(BK$1,'Data Entry'!$B$91:$B$96,0),1)+Diesel_density*INDEX(Recyc_mat_energy_input,MATCH(BK$1,'Data Entry'!$B$91:$B$96,0),2)*INDEX(Indicators,ROW(),MATCH("Diesel Combustion",Materials!$1:$1,0)), "")</f>
        <v/>
      </c>
      <c r="BL53" s="1" t="str" cm="1">
        <f t="array" aca="1" ref="BL53" ca="1">IFERROR(INDEX(Electricity_projection,MATCH($B53&amp;$A53,INDEX(Electricity_projection,0,3),0),MATCH(YEAR(TODAY()),Timeline_elec_projec,0)+3)*INDEX(Recyc_mat_energy_input,MATCH(BL$1,'Data Entry'!$B$91:$B$96,0),1)+Diesel_density*INDEX(Recyc_mat_energy_input,MATCH(BL$1,'Data Entry'!$B$91:$B$96,0),2)*INDEX(Indicators,ROW(),MATCH("Diesel Combustion",Materials!$1:$1,0)), "")</f>
        <v/>
      </c>
      <c r="BM53" s="1"/>
      <c r="BN53" s="1">
        <f>IF(Steel_supplier="Pacific Steel",Material_Impacts[[#This Row],[Pacific Steel]],Material_Impacts[[#This Row],[Infrabuild]])</f>
        <v>0</v>
      </c>
      <c r="BO53" s="1"/>
      <c r="BP53" s="1">
        <v>2.7949999999999997E-3</v>
      </c>
      <c r="BQ53">
        <v>0.21117</v>
      </c>
      <c r="BR53">
        <v>0.18393000000000001</v>
      </c>
      <c r="BS53" s="443"/>
      <c r="BT53" s="443"/>
      <c r="BU53" s="443"/>
      <c r="BV53" s="443">
        <v>1</v>
      </c>
      <c r="BX53" s="1">
        <v>2.5989999999999999E-2</v>
      </c>
      <c r="BY53" s="1">
        <f t="shared" si="3"/>
        <v>6.0127241179872763E-4</v>
      </c>
      <c r="BZ53">
        <v>0.16683000000000001</v>
      </c>
      <c r="CA53" s="1">
        <v>0</v>
      </c>
      <c r="CB53">
        <v>1.2999999999999998E-6</v>
      </c>
      <c r="CC53">
        <v>0.28938999999999998</v>
      </c>
      <c r="CD53" s="378">
        <f t="shared" si="7"/>
        <v>1.2531557999999998E-2</v>
      </c>
      <c r="CE53" s="208">
        <f t="shared" si="4"/>
        <v>0.30192155799999998</v>
      </c>
      <c r="CF53" s="208"/>
      <c r="CG53" s="208"/>
      <c r="CH53" s="208"/>
      <c r="CI53" s="208"/>
      <c r="CJ53" s="208"/>
      <c r="CK53" s="208"/>
      <c r="CL53" s="208"/>
      <c r="CM53" s="209"/>
      <c r="CN53" s="208"/>
      <c r="CO53" s="208"/>
      <c r="CP53" s="208"/>
      <c r="CQ53" s="208"/>
      <c r="CZ53" s="208"/>
      <c r="DA53" s="208"/>
      <c r="DB53" s="208"/>
    </row>
    <row r="54" spans="1:106" x14ac:dyDescent="0.35">
      <c r="A54" t="s">
        <v>419</v>
      </c>
      <c r="B54" t="s">
        <v>54</v>
      </c>
      <c r="C54" t="s">
        <v>768</v>
      </c>
      <c r="D54" t="str">
        <f>Material_Impacts[[#This Row],[15804 version]]&amp;Material_Impacts[[#This Row],[Methodology]]&amp;Material_Impacts[[#This Row],[Acronym]]</f>
        <v>A2AttributionalTox_canc</v>
      </c>
      <c r="E54" t="s">
        <v>786</v>
      </c>
      <c r="F54" t="s">
        <v>418</v>
      </c>
      <c r="G54" s="1">
        <v>1.665300570173909E-10</v>
      </c>
      <c r="H54" s="1">
        <v>1.6612424283356469E-10</v>
      </c>
      <c r="I54" s="1">
        <v>2.2404753640132422E-10</v>
      </c>
      <c r="J54" s="1">
        <v>1.665300570173909E-10</v>
      </c>
      <c r="K54" s="1">
        <v>4.3121416199111439E-15</v>
      </c>
      <c r="L54" s="1">
        <v>1.044250755024707E-14</v>
      </c>
      <c r="M54" s="1">
        <v>3.6308395978960288E-15</v>
      </c>
      <c r="N54" s="1"/>
      <c r="O54" s="443"/>
      <c r="P54" s="1">
        <v>9.6285099999999993E-12</v>
      </c>
      <c r="Q54" s="1">
        <v>0</v>
      </c>
      <c r="R54" s="1">
        <v>0</v>
      </c>
      <c r="S54" s="1">
        <v>0</v>
      </c>
      <c r="T54" s="1">
        <v>0</v>
      </c>
      <c r="U54" s="1">
        <v>0</v>
      </c>
      <c r="V54" s="1">
        <f ca="1">IFERROR('Dynamic Materials'!Q63+'Dynamic Materials'!AQ63, 0)</f>
        <v>1.2286008688143236E-4</v>
      </c>
      <c r="W54" s="1">
        <f ca="1">'Dynamic Materials'!R63</f>
        <v>1.2286010638186702E-4</v>
      </c>
      <c r="X54" s="1">
        <f ca="1">'Dynamic Materials'!T63</f>
        <v>1.2286010211846023E-4</v>
      </c>
      <c r="Y54" s="1">
        <f ca="1">IFERROR('Dynamic Materials'!U63+'Dynamic Materials'!AQ63, 0)</f>
        <v>1.2286008388009647E-4</v>
      </c>
      <c r="Z54" s="1">
        <f ca="1">IFERROR('Dynamic Materials'!S63+'Dynamic Materials'!AQ63, 0)</f>
        <v>1.2286008540380195E-4</v>
      </c>
      <c r="AA54" s="1">
        <f ca="1">'Dynamic Materials'!W63</f>
        <v>8.9760000000000007E-15</v>
      </c>
      <c r="AB54" s="1">
        <v>3.6014100000000002E-10</v>
      </c>
      <c r="AC54" s="1">
        <v>1.16025E-9</v>
      </c>
      <c r="AD54" s="209">
        <f>BZ54+200*Material_Impacts[[#This Row],[Truck (32+t)]]+1130*CB54</f>
        <v>1.5253804831957922E-10</v>
      </c>
      <c r="AE54" s="1">
        <v>1.06703E-10</v>
      </c>
      <c r="AF54" s="1">
        <v>1.8611400000000001E-11</v>
      </c>
      <c r="AG54" s="1"/>
      <c r="AH54" s="1">
        <v>5.0748899999999996E-10</v>
      </c>
      <c r="AI54" s="209">
        <f>'Dynamic Materials'!AG63</f>
        <v>1.2668486E-9</v>
      </c>
      <c r="AJ54" s="1">
        <v>8.3590299999999998E-12</v>
      </c>
      <c r="AK54" s="1">
        <v>2.0860500000000001E-11</v>
      </c>
      <c r="AL54" s="1"/>
      <c r="AM54" s="1">
        <f t="shared" si="5"/>
        <v>0</v>
      </c>
      <c r="AN54" s="1">
        <v>1.2968300000000001E-11</v>
      </c>
      <c r="AO54" s="1">
        <v>1.1750300000000001E-10</v>
      </c>
      <c r="AP54" s="209">
        <v>2.72E-14</v>
      </c>
      <c r="AQ54" s="1">
        <f ca="1">'Dynamic Materials'!O63</f>
        <v>9.3097327005955705E-12</v>
      </c>
      <c r="AR54" s="1">
        <f ca="1">'Dynamic Materials'!P63</f>
        <v>1.0781382380142083E-10</v>
      </c>
      <c r="AS54" s="1"/>
      <c r="AT54" s="1" cm="1">
        <f t="array" aca="1" ref="AT54" ca="1">IFERROR(INDEX(Electricity_projection,MATCH($B54&amp;$A54,INDEX(Electricity_projection,0,3),0),MATCH(YEAR(TODAY()),Timeline_elec_projec,0)+3)*INDEX(Recyc_mat_energy_input,MATCH(AT$1,'Data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1.6749978874555101E-13</v>
      </c>
      <c r="AU54" s="1" cm="1">
        <f t="array" aca="1" ref="AU54" ca="1">IFERROR(INDEX(Electricity_projection,MATCH($B54&amp;$A54,INDEX(Electricity_projection,0,3),0),MATCH(YEAR(TODAY()),Timeline_elec_projec,0)+3)*INDEX(Recyc_mat_energy_input,MATCH(AU$1,'Data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1.0009988503269753E-13</v>
      </c>
      <c r="AV54" s="1" cm="1">
        <f t="array" aca="1" ref="AV54" ca="1">IFERROR(INDEX(Electricity_projection,MATCH($B54&amp;$A54,INDEX(Electricity_projection,0,3),0),MATCH(YEAR(TODAY()),Timeline_elec_projec,0)+3)*INDEX(Recyc_mat_energy_input,MATCH(AV$1,'Data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5.2312086810872999E-14</v>
      </c>
      <c r="AW54" s="1"/>
      <c r="AX54" s="1"/>
      <c r="AY54" s="1"/>
      <c r="AZ54" s="1"/>
      <c r="BA54" s="1"/>
      <c r="BB54" s="1"/>
      <c r="BC54" s="1">
        <f t="shared" si="6"/>
        <v>0</v>
      </c>
      <c r="BD54" s="1"/>
      <c r="BE54" s="1"/>
      <c r="BF54" s="1"/>
      <c r="BG54" s="1">
        <f ca="1">'Dynamic Materials'!V63</f>
        <v>9.8292311734950098E-14</v>
      </c>
      <c r="BH54" s="1"/>
      <c r="BI54" s="1" t="str" cm="1">
        <f t="array" aca="1" ref="BI54" ca="1">IFERROR(INDEX(Electricity_projection,MATCH($B54&amp;$A54,INDEX(Electricity_projection,0,3),0),MATCH(YEAR(TODAY()),Timeline_elec_projec,0)+3)*INDEX(Recyc_mat_energy_input,MATCH(BI$1,'Data Entry'!$B$91:$B$96,0),1)+Diesel_density*INDEX(Recyc_mat_energy_input,MATCH(BI$1,'Data Entry'!$B$91:$B$96,0),2)*INDEX(Indicators,ROW(),MATCH("Diesel Combustion",Materials!$1:$1,0)), "")</f>
        <v/>
      </c>
      <c r="BJ54" s="1"/>
      <c r="BK54" s="1" t="str" cm="1">
        <f t="array" aca="1" ref="BK54" ca="1">IFERROR(INDEX(Electricity_projection,MATCH($B54&amp;$A54,INDEX(Electricity_projection,0,3),0),MATCH(YEAR(TODAY()),Timeline_elec_projec,0)+3)*INDEX(Recyc_mat_energy_input,MATCH(BK$1,'Data Entry'!$B$91:$B$96,0),1)+Diesel_density*INDEX(Recyc_mat_energy_input,MATCH(BK$1,'Data Entry'!$B$91:$B$96,0),2)*INDEX(Indicators,ROW(),MATCH("Diesel Combustion",Materials!$1:$1,0)), "")</f>
        <v/>
      </c>
      <c r="BL54" s="1" t="str" cm="1">
        <f t="array" aca="1" ref="BL54" ca="1">IFERROR(INDEX(Electricity_projection,MATCH($B54&amp;$A54,INDEX(Electricity_projection,0,3),0),MATCH(YEAR(TODAY()),Timeline_elec_projec,0)+3)*INDEX(Recyc_mat_energy_input,MATCH(BL$1,'Data Entry'!$B$91:$B$96,0),1)+Diesel_density*INDEX(Recyc_mat_energy_input,MATCH(BL$1,'Data Entry'!$B$91:$B$96,0),2)*INDEX(Indicators,ROW(),MATCH("Diesel Combustion",Materials!$1:$1,0)), "")</f>
        <v/>
      </c>
      <c r="BM54" s="1"/>
      <c r="BN54" s="1">
        <f>IF(Steel_supplier="Pacific Steel",Material_Impacts[[#This Row],[Pacific Steel]],Material_Impacts[[#This Row],[Infrabuild]])</f>
        <v>0</v>
      </c>
      <c r="BO54" s="1"/>
      <c r="BP54" s="1">
        <v>1.0928622000000001E-11</v>
      </c>
      <c r="BQ54" s="1">
        <v>2.2022599999999999E-10</v>
      </c>
      <c r="BR54" s="1">
        <v>1.6586099999999999E-10</v>
      </c>
      <c r="BS54" s="443"/>
      <c r="BT54" s="443"/>
      <c r="BU54" s="443"/>
      <c r="BV54" s="443">
        <v>1</v>
      </c>
      <c r="BW54" s="1"/>
      <c r="BX54" s="1">
        <v>5.7427699999999999E-11</v>
      </c>
      <c r="BY54" s="1">
        <f t="shared" si="3"/>
        <v>1.3285760555234239E-12</v>
      </c>
      <c r="BZ54" s="1">
        <v>1.46068E-10</v>
      </c>
      <c r="CA54" s="1">
        <v>0</v>
      </c>
      <c r="CB54">
        <v>5.0830800000000005E-15</v>
      </c>
      <c r="CC54" s="1">
        <v>5.0978099999999998E-10</v>
      </c>
      <c r="CD54" s="378">
        <f t="shared" si="7"/>
        <v>4.8999162952800002E-11</v>
      </c>
      <c r="CE54" s="208">
        <f t="shared" si="4"/>
        <v>5.5878016295279997E-10</v>
      </c>
      <c r="CF54" s="208"/>
      <c r="CG54" s="208"/>
      <c r="CH54" s="208"/>
      <c r="CI54" s="208"/>
      <c r="CJ54" s="208"/>
      <c r="CK54" s="209"/>
      <c r="CL54" s="209"/>
      <c r="CM54" s="209"/>
      <c r="CN54" s="208"/>
      <c r="CO54" s="208"/>
      <c r="CP54" s="208"/>
      <c r="CQ54" s="208"/>
      <c r="CZ54" s="208"/>
      <c r="DA54" s="208"/>
      <c r="DB54" s="208"/>
    </row>
    <row r="55" spans="1:106" x14ac:dyDescent="0.35">
      <c r="A55" t="s">
        <v>421</v>
      </c>
      <c r="B55" t="s">
        <v>54</v>
      </c>
      <c r="C55" t="s">
        <v>768</v>
      </c>
      <c r="D55" t="str">
        <f>Material_Impacts[[#This Row],[15804 version]]&amp;Material_Impacts[[#This Row],[Methodology]]&amp;Material_Impacts[[#This Row],[Acronym]]</f>
        <v>A2AttributionalTox_non_canc</v>
      </c>
      <c r="E55" t="s">
        <v>787</v>
      </c>
      <c r="F55" t="s">
        <v>418</v>
      </c>
      <c r="G55" s="1">
        <v>7.0309221865960686E-9</v>
      </c>
      <c r="H55" s="1">
        <v>1.293698932388628E-8</v>
      </c>
      <c r="I55" s="1">
        <v>1.8660828917854598E-8</v>
      </c>
      <c r="J55" s="1">
        <v>7.0309221865960686E-9</v>
      </c>
      <c r="K55" s="1">
        <v>2.5147004944393078E-13</v>
      </c>
      <c r="L55" s="1">
        <v>5.8183703118416026E-13</v>
      </c>
      <c r="M55" s="1">
        <v>2.0875564418946698E-13</v>
      </c>
      <c r="N55" s="1"/>
      <c r="O55" s="443"/>
      <c r="P55" s="1">
        <v>5.8168899999999998E-10</v>
      </c>
      <c r="Q55" s="1">
        <v>0</v>
      </c>
      <c r="R55" s="1">
        <v>0</v>
      </c>
      <c r="S55" s="1">
        <v>0</v>
      </c>
      <c r="T55" s="1">
        <v>0</v>
      </c>
      <c r="U55" s="1">
        <v>0</v>
      </c>
      <c r="V55" s="1">
        <f ca="1">IFERROR('Dynamic Materials'!Q64+'Dynamic Materials'!AQ64, 0)</f>
        <v>1.2286049153907049E-4</v>
      </c>
      <c r="W55" s="1">
        <f ca="1">'Dynamic Materials'!R64</f>
        <v>1.2286082616489867E-4</v>
      </c>
      <c r="X55" s="1">
        <f ca="1">'Dynamic Materials'!T64</f>
        <v>1.2286072193462113E-4</v>
      </c>
      <c r="Y55" s="1">
        <f ca="1">IFERROR('Dynamic Materials'!U64+'Dynamic Materials'!AQ64, 0)</f>
        <v>1.2286037653880515E-4</v>
      </c>
      <c r="Z55" s="1">
        <f ca="1">IFERROR('Dynamic Materials'!S64+'Dynamic Materials'!AQ64, 0)</f>
        <v>1.2286043511248272E-4</v>
      </c>
      <c r="AA55" s="1">
        <f ca="1">'Dynamic Materials'!W64</f>
        <v>9.3390000000000009E-13</v>
      </c>
      <c r="AB55" s="1">
        <v>1.1112000000000001E-8</v>
      </c>
      <c r="AC55" s="1">
        <v>6.8430499999999999E-8</v>
      </c>
      <c r="AD55" s="209">
        <f>BZ55+200*Material_Impacts[[#This Row],[Truck (32+t)]]+1130*CB55</f>
        <v>5.8649441048378935E-9</v>
      </c>
      <c r="AE55" s="1">
        <v>4.2868300000000002E-9</v>
      </c>
      <c r="AF55" s="1">
        <v>7.9451400000000001E-10</v>
      </c>
      <c r="AG55" s="1"/>
      <c r="AH55" s="1">
        <v>3.1438799999999997E-8</v>
      </c>
      <c r="AI55" s="209">
        <f>'Dynamic Materials'!AG64</f>
        <v>2.4986420000000004E-8</v>
      </c>
      <c r="AJ55" s="1">
        <v>4.94729E-10</v>
      </c>
      <c r="AK55" s="1">
        <v>9.61387E-10</v>
      </c>
      <c r="AL55" s="1"/>
      <c r="AM55" s="1">
        <f t="shared" si="5"/>
        <v>0</v>
      </c>
      <c r="AN55" s="1">
        <v>7.8825199999999996E-10</v>
      </c>
      <c r="AO55" s="1">
        <v>7.3479299999999999E-9</v>
      </c>
      <c r="AP55" s="209">
        <v>2.8299999999999999E-12</v>
      </c>
      <c r="AQ55" s="1">
        <f ca="1">'Dynamic Materials'!O64</f>
        <v>3.5901841346605827E-10</v>
      </c>
      <c r="AR55" s="1">
        <f ca="1">'Dynamic Materials'!P64</f>
        <v>1.9732995671757843E-9</v>
      </c>
      <c r="AS55" s="1"/>
      <c r="AT55" s="1" cm="1">
        <f t="array" aca="1" ref="AT55" ca="1">IFERROR(INDEX(Electricity_projection,MATCH($B55&amp;$A55,INDEX(Electricity_projection,0,3),0),MATCH(YEAR(TODAY()),Timeline_elec_projec,0)+3)*INDEX(Recyc_mat_energy_input,MATCH(AT$1,'Data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7.5763480593454104E-12</v>
      </c>
      <c r="AU55" s="1" cm="1">
        <f t="array" aca="1" ref="AU55" ca="1">IFERROR(INDEX(Electricity_projection,MATCH($B55&amp;$A55,INDEX(Electricity_projection,0,3),0),MATCH(YEAR(TODAY()),Timeline_elec_projec,0)+3)*INDEX(Recyc_mat_energy_input,MATCH(AU$1,'Data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4.2262310789854039E-12</v>
      </c>
      <c r="AV55" s="1" cm="1">
        <f t="array" aca="1" ref="AV55" ca="1">IFERROR(INDEX(Electricity_projection,MATCH($B55&amp;$A55,INDEX(Electricity_projection,0,3),0),MATCH(YEAR(TODAY()),Timeline_elec_projec,0)+3)*INDEX(Recyc_mat_energy_input,MATCH(AV$1,'Data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2.2086235864754229E-12</v>
      </c>
      <c r="AW55" s="1"/>
      <c r="AX55" s="1"/>
      <c r="AY55" s="1"/>
      <c r="AZ55" s="1"/>
      <c r="BA55" s="1"/>
      <c r="BB55" s="1"/>
      <c r="BC55" s="1">
        <f t="shared" si="6"/>
        <v>0</v>
      </c>
      <c r="BD55" s="1"/>
      <c r="BE55" s="1"/>
      <c r="BF55" s="1"/>
      <c r="BG55" s="1">
        <f ca="1">'Dynamic Materials'!V64</f>
        <v>4.6543987469677895E-12</v>
      </c>
      <c r="BH55" s="1"/>
      <c r="BI55" s="1" t="str" cm="1">
        <f t="array" aca="1" ref="BI55" ca="1">IFERROR(INDEX(Electricity_projection,MATCH($B55&amp;$A55,INDEX(Electricity_projection,0,3),0),MATCH(YEAR(TODAY()),Timeline_elec_projec,0)+3)*INDEX(Recyc_mat_energy_input,MATCH(BI$1,'Data Entry'!$B$91:$B$96,0),1)+Diesel_density*INDEX(Recyc_mat_energy_input,MATCH(BI$1,'Data Entry'!$B$91:$B$96,0),2)*INDEX(Indicators,ROW(),MATCH("Diesel Combustion",Materials!$1:$1,0)), "")</f>
        <v/>
      </c>
      <c r="BJ55" s="1"/>
      <c r="BK55" s="1" t="str" cm="1">
        <f t="array" aca="1" ref="BK55" ca="1">IFERROR(INDEX(Electricity_projection,MATCH($B55&amp;$A55,INDEX(Electricity_projection,0,3),0),MATCH(YEAR(TODAY()),Timeline_elec_projec,0)+3)*INDEX(Recyc_mat_energy_input,MATCH(BK$1,'Data Entry'!$B$91:$B$96,0),1)+Diesel_density*INDEX(Recyc_mat_energy_input,MATCH(BK$1,'Data Entry'!$B$91:$B$96,0),2)*INDEX(Indicators,ROW(),MATCH("Diesel Combustion",Materials!$1:$1,0)), "")</f>
        <v/>
      </c>
      <c r="BL55" s="1" t="str" cm="1">
        <f t="array" aca="1" ref="BL55" ca="1">IFERROR(INDEX(Electricity_projection,MATCH($B55&amp;$A55,INDEX(Electricity_projection,0,3),0),MATCH(YEAR(TODAY()),Timeline_elec_projec,0)+3)*INDEX(Recyc_mat_energy_input,MATCH(BL$1,'Data Entry'!$B$91:$B$96,0),1)+Diesel_density*INDEX(Recyc_mat_energy_input,MATCH(BL$1,'Data Entry'!$B$91:$B$96,0),2)*INDEX(Indicators,ROW(),MATCH("Diesel Combustion",Materials!$1:$1,0)), "")</f>
        <v/>
      </c>
      <c r="BM55" s="1"/>
      <c r="BN55" s="1">
        <f>IF(Steel_supplier="Pacific Steel",Material_Impacts[[#This Row],[Pacific Steel]],Material_Impacts[[#This Row],[Infrabuild]])</f>
        <v>0</v>
      </c>
      <c r="BO55" s="1"/>
      <c r="BP55" s="1">
        <v>1.5410168E-10</v>
      </c>
      <c r="BQ55" s="1">
        <v>8.0007200000000001E-9</v>
      </c>
      <c r="BR55" s="1">
        <v>6.5131200000000004E-9</v>
      </c>
      <c r="BS55" s="443"/>
      <c r="BT55" s="443"/>
      <c r="BU55" s="443"/>
      <c r="BV55" s="443">
        <v>1</v>
      </c>
      <c r="BW55" s="1"/>
      <c r="BX55" s="1">
        <v>2.7889899999999999E-9</v>
      </c>
      <c r="BY55" s="1">
        <f t="shared" si="3"/>
        <v>6.4522614227877386E-11</v>
      </c>
      <c r="BZ55" s="1">
        <v>5.7422000000000003E-9</v>
      </c>
      <c r="CA55" s="1">
        <v>0</v>
      </c>
      <c r="CB55">
        <v>7.1675199999999997E-14</v>
      </c>
      <c r="CC55" s="1">
        <v>3.1981500000000001E-8</v>
      </c>
      <c r="CD55" s="378">
        <f t="shared" si="7"/>
        <v>6.9092455843199992E-10</v>
      </c>
      <c r="CE55" s="208">
        <f t="shared" si="4"/>
        <v>3.2672424558432E-8</v>
      </c>
      <c r="CF55" s="208"/>
      <c r="CG55" s="208"/>
      <c r="CH55" s="208"/>
      <c r="CI55" s="208"/>
      <c r="CJ55" s="208"/>
      <c r="CK55" s="209"/>
      <c r="CL55" s="209"/>
      <c r="CM55" s="209"/>
      <c r="CN55" s="208"/>
      <c r="CO55" s="208"/>
      <c r="CP55" s="208"/>
      <c r="CQ55" s="208"/>
      <c r="CZ55" s="208"/>
      <c r="DA55" s="208"/>
      <c r="DB55" s="208"/>
    </row>
    <row r="56" spans="1:106" x14ac:dyDescent="0.35">
      <c r="A56" t="s">
        <v>553</v>
      </c>
      <c r="B56" t="s">
        <v>54</v>
      </c>
      <c r="C56" t="s">
        <v>768</v>
      </c>
      <c r="D56" t="str">
        <f>Material_Impacts[[#This Row],[15804 version]]&amp;Material_Impacts[[#This Row],[Methodology]]&amp;Material_Impacts[[#This Row],[Acronym]]</f>
        <v>A2AttributionalIR</v>
      </c>
      <c r="E56" t="s">
        <v>788</v>
      </c>
      <c r="F56" t="s">
        <v>789</v>
      </c>
      <c r="G56" s="1">
        <v>0.22295000000000001</v>
      </c>
      <c r="H56" s="1">
        <v>0.22295000000000001</v>
      </c>
      <c r="I56" s="1">
        <v>0.22528000000000001</v>
      </c>
      <c r="J56" s="1">
        <v>0.22295000000000001</v>
      </c>
      <c r="K56" s="1">
        <v>5.7706106826345631E-6</v>
      </c>
      <c r="L56" s="1">
        <v>1.3973122475773638E-5</v>
      </c>
      <c r="M56" s="1">
        <v>4.8593084998522225E-6</v>
      </c>
      <c r="N56" s="1"/>
      <c r="O56" s="443"/>
      <c r="P56" s="1">
        <v>8.9999999999999998E-4</v>
      </c>
      <c r="Q56" s="1">
        <v>0</v>
      </c>
      <c r="R56" s="1">
        <v>0</v>
      </c>
      <c r="S56" s="1">
        <v>0</v>
      </c>
      <c r="T56" s="1">
        <v>0</v>
      </c>
      <c r="U56" s="1">
        <v>0</v>
      </c>
      <c r="V56" s="1">
        <f ca="1">IFERROR('Dynamic Materials'!Q65+'Dynamic Materials'!AQ65, 0)</f>
        <v>1.4833040063052501E-2</v>
      </c>
      <c r="W56" s="1">
        <f ca="1">'Dynamic Materials'!R65</f>
        <v>1.4607458733303018E-2</v>
      </c>
      <c r="X56" s="1">
        <f ca="1">'Dynamic Materials'!T65</f>
        <v>1.2631092619171738E-2</v>
      </c>
      <c r="Y56" s="1">
        <f ca="1">IFERROR('Dynamic Materials'!U65+'Dynamic Materials'!AQ65, 0)</f>
        <v>1.0747620664550091E-2</v>
      </c>
      <c r="Z56" s="1">
        <f ca="1">IFERROR('Dynamic Materials'!S65+'Dynamic Materials'!AQ65, 0)</f>
        <v>1.2824448044671295E-2</v>
      </c>
      <c r="AA56" s="1">
        <f ca="1">'Dynamic Materials'!W65</f>
        <v>3.0030000000000002E-5</v>
      </c>
      <c r="AB56" s="1">
        <v>0.11888</v>
      </c>
      <c r="AC56" s="1">
        <v>2.9170000000000001E-2</v>
      </c>
      <c r="AD56" s="209">
        <f>BZ56+200*Material_Impacts[[#This Row],[Truck (32+t)]]+1130*CB56</f>
        <v>0.20792336169997044</v>
      </c>
      <c r="AE56" s="1">
        <v>0.13900000000000001</v>
      </c>
      <c r="AF56" s="1">
        <v>4.2500000000000003E-3</v>
      </c>
      <c r="AG56" s="1"/>
      <c r="AH56" s="1">
        <v>0.15903</v>
      </c>
      <c r="AI56" s="209">
        <f>'Dynamic Materials'!AG65</f>
        <v>0.19503300000000001</v>
      </c>
      <c r="AJ56" s="1">
        <v>2.0600000000000002E-3</v>
      </c>
      <c r="AK56" s="1">
        <v>6.6E-4</v>
      </c>
      <c r="AL56" s="1"/>
      <c r="AM56" s="1">
        <f t="shared" si="5"/>
        <v>0</v>
      </c>
      <c r="AN56" s="1">
        <v>2.2899999999999999E-3</v>
      </c>
      <c r="AO56" s="1">
        <v>3.5790000000000002E-2</v>
      </c>
      <c r="AP56" s="209">
        <v>9.1000000000000003E-5</v>
      </c>
      <c r="AQ56" s="1">
        <f ca="1">'Dynamic Materials'!O65</f>
        <v>1.2701587968577226E-2</v>
      </c>
      <c r="AR56" s="1">
        <f ca="1">'Dynamic Materials'!P65</f>
        <v>1.1474356266578998E-2</v>
      </c>
      <c r="AS56" s="1"/>
      <c r="AT56" s="1" cm="1">
        <f t="array" aca="1" ref="AT56" ca="1">IFERROR(INDEX(Electricity_projection,MATCH($B56&amp;$A56,INDEX(Electricity_projection,0,3),0),MATCH(YEAR(TODAY()),Timeline_elec_projec,0)+3)*INDEX(Recyc_mat_energy_input,MATCH(AT$1,'Data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2.4062368785000002E-4</v>
      </c>
      <c r="AU56" s="1" cm="1">
        <f t="array" aca="1" ref="AU56" ca="1">IFERROR(INDEX(Electricity_projection,MATCH($B56&amp;$A56,INDEX(Electricity_projection,0,3),0),MATCH(YEAR(TODAY()),Timeline_elec_projec,0)+3)*INDEX(Recyc_mat_energy_input,MATCH(AU$1,'Data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1.3401346140000001E-4</v>
      </c>
      <c r="AV56" s="1" cm="1">
        <f t="array" aca="1" ref="AV56" ca="1">IFERROR(INDEX(Electricity_projection,MATCH($B56&amp;$A56,INDEX(Electricity_projection,0,3),0),MATCH(YEAR(TODAY()),Timeline_elec_projec,0)+3)*INDEX(Recyc_mat_energy_input,MATCH(AV$1,'Data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7.0035283499999995E-5</v>
      </c>
      <c r="AW56" s="1"/>
      <c r="AX56" s="1"/>
      <c r="AY56" s="1"/>
      <c r="AZ56" s="1"/>
      <c r="BA56" s="1"/>
      <c r="BB56" s="1"/>
      <c r="BC56" s="1">
        <f t="shared" si="6"/>
        <v>0</v>
      </c>
      <c r="BD56" s="1"/>
      <c r="BE56" s="1"/>
      <c r="BF56" s="1"/>
      <c r="BG56" s="1">
        <f ca="1">'Dynamic Materials'!V65</f>
        <v>1.4796890062500001E-4</v>
      </c>
      <c r="BH56" s="1"/>
      <c r="BI56" s="1" t="str" cm="1">
        <f t="array" aca="1" ref="BI56" ca="1">IFERROR(INDEX(Electricity_projection,MATCH($B56&amp;$A56,INDEX(Electricity_projection,0,3),0),MATCH(YEAR(TODAY()),Timeline_elec_projec,0)+3)*INDEX(Recyc_mat_energy_input,MATCH(BI$1,'Data Entry'!$B$91:$B$96,0),1)+Diesel_density*INDEX(Recyc_mat_energy_input,MATCH(BI$1,'Data Entry'!$B$91:$B$96,0),2)*INDEX(Indicators,ROW(),MATCH("Diesel Combustion",Materials!$1:$1,0)), "")</f>
        <v/>
      </c>
      <c r="BJ56" s="1"/>
      <c r="BK56" s="1" t="str" cm="1">
        <f t="array" aca="1" ref="BK56" ca="1">IFERROR(INDEX(Electricity_projection,MATCH($B56&amp;$A56,INDEX(Electricity_projection,0,3),0),MATCH(YEAR(TODAY()),Timeline_elec_projec,0)+3)*INDEX(Recyc_mat_energy_input,MATCH(BK$1,'Data Entry'!$B$91:$B$96,0),1)+Diesel_density*INDEX(Recyc_mat_energy_input,MATCH(BK$1,'Data Entry'!$B$91:$B$96,0),2)*INDEX(Indicators,ROW(),MATCH("Diesel Combustion",Materials!$1:$1,0)), "")</f>
        <v/>
      </c>
      <c r="BL56" s="1" t="str" cm="1">
        <f t="array" aca="1" ref="BL56" ca="1">IFERROR(INDEX(Electricity_projection,MATCH($B56&amp;$A56,INDEX(Electricity_projection,0,3),0),MATCH(YEAR(TODAY()),Timeline_elec_projec,0)+3)*INDEX(Recyc_mat_energy_input,MATCH(BL$1,'Data Entry'!$B$91:$B$96,0),1)+Diesel_density*INDEX(Recyc_mat_energy_input,MATCH(BL$1,'Data Entry'!$B$91:$B$96,0),2)*INDEX(Indicators,ROW(),MATCH("Diesel Combustion",Materials!$1:$1,0)), "")</f>
        <v/>
      </c>
      <c r="BM56" s="1"/>
      <c r="BN56" s="1">
        <f>IF(Steel_supplier="Pacific Steel",Material_Impacts[[#This Row],[Pacific Steel]],Material_Impacts[[#This Row],[Infrabuild]])</f>
        <v>0</v>
      </c>
      <c r="BO56" s="1"/>
      <c r="BP56" s="1">
        <v>1.1825E-3</v>
      </c>
      <c r="BQ56">
        <v>0.22528000000000001</v>
      </c>
      <c r="BR56">
        <v>0.22295000000000001</v>
      </c>
      <c r="BS56" s="443"/>
      <c r="BT56" s="443"/>
      <c r="BU56" s="443"/>
      <c r="BV56" s="443">
        <v>1</v>
      </c>
      <c r="BX56" s="1">
        <v>1.481E-2</v>
      </c>
      <c r="BY56" s="1">
        <f t="shared" si="3"/>
        <v>3.4262579525737427E-4</v>
      </c>
      <c r="BZ56">
        <v>0.20633000000000001</v>
      </c>
      <c r="CA56" s="1">
        <v>0</v>
      </c>
      <c r="CB56">
        <v>5.5000000000000003E-7</v>
      </c>
      <c r="CC56">
        <v>0.15587999999999999</v>
      </c>
      <c r="CD56" s="378">
        <f t="shared" si="7"/>
        <v>5.3018129999999998E-3</v>
      </c>
      <c r="CE56" s="208">
        <f t="shared" si="4"/>
        <v>0.16118181299999998</v>
      </c>
      <c r="CF56" s="208"/>
      <c r="CG56" s="208"/>
      <c r="CH56" s="208"/>
      <c r="CI56" s="208"/>
      <c r="CJ56" s="208"/>
      <c r="CK56" s="208"/>
      <c r="CL56" s="208"/>
      <c r="CM56" s="209"/>
      <c r="CN56" s="208"/>
      <c r="CO56" s="208"/>
      <c r="CP56" s="208"/>
      <c r="CQ56" s="208"/>
      <c r="CZ56" s="208"/>
      <c r="DA56" s="208"/>
      <c r="DB56" s="208"/>
    </row>
    <row r="57" spans="1:106" x14ac:dyDescent="0.35">
      <c r="A57" t="s">
        <v>424</v>
      </c>
      <c r="B57" t="s">
        <v>54</v>
      </c>
      <c r="C57" t="s">
        <v>768</v>
      </c>
      <c r="D57" t="str">
        <f>Material_Impacts[[#This Row],[15804 version]]&amp;Material_Impacts[[#This Row],[Methodology]]&amp;Material_Impacts[[#This Row],[Acronym]]</f>
        <v>A2AttributionalLU</v>
      </c>
      <c r="E57" t="s">
        <v>790</v>
      </c>
      <c r="F57" t="s">
        <v>423</v>
      </c>
      <c r="G57" s="1">
        <v>0.45626</v>
      </c>
      <c r="H57" s="1">
        <v>0.45626</v>
      </c>
      <c r="I57" s="1">
        <v>0.47544999999999998</v>
      </c>
      <c r="J57" s="1">
        <v>0.45626</v>
      </c>
      <c r="K57" s="1">
        <v>1.1809369051620749E-5</v>
      </c>
      <c r="L57" s="1">
        <v>2.8595545462195468E-5</v>
      </c>
      <c r="M57" s="1">
        <v>9.9444184621779543E-6</v>
      </c>
      <c r="N57" s="1"/>
      <c r="O57" s="443"/>
      <c r="P57" s="1">
        <v>1.6049999999999998E-2</v>
      </c>
      <c r="Q57" s="1">
        <v>0</v>
      </c>
      <c r="R57" s="1">
        <v>0</v>
      </c>
      <c r="S57" s="1">
        <v>0</v>
      </c>
      <c r="T57" s="1">
        <v>0</v>
      </c>
      <c r="U57" s="1">
        <v>0</v>
      </c>
      <c r="V57" s="1">
        <f ca="1">IFERROR('Dynamic Materials'!Q66+'Dynamic Materials'!AQ66, 0)</f>
        <v>2.9672361848933966E-2</v>
      </c>
      <c r="W57" s="1">
        <f ca="1">'Dynamic Materials'!R66</f>
        <v>4.3966113634316344E-2</v>
      </c>
      <c r="X57" s="1">
        <f ca="1">'Dynamic Materials'!T66</f>
        <v>3.7871800600514878E-2</v>
      </c>
      <c r="Y57" s="1">
        <f ca="1">IFERROR('Dynamic Materials'!U66+'Dynamic Materials'!AQ66, 0)</f>
        <v>2.1445342819596851E-2</v>
      </c>
      <c r="Z57" s="1">
        <f ca="1">IFERROR('Dynamic Materials'!S66+'Dynamic Materials'!AQ66, 0)</f>
        <v>2.5620013355901406E-2</v>
      </c>
      <c r="AA57" s="1">
        <f ca="1">'Dynamic Materials'!W66</f>
        <v>1.3827000000000002E-5</v>
      </c>
      <c r="AB57" s="1">
        <v>0.63468000000000002</v>
      </c>
      <c r="AC57" s="1">
        <v>2.45722</v>
      </c>
      <c r="AD57" s="209">
        <f>BZ57+200*Material_Impacts[[#This Row],[Truck (32+t)]]+1130*CB57</f>
        <v>0.41791618369243561</v>
      </c>
      <c r="AE57" s="1">
        <v>0.48784</v>
      </c>
      <c r="AF57" s="1">
        <v>0.16356000000000001</v>
      </c>
      <c r="AG57" s="1"/>
      <c r="AH57" s="1">
        <v>1.3724499999999999</v>
      </c>
      <c r="AI57" s="209">
        <f>'Dynamic Materials'!AG66</f>
        <v>1.234702</v>
      </c>
      <c r="AJ57" s="1">
        <v>0.10688</v>
      </c>
      <c r="AK57" s="1">
        <v>0.33418999999999999</v>
      </c>
      <c r="AL57" s="1"/>
      <c r="AM57" s="1">
        <f t="shared" si="5"/>
        <v>0</v>
      </c>
      <c r="AN57" s="1">
        <v>0.18348</v>
      </c>
      <c r="AO57" s="1">
        <v>0.34475</v>
      </c>
      <c r="AP57" s="209">
        <v>4.1900000000000002E-5</v>
      </c>
      <c r="AQ57" s="1">
        <f ca="1">'Dynamic Materials'!O66</f>
        <v>2.5497153279807335E-2</v>
      </c>
      <c r="AR57" s="1">
        <f ca="1">'Dynamic Materials'!P66</f>
        <v>9.080726225826119E-2</v>
      </c>
      <c r="AS57" s="1"/>
      <c r="AT57" s="1" cm="1">
        <f t="array" aca="1" ref="AT57" ca="1">IFERROR(INDEX(Electricity_projection,MATCH($B57&amp;$A57,INDEX(Electricity_projection,0,3),0),MATCH(YEAR(TODAY()),Timeline_elec_projec,0)+3)*INDEX(Recyc_mat_energy_input,MATCH(AT$1,'Data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4.4913006197999997E-4</v>
      </c>
      <c r="AU57" s="1" cm="1">
        <f t="array" aca="1" ref="AU57" ca="1">IFERROR(INDEX(Electricity_projection,MATCH($B57&amp;$A57,INDEX(Electricity_projection,0,3),0),MATCH(YEAR(TODAY()),Timeline_elec_projec,0)+3)*INDEX(Recyc_mat_energy_input,MATCH(AU$1,'Data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2.7425423591999999E-4</v>
      </c>
      <c r="AV57" s="1" cm="1">
        <f t="array" aca="1" ref="AV57" ca="1">IFERROR(INDEX(Electricity_projection,MATCH($B57&amp;$A57,INDEX(Electricity_projection,0,3),0),MATCH(YEAR(TODAY()),Timeline_elec_projec,0)+3)*INDEX(Recyc_mat_energy_input,MATCH(AV$1,'Data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1.4332495379999998E-4</v>
      </c>
      <c r="AW57" s="1"/>
      <c r="AX57" s="1"/>
      <c r="AY57" s="1"/>
      <c r="AZ57" s="1"/>
      <c r="BA57" s="1"/>
      <c r="BB57" s="1"/>
      <c r="BC57" s="1">
        <f t="shared" si="6"/>
        <v>0</v>
      </c>
      <c r="BD57" s="1"/>
      <c r="BE57" s="1"/>
      <c r="BF57" s="1"/>
      <c r="BG57" s="1">
        <f ca="1">'Dynamic Materials'!V66</f>
        <v>2.5951502175000001E-4</v>
      </c>
      <c r="BH57" s="1"/>
      <c r="BI57" s="1" t="str" cm="1">
        <f t="array" aca="1" ref="BI57" ca="1">IFERROR(INDEX(Electricity_projection,MATCH($B57&amp;$A57,INDEX(Electricity_projection,0,3),0),MATCH(YEAR(TODAY()),Timeline_elec_projec,0)+3)*INDEX(Recyc_mat_energy_input,MATCH(BI$1,'Data Entry'!$B$91:$B$96,0),1)+Diesel_density*INDEX(Recyc_mat_energy_input,MATCH(BI$1,'Data Entry'!$B$91:$B$96,0),2)*INDEX(Indicators,ROW(),MATCH("Diesel Combustion",Materials!$1:$1,0)), "")</f>
        <v/>
      </c>
      <c r="BJ57" s="1"/>
      <c r="BK57" s="1" t="str" cm="1">
        <f t="array" aca="1" ref="BK57" ca="1">IFERROR(INDEX(Electricity_projection,MATCH($B57&amp;$A57,INDEX(Electricity_projection,0,3),0),MATCH(YEAR(TODAY()),Timeline_elec_projec,0)+3)*INDEX(Recyc_mat_energy_input,MATCH(BK$1,'Data Entry'!$B$91:$B$96,0),1)+Diesel_density*INDEX(Recyc_mat_energy_input,MATCH(BK$1,'Data Entry'!$B$91:$B$96,0),2)*INDEX(Indicators,ROW(),MATCH("Diesel Combustion",Materials!$1:$1,0)), "")</f>
        <v/>
      </c>
      <c r="BL57" s="1" t="str" cm="1">
        <f t="array" aca="1" ref="BL57" ca="1">IFERROR(INDEX(Electricity_projection,MATCH($B57&amp;$A57,INDEX(Electricity_projection,0,3),0),MATCH(YEAR(TODAY()),Timeline_elec_projec,0)+3)*INDEX(Recyc_mat_energy_input,MATCH(BL$1,'Data Entry'!$B$91:$B$96,0),1)+Diesel_density*INDEX(Recyc_mat_energy_input,MATCH(BL$1,'Data Entry'!$B$91:$B$96,0),2)*INDEX(Indicators,ROW(),MATCH("Diesel Combustion",Materials!$1:$1,0)), "")</f>
        <v/>
      </c>
      <c r="BM57" s="1"/>
      <c r="BN57" s="1">
        <f>IF(Steel_supplier="Pacific Steel",Material_Impacts[[#This Row],[Pacific Steel]],Material_Impacts[[#This Row],[Infrabuild]])</f>
        <v>0</v>
      </c>
      <c r="BO57" s="1"/>
      <c r="BP57" s="1">
        <v>6.9015000000000005E-3</v>
      </c>
      <c r="BQ57">
        <v>0.47544999999999998</v>
      </c>
      <c r="BR57">
        <v>0.45626</v>
      </c>
      <c r="BS57" s="443"/>
      <c r="BT57" s="443"/>
      <c r="BU57" s="443"/>
      <c r="BV57" s="443">
        <v>1</v>
      </c>
      <c r="BX57" s="1">
        <v>9.4939999999999997E-2</v>
      </c>
      <c r="BY57" s="1">
        <f t="shared" si="3"/>
        <v>2.1964141122035857E-3</v>
      </c>
      <c r="BZ57">
        <v>0.4123</v>
      </c>
      <c r="CA57" s="1">
        <v>0</v>
      </c>
      <c r="CB57">
        <v>3.2100000000000002E-6</v>
      </c>
      <c r="CC57">
        <v>1.2754300000000001</v>
      </c>
      <c r="CD57" s="378">
        <f t="shared" si="7"/>
        <v>3.09433086E-2</v>
      </c>
      <c r="CE57" s="208">
        <f t="shared" si="4"/>
        <v>1.3063733086</v>
      </c>
      <c r="CF57" s="208"/>
      <c r="CG57" s="208"/>
      <c r="CH57" s="208"/>
      <c r="CI57" s="208"/>
      <c r="CJ57" s="208"/>
      <c r="CK57" s="208"/>
      <c r="CL57" s="208"/>
      <c r="CM57" s="209"/>
      <c r="CN57" s="208"/>
      <c r="CO57" s="208"/>
      <c r="CP57" s="208"/>
      <c r="CQ57" s="208"/>
      <c r="CZ57" s="208"/>
      <c r="DA57" s="208"/>
      <c r="DB57" s="208"/>
    </row>
    <row r="58" spans="1:106" x14ac:dyDescent="0.35">
      <c r="A58" t="s">
        <v>556</v>
      </c>
      <c r="B58" t="s">
        <v>54</v>
      </c>
      <c r="C58" t="s">
        <v>768</v>
      </c>
      <c r="D58" t="str">
        <f>Material_Impacts[[#This Row],[15804 version]]&amp;Material_Impacts[[#This Row],[Methodology]]&amp;Material_Impacts[[#This Row],[Acronym]]</f>
        <v>A2AttributionalPM</v>
      </c>
      <c r="E58" t="s">
        <v>791</v>
      </c>
      <c r="F58" t="s">
        <v>792</v>
      </c>
      <c r="G58" s="1">
        <v>5.1602936849966098E-8</v>
      </c>
      <c r="H58" s="1">
        <v>2.1055752745098099E-7</v>
      </c>
      <c r="I58" s="1">
        <v>6.1220465211597308E-8</v>
      </c>
      <c r="J58" s="1">
        <v>5.1602936849966098E-8</v>
      </c>
      <c r="K58" s="1">
        <v>2.2830961863637629E-12</v>
      </c>
      <c r="L58" s="1">
        <v>5.1888431213985167E-12</v>
      </c>
      <c r="M58" s="1">
        <v>1.8959558494713471E-12</v>
      </c>
      <c r="N58" s="1"/>
      <c r="O58" s="443"/>
      <c r="P58" s="1">
        <v>5.3180700000000002E-10</v>
      </c>
      <c r="Q58" s="1">
        <v>0</v>
      </c>
      <c r="R58" s="1">
        <v>0</v>
      </c>
      <c r="S58" s="1">
        <v>0</v>
      </c>
      <c r="T58" s="1">
        <v>0</v>
      </c>
      <c r="U58" s="1">
        <v>0</v>
      </c>
      <c r="V58" s="1">
        <f ca="1">IFERROR('Dynamic Materials'!Q67+'Dynamic Materials'!AQ67, 0)</f>
        <v>1.2286191861164049E-4</v>
      </c>
      <c r="W58" s="1">
        <f ca="1">'Dynamic Materials'!R67</f>
        <v>1.2286222828590941E-4</v>
      </c>
      <c r="X58" s="1">
        <f ca="1">'Dynamic Materials'!T67</f>
        <v>1.2286193950929053E-4</v>
      </c>
      <c r="Y58" s="1">
        <f ca="1">IFERROR('Dynamic Materials'!U67+'Dynamic Materials'!AQ67, 0)</f>
        <v>1.2286141606082676E-4</v>
      </c>
      <c r="Z58" s="1">
        <f ca="1">IFERROR('Dynamic Materials'!S67+'Dynamic Materials'!AQ67, 0)</f>
        <v>1.2286167407420288E-4</v>
      </c>
      <c r="AA58" s="1">
        <f ca="1">'Dynamic Materials'!W67</f>
        <v>5.7750000000000001E-13</v>
      </c>
      <c r="AB58" s="1">
        <v>2.26091E-8</v>
      </c>
      <c r="AC58" s="1">
        <v>5.4154200000000002E-7</v>
      </c>
      <c r="AD58" s="209">
        <f>BZ58+200*Material_Impacts[[#This Row],[Truck (32+t)]]+1130*CB58</f>
        <v>2.5851237489894271E-8</v>
      </c>
      <c r="AE58" s="1">
        <v>1.7438800000000001E-8</v>
      </c>
      <c r="AF58" s="1">
        <v>1.51892E-9</v>
      </c>
      <c r="AG58" s="1"/>
      <c r="AH58" s="1">
        <v>5.4610600000000003E-8</v>
      </c>
      <c r="AI58" s="209">
        <f>'Dynamic Materials'!AG67</f>
        <v>4.3546910000000004E-8</v>
      </c>
      <c r="AJ58" s="1">
        <v>8.2373599999999996E-10</v>
      </c>
      <c r="AK58" s="1">
        <v>1.60462E-9</v>
      </c>
      <c r="AL58" s="1"/>
      <c r="AM58" s="1">
        <f t="shared" si="5"/>
        <v>0</v>
      </c>
      <c r="AN58" s="1">
        <v>1.3926200000000001E-9</v>
      </c>
      <c r="AO58" s="1">
        <v>1.3010899999999999E-8</v>
      </c>
      <c r="AP58" s="209">
        <v>1.75E-12</v>
      </c>
      <c r="AQ58" s="1">
        <f ca="1">'Dynamic Materials'!O67</f>
        <v>1.5979801336285155E-9</v>
      </c>
      <c r="AR58" s="1">
        <f ca="1">'Dynamic Materials'!P67</f>
        <v>3.1651277842348593E-9</v>
      </c>
      <c r="AS58" s="1"/>
      <c r="AT58" s="1" cm="1">
        <f t="array" aca="1" ref="AT58" ca="1">IFERROR(INDEX(Electricity_projection,MATCH($B58&amp;$A58,INDEX(Electricity_projection,0,3),0),MATCH(YEAR(TODAY()),Timeline_elec_projec,0)+3)*INDEX(Recyc_mat_energy_input,MATCH(AT$1,'Data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4.989987684559511E-11</v>
      </c>
      <c r="AU58" s="1" cm="1">
        <f t="array" aca="1" ref="AU58" ca="1">IFERROR(INDEX(Electricity_projection,MATCH($B58&amp;$A58,INDEX(Electricity_projection,0,3),0),MATCH(YEAR(TODAY()),Timeline_elec_projec,0)+3)*INDEX(Recyc_mat_energy_input,MATCH(AU$1,'Data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3.1018112517019822E-11</v>
      </c>
      <c r="AV58" s="1" cm="1">
        <f t="array" aca="1" ref="AV58" ca="1">IFERROR(INDEX(Electricity_projection,MATCH($B58&amp;$A58,INDEX(Electricity_projection,0,3),0),MATCH(YEAR(TODAY()),Timeline_elec_projec,0)+3)*INDEX(Recyc_mat_energy_input,MATCH(AV$1,'Data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1.621003055267985E-11</v>
      </c>
      <c r="AW58" s="1"/>
      <c r="AX58" s="1"/>
      <c r="AY58" s="1"/>
      <c r="AZ58" s="1"/>
      <c r="BA58" s="1"/>
      <c r="BB58" s="1"/>
      <c r="BC58" s="1">
        <f t="shared" si="6"/>
        <v>0</v>
      </c>
      <c r="BD58" s="1"/>
      <c r="BE58" s="1"/>
      <c r="BF58" s="1"/>
      <c r="BG58" s="1">
        <f ca="1">'Dynamic Materials'!V67</f>
        <v>2.8454444533333527E-11</v>
      </c>
      <c r="BH58" s="1"/>
      <c r="BI58" s="1" t="str" cm="1">
        <f t="array" aca="1" ref="BI58" ca="1">IFERROR(INDEX(Electricity_projection,MATCH($B58&amp;$A58,INDEX(Electricity_projection,0,3),0),MATCH(YEAR(TODAY()),Timeline_elec_projec,0)+3)*INDEX(Recyc_mat_energy_input,MATCH(BI$1,'Data Entry'!$B$91:$B$96,0),1)+Diesel_density*INDEX(Recyc_mat_energy_input,MATCH(BI$1,'Data Entry'!$B$91:$B$96,0),2)*INDEX(Indicators,ROW(),MATCH("Diesel Combustion",Materials!$1:$1,0)), "")</f>
        <v/>
      </c>
      <c r="BJ58" s="1"/>
      <c r="BK58" s="1" t="str" cm="1">
        <f t="array" aca="1" ref="BK58" ca="1">IFERROR(INDEX(Electricity_projection,MATCH($B58&amp;$A58,INDEX(Electricity_projection,0,3),0),MATCH(YEAR(TODAY()),Timeline_elec_projec,0)+3)*INDEX(Recyc_mat_energy_input,MATCH(BK$1,'Data Entry'!$B$91:$B$96,0),1)+Diesel_density*INDEX(Recyc_mat_energy_input,MATCH(BK$1,'Data Entry'!$B$91:$B$96,0),2)*INDEX(Indicators,ROW(),MATCH("Diesel Combustion",Materials!$1:$1,0)), "")</f>
        <v/>
      </c>
      <c r="BL58" s="1" t="str" cm="1">
        <f t="array" aca="1" ref="BL58" ca="1">IFERROR(INDEX(Electricity_projection,MATCH($B58&amp;$A58,INDEX(Electricity_projection,0,3),0),MATCH(YEAR(TODAY()),Timeline_elec_projec,0)+3)*INDEX(Recyc_mat_energy_input,MATCH(BL$1,'Data Entry'!$B$91:$B$96,0),1)+Diesel_density*INDEX(Recyc_mat_energy_input,MATCH(BL$1,'Data Entry'!$B$91:$B$96,0),2)*INDEX(Indicators,ROW(),MATCH("Diesel Combustion",Materials!$1:$1,0)), "")</f>
        <v/>
      </c>
      <c r="BM58" s="1"/>
      <c r="BN58" s="1">
        <f>IF(Steel_supplier="Pacific Steel",Material_Impacts[[#This Row],[Pacific Steel]],Material_Impacts[[#This Row],[Infrabuild]])</f>
        <v>0</v>
      </c>
      <c r="BO58" s="1"/>
      <c r="BP58" s="1">
        <v>6.2320760000000002E-10</v>
      </c>
      <c r="BQ58" s="1">
        <v>4.2243100000000002E-8</v>
      </c>
      <c r="BR58" s="1">
        <v>2.81249E-8</v>
      </c>
      <c r="BS58" s="443"/>
      <c r="BT58" s="443"/>
      <c r="BU58" s="443"/>
      <c r="BV58" s="443">
        <v>1</v>
      </c>
      <c r="BW58" s="1"/>
      <c r="BX58" s="1">
        <v>4.9136399999999996E-9</v>
      </c>
      <c r="BY58" s="1">
        <f t="shared" si="3"/>
        <v>1.1367588201272411E-10</v>
      </c>
      <c r="BZ58" s="1">
        <v>2.5144500000000001E-8</v>
      </c>
      <c r="CA58" s="1">
        <v>0</v>
      </c>
      <c r="CB58">
        <v>2.8986400000000003E-13</v>
      </c>
      <c r="CC58" s="1">
        <v>5.68666E-8</v>
      </c>
      <c r="CD58" s="378">
        <f t="shared" si="7"/>
        <v>2.7941904062400003E-9</v>
      </c>
      <c r="CE58" s="208">
        <f t="shared" si="4"/>
        <v>5.9660790406240006E-8</v>
      </c>
      <c r="CF58" s="208"/>
      <c r="CG58" s="208"/>
      <c r="CH58" s="208"/>
      <c r="CI58" s="208"/>
      <c r="CJ58" s="208"/>
      <c r="CK58" s="209"/>
      <c r="CL58" s="209"/>
      <c r="CM58" s="209"/>
      <c r="CN58" s="208"/>
      <c r="CO58" s="208"/>
      <c r="CP58" s="208"/>
      <c r="CQ58" s="208"/>
      <c r="CZ58" s="208"/>
      <c r="DA58" s="208"/>
      <c r="DB58" s="208"/>
    </row>
    <row r="59" spans="1:106" x14ac:dyDescent="0.35">
      <c r="A59" t="s">
        <v>379</v>
      </c>
      <c r="B59" t="s">
        <v>485</v>
      </c>
      <c r="C59" t="s">
        <v>51</v>
      </c>
      <c r="D59" t="str">
        <f>Material_Impacts[[#This Row],[15804 version]]&amp;Material_Impacts[[#This Row],[Methodology]]&amp;Material_Impacts[[#This Row],[Acronym]]</f>
        <v>A1ConsequentialAP</v>
      </c>
      <c r="E59" t="s">
        <v>735</v>
      </c>
      <c r="F59" s="1" t="s">
        <v>378</v>
      </c>
      <c r="G59" s="1">
        <v>1.0967709239005391E-2</v>
      </c>
      <c r="H59" s="1">
        <v>1.4460078431372599E-2</v>
      </c>
      <c r="I59" s="1">
        <v>6.3086766038545003E-3</v>
      </c>
      <c r="J59" s="1">
        <v>1.0967709239005391E-2</v>
      </c>
      <c r="K59" s="1">
        <v>4.4325713201368857E-7</v>
      </c>
      <c r="L59" s="1">
        <v>9.6571101241908633E-7</v>
      </c>
      <c r="M59" s="1">
        <v>3.7208230780711121E-7</v>
      </c>
      <c r="N59" s="1"/>
      <c r="O59" s="443"/>
      <c r="P59" s="1">
        <v>7.6224700000000002E-5</v>
      </c>
      <c r="Q59" s="1">
        <v>0</v>
      </c>
      <c r="R59" s="1">
        <v>0</v>
      </c>
      <c r="S59" s="1">
        <v>0</v>
      </c>
      <c r="T59" s="1">
        <v>0</v>
      </c>
      <c r="U59" s="1">
        <v>0</v>
      </c>
      <c r="V59" s="1">
        <f ca="1">IFERROR('Dynamic Materials'!Q68+'Dynamic Materials'!AQ68, 0)</f>
        <v>5.9319808228099253E-4</v>
      </c>
      <c r="W59" s="1">
        <f ca="1">'Dynamic Materials'!R68</f>
        <v>4.1931059494084235E-4</v>
      </c>
      <c r="X59" s="1">
        <f ca="1">'Dynamic Materials'!T68</f>
        <v>3.7683223790834831E-4</v>
      </c>
      <c r="Y59" s="1">
        <f ca="1">IFERROR('Dynamic Materials'!U68+'Dynamic Materials'!AQ68, 0)</f>
        <v>4.9478561970285313E-4</v>
      </c>
      <c r="Z59" s="1">
        <f ca="1">IFERROR('Dynamic Materials'!S68+'Dynamic Materials'!AQ68, 0)</f>
        <v>5.427099340945948E-4</v>
      </c>
      <c r="AA59" s="1">
        <f ca="1">'Dynamic Materials'!W68</f>
        <v>1.8358448800000001E-3</v>
      </c>
      <c r="AB59" s="1">
        <v>2.7000000000000001E-3</v>
      </c>
      <c r="AC59" s="1">
        <v>2.2780000000000002E-2</v>
      </c>
      <c r="AD59" s="209">
        <f>BZ59+200*Material_Impacts[[#This Row],[Truck (32+t)]]+1130*CB59</f>
        <v>4.8069164615614224E-3</v>
      </c>
      <c r="AE59" s="1">
        <v>3.0400000000000002E-3</v>
      </c>
      <c r="AF59" s="1">
        <v>1.2999999999999999E-4</v>
      </c>
      <c r="AG59" s="1"/>
      <c r="AH59" s="1">
        <v>5.8700000000000002E-3</v>
      </c>
      <c r="AI59" s="209">
        <f>'Dynamic Materials'!AG68</f>
        <v>1.6030000000000003E-3</v>
      </c>
      <c r="AJ59" s="1">
        <v>9.52512E-5</v>
      </c>
      <c r="AK59" s="1">
        <v>8.3625899999999995E-5</v>
      </c>
      <c r="AL59" s="1"/>
      <c r="AM59" s="1">
        <f t="shared" si="5"/>
        <v>1.0959999999999999E-4</v>
      </c>
      <c r="AN59" s="1">
        <v>1.1E-4</v>
      </c>
      <c r="AO59" s="1">
        <v>1.31E-3</v>
      </c>
      <c r="AP59" s="209">
        <v>1.36E-7</v>
      </c>
      <c r="AQ59" s="1">
        <f ca="1">'Dynamic Materials'!O68</f>
        <v>3.0203090873770038E-4</v>
      </c>
      <c r="AR59" s="1">
        <f ca="1">'Dynamic Materials'!P68</f>
        <v>2.6185921044015075E-5</v>
      </c>
      <c r="AS59" s="1"/>
      <c r="AT59" s="1" cm="1">
        <f t="array" aca="1" ref="AT59" ca="1">IFERROR(INDEX(Electricity_projection,MATCH($B59&amp;$A59,INDEX(Electricity_projection,0,3),0),MATCH(YEAR(TODAY()),Timeline_elec_projec,0)+3)*INDEX(Recyc_mat_energy_input,MATCH(AT$1,'Data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1.4485022387250077E-5</v>
      </c>
      <c r="AU59" s="1" cm="1">
        <f t="array" aca="1" ref="AU59" ca="1">IFERROR(INDEX(Electricity_projection,MATCH($B59&amp;$A59,INDEX(Electricity_projection,0,3),0),MATCH(YEAR(TODAY()),Timeline_elec_projec,0)+3)*INDEX(Recyc_mat_energy_input,MATCH(AU$1,'Data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1.1117920531860697E-5</v>
      </c>
      <c r="AV59" s="1" cm="1">
        <f t="array" aca="1" ref="AV59" ca="1">IFERROR(INDEX(Electricity_projection,MATCH($B59&amp;$A59,INDEX(Electricity_projection,0,3),0),MATCH(YEAR(TODAY()),Timeline_elec_projec,0)+3)*INDEX(Recyc_mat_energy_input,MATCH(AV$1,'Data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2.0894606873889887E-5</v>
      </c>
      <c r="AW59" s="1"/>
      <c r="AX59" s="1"/>
      <c r="AY59" s="1"/>
      <c r="AZ59" s="1"/>
      <c r="BA59" s="1"/>
      <c r="BB59" s="1"/>
      <c r="BC59" s="1">
        <f t="shared" si="6"/>
        <v>2.7399999999999998E-3</v>
      </c>
      <c r="BD59" s="1">
        <v>2.7399999999999998E-3</v>
      </c>
      <c r="BE59" s="1">
        <v>2.7399999999999998E-3</v>
      </c>
      <c r="BF59" s="1"/>
      <c r="BG59" s="1">
        <f ca="1">'Dynamic Materials'!V68</f>
        <v>1.5702418325684031E-3</v>
      </c>
      <c r="BH59" s="1"/>
      <c r="BI59" s="1" cm="1">
        <f t="array" aca="1" ref="BI59" ca="1">IFERROR(INDEX(Electricity_projection,MATCH($B59&amp;$A59,INDEX(Electricity_projection,0,3),0),MATCH(YEAR(TODAY()),Timeline_elec_projec,0)+3)*INDEX(Recyc_mat_energy_input,MATCH(BI$1,'Data Entry'!$B$91:$B$96,0),1)+Diesel_density*INDEX(Recyc_mat_energy_input,MATCH(BI$1,'Data Entry'!$B$91:$B$96,0),2)*INDEX(Indicators,ROW(),MATCH("Diesel Combustion",Materials!$1:$1,0)), "")</f>
        <v>0</v>
      </c>
      <c r="BJ59" s="1"/>
      <c r="BK59" s="1" cm="1">
        <f t="array" aca="1" ref="BK59" ca="1">IFERROR(INDEX(Electricity_projection,MATCH($B59&amp;$A59,INDEX(Electricity_projection,0,3),0),MATCH(YEAR(TODAY()),Timeline_elec_projec,0)+3)*INDEX(Recyc_mat_energy_input,MATCH(BK$1,'Data Entry'!$B$91:$B$96,0),1)+Diesel_density*INDEX(Recyc_mat_energy_input,MATCH(BK$1,'Data Entry'!$B$91:$B$96,0),2)*INDEX(Indicators,ROW(),MATCH("Diesel Combustion",Materials!$1:$1,0)), "")</f>
        <v>4.8420242748361004E-6</v>
      </c>
      <c r="BL59" s="1" cm="1">
        <f t="array" aca="1" ref="BL59" ca="1">IFERROR(INDEX(Electricity_projection,MATCH($B59&amp;$A59,INDEX(Electricity_projection,0,3),0),MATCH(YEAR(TODAY()),Timeline_elec_projec,0)+3)*INDEX(Recyc_mat_energy_input,MATCH(BL$1,'Data Entry'!$B$91:$B$96,0),1)+Diesel_density*INDEX(Recyc_mat_energy_input,MATCH(BL$1,'Data Entry'!$B$91:$B$96,0),2)*INDEX(Indicators,ROW(),MATCH("Diesel Combustion",Materials!$1:$1,0)), "")</f>
        <v>6.4982206508492593E-5</v>
      </c>
      <c r="BM59" s="1"/>
      <c r="BN59" s="1">
        <f>IF(Steel_supplier="Pacific Steel",Material_Impacts[[#This Row],[Pacific Steel]],Material_Impacts[[#This Row],[Infrabuild]])</f>
        <v>4.1000000000000002E-2</v>
      </c>
      <c r="BO59" s="1">
        <v>4.1000000000000002E-2</v>
      </c>
      <c r="BP59" s="1">
        <v>5.375E-4</v>
      </c>
      <c r="BQ59">
        <v>4.79E-3</v>
      </c>
      <c r="BR59">
        <v>4.2399999999999998E-3</v>
      </c>
      <c r="BS59" s="450"/>
      <c r="BT59" s="450"/>
      <c r="BU59" s="450"/>
      <c r="BV59" s="443">
        <v>1</v>
      </c>
      <c r="BX59" s="1">
        <v>2.5799999999999998E-3</v>
      </c>
      <c r="BY59" s="1">
        <f t="shared" si="3"/>
        <v>5.9687680740312318E-5</v>
      </c>
      <c r="BZ59">
        <v>4.45E-3</v>
      </c>
      <c r="CA59" s="1">
        <v>0</v>
      </c>
      <c r="CB59">
        <v>2.4999999999999999E-7</v>
      </c>
      <c r="CC59">
        <v>5.7999999999999996E-3</v>
      </c>
      <c r="CD59" s="378">
        <f t="shared" si="7"/>
        <v>2.4099149999999999E-3</v>
      </c>
      <c r="CE59" s="208">
        <f t="shared" si="4"/>
        <v>8.2099149999999999E-3</v>
      </c>
      <c r="CF59" s="208"/>
      <c r="CG59" s="208"/>
      <c r="CH59" s="208"/>
      <c r="CI59" s="208"/>
      <c r="CJ59" s="208"/>
      <c r="CK59" s="208"/>
      <c r="CL59" s="208"/>
      <c r="CM59" s="209"/>
      <c r="CN59" s="208"/>
      <c r="CP59" s="208"/>
      <c r="CQ59" s="208"/>
      <c r="CZ59" s="208"/>
      <c r="DA59" s="208"/>
      <c r="DB59" s="208"/>
    </row>
    <row r="60" spans="1:106" x14ac:dyDescent="0.35">
      <c r="A60" t="s">
        <v>391</v>
      </c>
      <c r="B60" t="s">
        <v>485</v>
      </c>
      <c r="C60" t="s">
        <v>51</v>
      </c>
      <c r="D60" t="str">
        <f>Material_Impacts[[#This Row],[15804 version]]&amp;Material_Impacts[[#This Row],[Methodology]]&amp;Material_Impacts[[#This Row],[Acronym]]</f>
        <v>A1ConsequentialADPE</v>
      </c>
      <c r="E60" t="s">
        <v>736</v>
      </c>
      <c r="F60" s="1" t="s">
        <v>390</v>
      </c>
      <c r="G60" s="1">
        <v>4.8805899999999996E-7</v>
      </c>
      <c r="H60" s="1">
        <v>4.8805899999999996E-7</v>
      </c>
      <c r="I60" s="1">
        <v>6.1009899999999996E-7</v>
      </c>
      <c r="J60" s="1">
        <v>4.8805899999999996E-7</v>
      </c>
      <c r="K60" s="1">
        <v>1.2632421974236116E-11</v>
      </c>
      <c r="L60" s="1">
        <v>3.0588509452359745E-11</v>
      </c>
      <c r="M60" s="1">
        <v>1.0637493819822273E-11</v>
      </c>
      <c r="N60" s="1"/>
      <c r="O60" s="443"/>
      <c r="P60" s="1">
        <v>1.8527299999999999E-7</v>
      </c>
      <c r="Q60" s="1">
        <v>0</v>
      </c>
      <c r="R60" s="1">
        <v>0</v>
      </c>
      <c r="S60" s="1">
        <v>0</v>
      </c>
      <c r="T60" s="1">
        <v>0</v>
      </c>
      <c r="U60" s="1">
        <v>0</v>
      </c>
      <c r="V60" s="1">
        <f ca="1">IFERROR('Dynamic Materials'!Q69+'Dynamic Materials'!AQ69, 0)</f>
        <v>1.2289971867831452E-4</v>
      </c>
      <c r="W60" s="1">
        <f ca="1">'Dynamic Materials'!R69</f>
        <v>1.2288439215797669E-4</v>
      </c>
      <c r="X60" s="1">
        <f ca="1">'Dynamic Materials'!T69</f>
        <v>1.2288004992158557E-4</v>
      </c>
      <c r="Y60" s="1">
        <f ca="1">IFERROR('Dynamic Materials'!U69+'Dynamic Materials'!AQ69, 0)</f>
        <v>1.2289018063814172E-4</v>
      </c>
      <c r="Z60" s="1">
        <f ca="1">IFERROR('Dynamic Materials'!S69+'Dynamic Materials'!AQ69, 0)</f>
        <v>1.2289431287761397E-4</v>
      </c>
      <c r="AA60" s="1">
        <f ca="1">'Dynamic Materials'!W69</f>
        <v>3.5516072000000003E-7</v>
      </c>
      <c r="AB60" s="1">
        <v>3.8085399999999999E-6</v>
      </c>
      <c r="AC60" s="1">
        <v>4.6983700000000002E-5</v>
      </c>
      <c r="AD60" s="209">
        <f>BZ60+200*Material_Impacts[[#This Row],[Truck (32+t)]]+1130*CB60</f>
        <v>4.1478572376396445E-7</v>
      </c>
      <c r="AE60" s="1">
        <v>5.6929300000000001E-7</v>
      </c>
      <c r="AF60" s="1">
        <v>1.0261499999999999E-6</v>
      </c>
      <c r="AG60" s="1"/>
      <c r="AH60" s="1">
        <v>2.4345599999999999E-5</v>
      </c>
      <c r="AI60" s="209">
        <f>'Dynamic Materials'!AG69</f>
        <v>-1.0639999999999783E-8</v>
      </c>
      <c r="AJ60" s="1">
        <v>1.5239600000000001E-6</v>
      </c>
      <c r="AK60" s="1">
        <v>2.2673899999999998E-6</v>
      </c>
      <c r="AL60" s="1"/>
      <c r="AM60" s="1">
        <f t="shared" si="5"/>
        <v>2.1200000000000001E-8</v>
      </c>
      <c r="AN60" s="1">
        <v>1.27604E-6</v>
      </c>
      <c r="AO60" s="1">
        <v>6.4707700000000004E-6</v>
      </c>
      <c r="AP60" s="209">
        <v>1.8400000000000001E-10</v>
      </c>
      <c r="AQ60" s="1">
        <f ca="1">'Dynamic Materials'!O69</f>
        <v>2.6355213372773051E-8</v>
      </c>
      <c r="AR60" s="1">
        <f ca="1">'Dynamic Materials'!P69</f>
        <v>-6.4289530053064819E-8</v>
      </c>
      <c r="AS60" s="1"/>
      <c r="AT60" s="1" cm="1">
        <f t="array" aca="1" ref="AT60" ca="1">IFERROR(INDEX(Electricity_projection,MATCH($B60&amp;$A60,INDEX(Electricity_projection,0,3),0),MATCH(YEAR(TODAY()),Timeline_elec_projec,0)+3)*INDEX(Recyc_mat_energy_input,MATCH(AT$1,'Data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1.5617765392927509E-9</v>
      </c>
      <c r="AU60" s="1" cm="1">
        <f t="array" aca="1" ref="AU60" ca="1">IFERROR(INDEX(Electricity_projection,MATCH($B60&amp;$A60,INDEX(Electricity_projection,0,3),0),MATCH(YEAR(TODAY()),Timeline_elec_projec,0)+3)*INDEX(Recyc_mat_energy_input,MATCH(AU$1,'Data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1.4843554924941998E-9</v>
      </c>
      <c r="AV60" s="1" cm="1">
        <f t="array" aca="1" ref="AV60" ca="1">IFERROR(INDEX(Electricity_projection,MATCH($B60&amp;$A60,INDEX(Electricity_projection,0,3),0),MATCH(YEAR(TODAY()),Timeline_elec_projec,0)+3)*INDEX(Recyc_mat_energy_input,MATCH(AV$1,'Data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4.7456796100269564E-9</v>
      </c>
      <c r="AW60" s="1"/>
      <c r="AX60" s="1"/>
      <c r="AY60" s="1"/>
      <c r="AZ60" s="1"/>
      <c r="BA60" s="1"/>
      <c r="BB60" s="1"/>
      <c r="BC60" s="1">
        <f t="shared" si="6"/>
        <v>5.3000000000000001E-7</v>
      </c>
      <c r="BD60" s="1">
        <v>5.3000000000000001E-7</v>
      </c>
      <c r="BE60" s="1">
        <v>5.3000000000000001E-7</v>
      </c>
      <c r="BF60" s="1"/>
      <c r="BG60" s="1">
        <f ca="1">'Dynamic Materials'!V69</f>
        <v>7.6967624191651756E-8</v>
      </c>
      <c r="BH60" s="1"/>
      <c r="BI60" s="1" cm="1">
        <f t="array" aca="1" ref="BI60" ca="1">IFERROR(INDEX(Electricity_projection,MATCH($B60&amp;$A60,INDEX(Electricity_projection,0,3),0),MATCH(YEAR(TODAY()),Timeline_elec_projec,0)+3)*INDEX(Recyc_mat_energy_input,MATCH(BI$1,'Data Entry'!$B$91:$B$96,0),1)+Diesel_density*INDEX(Recyc_mat_energy_input,MATCH(BI$1,'Data Entry'!$B$91:$B$96,0),2)*INDEX(Indicators,ROW(),MATCH("Diesel Combustion",Materials!$1:$1,0)), "")</f>
        <v>0</v>
      </c>
      <c r="BJ60" s="1"/>
      <c r="BK60" s="1" cm="1">
        <f t="array" aca="1" ref="BK60" ca="1">IFERROR(INDEX(Electricity_projection,MATCH($B60&amp;$A60,INDEX(Electricity_projection,0,3),0),MATCH(YEAR(TODAY()),Timeline_elec_projec,0)+3)*INDEX(Recyc_mat_energy_input,MATCH(BK$1,'Data Entry'!$B$91:$B$96,0),1)+Diesel_density*INDEX(Recyc_mat_energy_input,MATCH(BK$1,'Data Entry'!$B$91:$B$96,0),2)*INDEX(Indicators,ROW(),MATCH("Diesel Combustion",Materials!$1:$1,0)), "")</f>
        <v>2.1546828732000002E-10</v>
      </c>
      <c r="BL60" s="1" cm="1">
        <f t="array" aca="1" ref="BL60" ca="1">IFERROR(INDEX(Electricity_projection,MATCH($B60&amp;$A60,INDEX(Electricity_projection,0,3),0),MATCH(YEAR(TODAY()),Timeline_elec_projec,0)+3)*INDEX(Recyc_mat_energy_input,MATCH(BL$1,'Data Entry'!$B$91:$B$96,0),1)+Diesel_density*INDEX(Recyc_mat_energy_input,MATCH(BL$1,'Data Entry'!$B$91:$B$96,0),2)*INDEX(Indicators,ROW(),MATCH("Diesel Combustion",Materials!$1:$1,0)), "")</f>
        <v>1.7102216350291477E-8</v>
      </c>
      <c r="BM60" s="1"/>
      <c r="BN60" s="1">
        <f>IF(Steel_supplier="Pacific Steel",Material_Impacts[[#This Row],[Pacific Steel]],Material_Impacts[[#This Row],[Infrabuild]])</f>
        <v>3.8700000000000001E-7</v>
      </c>
      <c r="BO60" s="1">
        <v>3.8700000000000001E-7</v>
      </c>
      <c r="BP60" s="1">
        <v>2.7052375E-8</v>
      </c>
      <c r="BQ60" s="1">
        <v>6.1009899999999996E-7</v>
      </c>
      <c r="BR60" s="1">
        <v>4.8805899999999996E-7</v>
      </c>
      <c r="BS60" s="450"/>
      <c r="BT60" s="450"/>
      <c r="BU60" s="450"/>
      <c r="BV60" s="443">
        <v>1</v>
      </c>
      <c r="BW60" s="1"/>
      <c r="BX60" s="1">
        <v>1.39118E-6</v>
      </c>
      <c r="BY60" s="1">
        <f t="shared" si="3"/>
        <v>3.2184615384615387E-8</v>
      </c>
      <c r="BZ60" s="1">
        <v>3.9844000000000001E-7</v>
      </c>
      <c r="CA60" s="1">
        <v>0</v>
      </c>
      <c r="CB60">
        <v>1.2582500000000001E-11</v>
      </c>
      <c r="CC60" s="1">
        <v>2.42671E-5</v>
      </c>
      <c r="CD60" s="378">
        <f t="shared" si="7"/>
        <v>1.2129102195000001E-7</v>
      </c>
      <c r="CE60" s="208">
        <f t="shared" si="4"/>
        <v>2.4388391021949999E-5</v>
      </c>
      <c r="CF60" s="208"/>
      <c r="CG60" s="208"/>
      <c r="CH60" s="208"/>
      <c r="CI60" s="208"/>
      <c r="CJ60" s="208"/>
      <c r="CK60" s="209"/>
      <c r="CL60" s="209"/>
      <c r="CM60" s="209"/>
      <c r="CN60" s="208"/>
      <c r="CP60" s="208"/>
      <c r="CQ60" s="208"/>
      <c r="CZ60" s="208"/>
      <c r="DA60" s="208"/>
      <c r="DB60" s="208"/>
    </row>
    <row r="61" spans="1:106" x14ac:dyDescent="0.35">
      <c r="A61" t="s">
        <v>489</v>
      </c>
      <c r="B61" t="s">
        <v>485</v>
      </c>
      <c r="C61" t="s">
        <v>51</v>
      </c>
      <c r="D61" t="str">
        <f>Material_Impacts[[#This Row],[15804 version]]&amp;Material_Impacts[[#This Row],[Methodology]]&amp;Material_Impacts[[#This Row],[Acronym]]</f>
        <v>A1ConsequentialADPF</v>
      </c>
      <c r="E61" t="s">
        <v>737</v>
      </c>
      <c r="F61" t="s">
        <v>665</v>
      </c>
      <c r="G61" s="1">
        <v>48.832590000000003</v>
      </c>
      <c r="H61" s="1">
        <v>48.832590000000003</v>
      </c>
      <c r="I61" s="1">
        <v>49.45532</v>
      </c>
      <c r="J61" s="1">
        <v>48.832590000000003</v>
      </c>
      <c r="K61" s="1">
        <v>1.2639330141947242E-3</v>
      </c>
      <c r="L61" s="1">
        <v>3.0605237088102218E-3</v>
      </c>
      <c r="M61" s="1">
        <v>1.0643311040897001E-3</v>
      </c>
      <c r="N61" s="1"/>
      <c r="O61" s="443"/>
      <c r="P61" s="1">
        <v>1.4358200000000001</v>
      </c>
      <c r="Q61" s="1">
        <v>0</v>
      </c>
      <c r="R61" s="1">
        <v>0</v>
      </c>
      <c r="S61" s="1">
        <v>0</v>
      </c>
      <c r="T61" s="1">
        <v>0</v>
      </c>
      <c r="U61" s="1">
        <v>0</v>
      </c>
      <c r="V61" s="1">
        <f ca="1">IFERROR('Dynamic Materials'!Q70+'Dynamic Materials'!AQ70, 0)</f>
        <v>3.5811983135178447</v>
      </c>
      <c r="W61" s="1">
        <f ca="1">'Dynamic Materials'!R70</f>
        <v>3.310095161471728</v>
      </c>
      <c r="X61" s="1">
        <f ca="1">'Dynamic Materials'!T70</f>
        <v>2.8510125694018944</v>
      </c>
      <c r="Y61" s="1">
        <f ca="1">IFERROR('Dynamic Materials'!U70+'Dynamic Materials'!AQ70, 0)</f>
        <v>2.6798759084259678</v>
      </c>
      <c r="Z61" s="1">
        <f ca="1">IFERROR('Dynamic Materials'!S70+'Dynamic Materials'!AQ70, 0)</f>
        <v>3.1343286678959661</v>
      </c>
      <c r="AA61" s="1">
        <f ca="1">'Dynamic Materials'!W70</f>
        <v>1.8027554000000001</v>
      </c>
      <c r="AB61" s="1">
        <v>27.39565</v>
      </c>
      <c r="AC61" s="1">
        <v>91.395269999999996</v>
      </c>
      <c r="AD61" s="209">
        <f>BZ61+200*Material_Impacts[[#This Row],[Truck (32+t)]]+1130*CB61</f>
        <v>45.496171420817944</v>
      </c>
      <c r="AE61" s="1">
        <v>30.376169999999998</v>
      </c>
      <c r="AF61" s="1">
        <v>0.80667</v>
      </c>
      <c r="AG61" s="1"/>
      <c r="AH61" s="1">
        <v>44.485529999999997</v>
      </c>
      <c r="AI61" s="1">
        <f>'Dynamic Materials'!AG70</f>
        <v>50.381350000000005</v>
      </c>
      <c r="AJ61" s="1">
        <v>0.25507999999999997</v>
      </c>
      <c r="AK61" s="1">
        <v>0.18529000000000001</v>
      </c>
      <c r="AL61" s="1"/>
      <c r="AM61" s="1">
        <f t="shared" si="5"/>
        <v>0.1076</v>
      </c>
      <c r="AN61" s="1">
        <v>0.33395000000000002</v>
      </c>
      <c r="AO61" s="1">
        <v>9.8012300000000003</v>
      </c>
      <c r="AP61" s="209">
        <v>1.3799999999999999E-3</v>
      </c>
      <c r="AQ61" s="1">
        <f ca="1">'Dynamic Materials'!O70</f>
        <v>2.7776120306380694</v>
      </c>
      <c r="AR61" s="1">
        <f ca="1">'Dynamic Materials'!P70</f>
        <v>3.1373815453889926</v>
      </c>
      <c r="AS61" s="1"/>
      <c r="AT61" s="1" cm="1">
        <f t="array" aca="1" ref="AT61" ca="1">IFERROR(INDEX(Electricity_projection,MATCH($B61&amp;$A61,INDEX(Electricity_projection,0,3),0),MATCH(YEAR(TODAY()),Timeline_elec_projec,0)+3)*INDEX(Recyc_mat_energy_input,MATCH(AT$1,'Data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5.0895473818077457E-2</v>
      </c>
      <c r="AU61" s="1" cm="1">
        <f t="array" aca="1" ref="AU61" ca="1">IFERROR(INDEX(Electricity_projection,MATCH($B61&amp;$A61,INDEX(Electricity_projection,0,3),0),MATCH(YEAR(TODAY()),Timeline_elec_projec,0)+3)*INDEX(Recyc_mat_energy_input,MATCH(AU$1,'Data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3.3657391515152617E-2</v>
      </c>
      <c r="AV61" s="1" cm="1">
        <f t="array" aca="1" ref="AV61" ca="1">IFERROR(INDEX(Electricity_projection,MATCH($B61&amp;$A61,INDEX(Electricity_projection,0,3),0),MATCH(YEAR(TODAY()),Timeline_elec_projec,0)+3)*INDEX(Recyc_mat_energy_input,MATCH(AV$1,'Data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3.193768919777662E-2</v>
      </c>
      <c r="AW61" s="1"/>
      <c r="AX61" s="1"/>
      <c r="AY61" s="1"/>
      <c r="AZ61" s="1"/>
      <c r="BA61" s="1"/>
      <c r="BB61" s="1"/>
      <c r="BC61" s="1">
        <f t="shared" si="6"/>
        <v>2.69</v>
      </c>
      <c r="BD61" s="1">
        <v>2.69</v>
      </c>
      <c r="BE61" s="1">
        <v>2.69</v>
      </c>
      <c r="BF61" s="1"/>
      <c r="BG61" s="1">
        <f ca="1">'Dynamic Materials'!V70</f>
        <v>1.8518422747485939</v>
      </c>
      <c r="BH61" s="1"/>
      <c r="BI61" s="1" cm="1">
        <f t="array" aca="1" ref="BI61" ca="1">IFERROR(INDEX(Electricity_projection,MATCH($B61&amp;$A61,INDEX(Electricity_projection,0,3),0),MATCH(YEAR(TODAY()),Timeline_elec_projec,0)+3)*INDEX(Recyc_mat_energy_input,MATCH(BI$1,'Data Entry'!$B$91:$B$96,0),1)+Diesel_density*INDEX(Recyc_mat_energy_input,MATCH(BI$1,'Data Entry'!$B$91:$B$96,0),2)*INDEX(Indicators,ROW(),MATCH("Diesel Combustion",Materials!$1:$1,0)), "")</f>
        <v>0</v>
      </c>
      <c r="BJ61" s="1"/>
      <c r="BK61" s="1" cm="1">
        <f t="array" aca="1" ref="BK61" ca="1">IFERROR(INDEX(Electricity_projection,MATCH($B61&amp;$A61,INDEX(Electricity_projection,0,3),0),MATCH(YEAR(TODAY()),Timeline_elec_projec,0)+3)*INDEX(Recyc_mat_energy_input,MATCH(BK$1,'Data Entry'!$B$91:$B$96,0),1)+Diesel_density*INDEX(Recyc_mat_energy_input,MATCH(BK$1,'Data Entry'!$B$91:$B$96,0),2)*INDEX(Indicators,ROW(),MATCH("Diesel Combustion",Materials!$1:$1,0)), "")</f>
        <v>2.1558611833200004E-2</v>
      </c>
      <c r="BL61" s="1" cm="1">
        <f t="array" aca="1" ref="BL61" ca="1">IFERROR(INDEX(Electricity_projection,MATCH($B61&amp;$A61,INDEX(Electricity_projection,0,3),0),MATCH(YEAR(TODAY()),Timeline_elec_projec,0)+3)*INDEX(Recyc_mat_energy_input,MATCH(BL$1,'Data Entry'!$B$91:$B$96,0),1)+Diesel_density*INDEX(Recyc_mat_energy_input,MATCH(BL$1,'Data Entry'!$B$91:$B$96,0),2)*INDEX(Indicators,ROW(),MATCH("Diesel Combustion",Materials!$1:$1,0)), "")</f>
        <v>6.1811499985694372E-2</v>
      </c>
      <c r="BM61" s="1"/>
      <c r="BN61" s="1">
        <f>IF(Steel_supplier="Pacific Steel",Material_Impacts[[#This Row],[Pacific Steel]],Material_Impacts[[#This Row],[Infrabuild]])</f>
        <v>49.9</v>
      </c>
      <c r="BO61" s="1">
        <v>49.9</v>
      </c>
      <c r="BP61" s="1">
        <v>0.26238599999999995</v>
      </c>
      <c r="BQ61">
        <v>49.45532</v>
      </c>
      <c r="BR61">
        <v>48.832590000000003</v>
      </c>
      <c r="BS61" s="443"/>
      <c r="BT61" s="443"/>
      <c r="BU61" s="443"/>
      <c r="BV61" s="443">
        <v>1</v>
      </c>
      <c r="BX61" s="1">
        <v>3.4202300000000001</v>
      </c>
      <c r="BY61" s="1">
        <f t="shared" si="3"/>
        <v>7.9126200115673812E-2</v>
      </c>
      <c r="BZ61">
        <v>45.145400000000002</v>
      </c>
      <c r="CA61" s="1">
        <v>0</v>
      </c>
      <c r="CB61">
        <v>1.2203999999999999E-4</v>
      </c>
      <c r="CC61">
        <v>44.146239999999999</v>
      </c>
      <c r="CD61" s="378">
        <f t="shared" si="7"/>
        <v>1.1764241063999998</v>
      </c>
      <c r="CE61" s="208">
        <f t="shared" si="4"/>
        <v>45.322664106399998</v>
      </c>
      <c r="CF61" s="208"/>
      <c r="CG61" s="208"/>
      <c r="CH61" s="208"/>
      <c r="CI61" s="208"/>
      <c r="CJ61" s="208"/>
      <c r="CK61" s="208"/>
      <c r="CL61" s="208"/>
      <c r="CM61" s="208"/>
      <c r="CN61" s="208"/>
      <c r="CP61" s="208"/>
    </row>
    <row r="62" spans="1:106" x14ac:dyDescent="0.35">
      <c r="A62" t="s">
        <v>491</v>
      </c>
      <c r="B62" t="s">
        <v>485</v>
      </c>
      <c r="C62" t="s">
        <v>51</v>
      </c>
      <c r="D62" t="str">
        <f>Material_Impacts[[#This Row],[15804 version]]&amp;Material_Impacts[[#This Row],[Methodology]]&amp;Material_Impacts[[#This Row],[Acronym]]</f>
        <v>A1ConsequentialEP</v>
      </c>
      <c r="E62" t="s">
        <v>738</v>
      </c>
      <c r="F62" t="s">
        <v>739</v>
      </c>
      <c r="G62" s="1">
        <v>2.4546062039137698E-3</v>
      </c>
      <c r="H62" s="1">
        <v>3.3509803921568603E-3</v>
      </c>
      <c r="I62" s="1">
        <v>1.10098534735126E-3</v>
      </c>
      <c r="J62" s="1">
        <v>2.4546062039137698E-3</v>
      </c>
      <c r="K62" s="1">
        <v>1.0554041075828542E-7</v>
      </c>
      <c r="L62" s="1">
        <v>2.2726685639298297E-7</v>
      </c>
      <c r="M62" s="1">
        <v>8.8568106175459054E-8</v>
      </c>
      <c r="N62" s="1"/>
      <c r="O62" s="443"/>
      <c r="P62" s="1">
        <v>2.5091399999999998E-5</v>
      </c>
      <c r="Q62" s="1">
        <v>0</v>
      </c>
      <c r="R62" s="1">
        <v>0</v>
      </c>
      <c r="S62" s="1">
        <v>0</v>
      </c>
      <c r="T62" s="1">
        <v>0</v>
      </c>
      <c r="U62" s="1">
        <v>0</v>
      </c>
      <c r="V62" s="1">
        <f ca="1">IFERROR('Dynamic Materials'!Q71+'Dynamic Materials'!AQ71, 0)</f>
        <v>1.9890063146837865E-4</v>
      </c>
      <c r="W62" s="1">
        <f ca="1">'Dynamic Materials'!R71</f>
        <v>1.5139569919385236E-4</v>
      </c>
      <c r="X62" s="1">
        <f ca="1">'Dynamic Materials'!T71</f>
        <v>1.4742685824186308E-4</v>
      </c>
      <c r="Y62" s="1">
        <f ca="1">IFERROR('Dynamic Materials'!U71+'Dynamic Materials'!AQ71, 0)</f>
        <v>1.8538592334086789E-4</v>
      </c>
      <c r="Z62" s="1">
        <f ca="1">IFERROR('Dynamic Materials'!S71+'Dynamic Materials'!AQ71, 0)</f>
        <v>1.9194638417080164E-4</v>
      </c>
      <c r="AA62" s="1">
        <f ca="1">'Dynamic Materials'!W71</f>
        <v>7.6381544400000001E-4</v>
      </c>
      <c r="AB62" s="1">
        <v>5.5000000000000003E-4</v>
      </c>
      <c r="AC62" s="1">
        <v>6.28E-3</v>
      </c>
      <c r="AD62" s="209">
        <f>BZ62+200*Material_Impacts[[#This Row],[Truck (32+t)]]+1130*CB62</f>
        <v>6.5916253823509183E-4</v>
      </c>
      <c r="AE62" s="1">
        <v>4.4000000000000002E-4</v>
      </c>
      <c r="AF62" s="1">
        <v>3.94239E-5</v>
      </c>
      <c r="AG62" s="1"/>
      <c r="AH62" s="1">
        <v>2.0600000000000002E-3</v>
      </c>
      <c r="AI62" s="1">
        <f>'Dynamic Materials'!AG71</f>
        <v>-5.3499999999999999E-4</v>
      </c>
      <c r="AJ62" s="1">
        <v>3.8066699999999999E-5</v>
      </c>
      <c r="AK62" s="1">
        <v>3.35302E-5</v>
      </c>
      <c r="AL62" s="1"/>
      <c r="AM62" s="1">
        <f t="shared" si="5"/>
        <v>4.5599999999999997E-5</v>
      </c>
      <c r="AN62" s="1">
        <v>5.1947200000000003E-5</v>
      </c>
      <c r="AO62" s="1">
        <v>4.6999999999999999E-4</v>
      </c>
      <c r="AP62" s="209">
        <v>4.6800000000000002E-8</v>
      </c>
      <c r="AQ62" s="1">
        <f ca="1">'Dynamic Materials'!O71</f>
        <v>4.2479220221320208E-5</v>
      </c>
      <c r="AR62" s="1">
        <f ca="1">'Dynamic Materials'!P71</f>
        <v>-5.9620532072785301E-5</v>
      </c>
      <c r="AS62" s="1"/>
      <c r="AT62" s="1" cm="1">
        <f t="array" aca="1" ref="AT62" ca="1">IFERROR(INDEX(Electricity_projection,MATCH($B62&amp;$A62,INDEX(Electricity_projection,0,3),0),MATCH(YEAR(TODAY()),Timeline_elec_projec,0)+3)*INDEX(Recyc_mat_energy_input,MATCH(AT$1,'Data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3.1164552417177667E-6</v>
      </c>
      <c r="AU62" s="1" cm="1">
        <f t="array" aca="1" ref="AU62" ca="1">IFERROR(INDEX(Electricity_projection,MATCH($B62&amp;$A62,INDEX(Electricity_projection,0,3),0),MATCH(YEAR(TODAY()),Timeline_elec_projec,0)+3)*INDEX(Recyc_mat_energy_input,MATCH(AU$1,'Data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2.3390111935336644E-6</v>
      </c>
      <c r="AV62" s="1" cm="1">
        <f t="array" aca="1" ref="AV62" ca="1">IFERROR(INDEX(Electricity_projection,MATCH($B62&amp;$A62,INDEX(Electricity_projection,0,3),0),MATCH(YEAR(TODAY()),Timeline_elec_projec,0)+3)*INDEX(Recyc_mat_energy_input,MATCH(AV$1,'Data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4.100921410825954E-6</v>
      </c>
      <c r="AW62" s="1"/>
      <c r="AX62" s="1"/>
      <c r="AY62" s="1"/>
      <c r="AZ62" s="1"/>
      <c r="BA62" s="1"/>
      <c r="BB62" s="1"/>
      <c r="BC62" s="1">
        <f t="shared" si="6"/>
        <v>1.14E-3</v>
      </c>
      <c r="BD62" s="1">
        <v>1.14E-3</v>
      </c>
      <c r="BE62" s="1">
        <v>1.14E-3</v>
      </c>
      <c r="BF62" s="1"/>
      <c r="BG62" s="1">
        <f ca="1">'Dynamic Materials'!V71</f>
        <v>1.9978543190302407E-4</v>
      </c>
      <c r="BH62" s="1"/>
      <c r="BI62" s="1" cm="1">
        <f t="array" aca="1" ref="BI62" ca="1">IFERROR(INDEX(Electricity_projection,MATCH($B62&amp;$A62,INDEX(Electricity_projection,0,3),0),MATCH(YEAR(TODAY()),Timeline_elec_projec,0)+3)*INDEX(Recyc_mat_energy_input,MATCH(BI$1,'Data Entry'!$B$91:$B$96,0),1)+Diesel_density*INDEX(Recyc_mat_energy_input,MATCH(BI$1,'Data Entry'!$B$91:$B$96,0),2)*INDEX(Indicators,ROW(),MATCH("Diesel Combustion",Materials!$1:$1,0)), "")</f>
        <v>0</v>
      </c>
      <c r="BJ62" s="1"/>
      <c r="BK62" s="1" cm="1">
        <f t="array" aca="1" ref="BK62" ca="1">IFERROR(INDEX(Electricity_projection,MATCH($B62&amp;$A62,INDEX(Electricity_projection,0,3),0),MATCH(YEAR(TODAY()),Timeline_elec_projec,0)+3)*INDEX(Recyc_mat_energy_input,MATCH(BK$1,'Data Entry'!$B$91:$B$96,0),1)+Diesel_density*INDEX(Recyc_mat_energy_input,MATCH(BK$1,'Data Entry'!$B$91:$B$96,0),2)*INDEX(Indicators,ROW(),MATCH("Diesel Combustion",Materials!$1:$1,0)), "")</f>
        <v>1.0836595469038512E-6</v>
      </c>
      <c r="BL62" s="1" cm="1">
        <f t="array" aca="1" ref="BL62" ca="1">IFERROR(INDEX(Electricity_projection,MATCH($B62&amp;$A62,INDEX(Electricity_projection,0,3),0),MATCH(YEAR(TODAY()),Timeline_elec_projec,0)+3)*INDEX(Recyc_mat_energy_input,MATCH(BL$1,'Data Entry'!$B$91:$B$96,0),1)+Diesel_density*INDEX(Recyc_mat_energy_input,MATCH(BL$1,'Data Entry'!$B$91:$B$96,0),2)*INDEX(Indicators,ROW(),MATCH("Diesel Combustion",Materials!$1:$1,0)), "")</f>
        <v>1.2400562503261404E-5</v>
      </c>
      <c r="BM62" s="1"/>
      <c r="BN62" s="1">
        <f>IF(Steel_supplier="Pacific Steel",Material_Impacts[[#This Row],[Pacific Steel]],Material_Impacts[[#This Row],[Infrabuild]])</f>
        <v>2.0200000000000001E-3</v>
      </c>
      <c r="BO62" s="1">
        <v>2.0200000000000001E-3</v>
      </c>
      <c r="BP62" s="1">
        <v>5.9836435000000004E-5</v>
      </c>
      <c r="BQ62">
        <v>7.6999999999999996E-4</v>
      </c>
      <c r="BR62">
        <v>6.9999999999999999E-4</v>
      </c>
      <c r="BS62" s="443"/>
      <c r="BT62" s="443"/>
      <c r="BU62" s="443"/>
      <c r="BV62" s="443">
        <v>1</v>
      </c>
      <c r="BX62" s="1">
        <v>5.8E-4</v>
      </c>
      <c r="BY62" s="1">
        <f t="shared" si="3"/>
        <v>1.3418160786581839E-5</v>
      </c>
      <c r="BZ62">
        <v>6.0999999999999997E-4</v>
      </c>
      <c r="CA62" s="1">
        <v>0</v>
      </c>
      <c r="CB62">
        <v>2.7830900000000001E-8</v>
      </c>
      <c r="CC62" s="1">
        <v>2.0600000000000002E-3</v>
      </c>
      <c r="CD62" s="378">
        <f t="shared" si="7"/>
        <v>2.6828041349400003E-4</v>
      </c>
      <c r="CE62" s="208">
        <f t="shared" si="4"/>
        <v>2.3282804134940002E-3</v>
      </c>
      <c r="CF62" s="208"/>
      <c r="CG62" s="208"/>
      <c r="CH62" s="208"/>
      <c r="CI62" s="208"/>
      <c r="CJ62" s="208"/>
      <c r="CK62" s="208"/>
      <c r="CL62" s="208"/>
      <c r="CM62" s="209"/>
      <c r="CN62" s="208"/>
      <c r="CP62" s="208"/>
    </row>
    <row r="63" spans="1:106" x14ac:dyDescent="0.35">
      <c r="A63" t="s">
        <v>382</v>
      </c>
      <c r="B63" t="s">
        <v>485</v>
      </c>
      <c r="C63" t="s">
        <v>51</v>
      </c>
      <c r="D63" t="str">
        <f>Material_Impacts[[#This Row],[15804 version]]&amp;Material_Impacts[[#This Row],[Methodology]]&amp;Material_Impacts[[#This Row],[Acronym]]</f>
        <v>A1ConsequentialGWP</v>
      </c>
      <c r="E63" t="s">
        <v>740</v>
      </c>
      <c r="F63" t="s">
        <v>381</v>
      </c>
      <c r="G63" s="1">
        <v>3.6462571296816502</v>
      </c>
      <c r="H63" s="1">
        <v>3.6551847058823599</v>
      </c>
      <c r="I63" s="1">
        <v>3.7161973839233902</v>
      </c>
      <c r="J63" s="1">
        <v>0.48693734671423017</v>
      </c>
      <c r="K63" s="1">
        <v>9.4193925184971478E-5</v>
      </c>
      <c r="L63" s="1">
        <v>2.2782051906579238E-4</v>
      </c>
      <c r="M63" s="1">
        <v>7.9412146377137114E-5</v>
      </c>
      <c r="N63" s="1"/>
      <c r="O63" s="443"/>
      <c r="P63" s="1">
        <v>8.226E-2</v>
      </c>
      <c r="Q63" s="1">
        <v>0</v>
      </c>
      <c r="R63" s="1">
        <v>0</v>
      </c>
      <c r="S63" s="1">
        <v>0</v>
      </c>
      <c r="T63" s="1">
        <v>0</v>
      </c>
      <c r="U63" s="1">
        <v>0</v>
      </c>
      <c r="V63" s="1">
        <f ca="1">IFERROR('Dynamic Materials'!Q72+'Dynamic Materials'!AQ72, 0)</f>
        <v>5.9854980225698573E-2</v>
      </c>
      <c r="W63" s="1">
        <f ca="1">'Dynamic Materials'!R72</f>
        <v>4.1666357499562164E-2</v>
      </c>
      <c r="X63" s="1">
        <f ca="1">'Dynamic Materials'!T72</f>
        <v>3.6717518842492448E-2</v>
      </c>
      <c r="Y63" s="1">
        <f ca="1">IFERROR('Dynamic Materials'!U72+'Dynamic Materials'!AQ72, 0)</f>
        <v>5.1920152345760535E-2</v>
      </c>
      <c r="Z63" s="1">
        <f ca="1">IFERROR('Dynamic Materials'!S72+'Dynamic Materials'!AQ72, 0)</f>
        <v>5.6143515245440298E-2</v>
      </c>
      <c r="AA63" s="1">
        <f ca="1">'Dynamic Materials'!W72</f>
        <v>0.60570567400000008</v>
      </c>
      <c r="AB63" s="1">
        <v>0.39438000000000001</v>
      </c>
      <c r="AC63" s="1">
        <v>5.1649700000000003</v>
      </c>
      <c r="AD63" s="209">
        <f>BZ63+200*Material_Impacts[[#This Row],[Truck (32+t)]]+1130*CB63</f>
        <v>0.42616652927542742</v>
      </c>
      <c r="AE63" s="1">
        <v>0.27860000000000001</v>
      </c>
      <c r="AF63" s="1">
        <v>2.708E-2</v>
      </c>
      <c r="AG63" s="1"/>
      <c r="AH63" s="1">
        <v>1.13036</v>
      </c>
      <c r="AI63" s="1">
        <f>'Dynamic Materials'!AG72</f>
        <v>0.92111600000000005</v>
      </c>
      <c r="AJ63" s="1">
        <v>2.2370000000000001E-2</v>
      </c>
      <c r="AK63" s="1">
        <v>1.3429999999999999E-2</v>
      </c>
      <c r="AL63" s="1"/>
      <c r="AM63" s="1">
        <f t="shared" si="5"/>
        <v>3.6160000000000005E-2</v>
      </c>
      <c r="AN63" s="1">
        <v>4.793E-2</v>
      </c>
      <c r="AO63" s="1">
        <v>0.25147000000000003</v>
      </c>
      <c r="AP63" s="209">
        <v>7.7799999999999994E-5</v>
      </c>
      <c r="AQ63" s="1">
        <f ca="1">'Dynamic Materials'!O72</f>
        <v>2.9170416705529785E-2</v>
      </c>
      <c r="AR63" s="1">
        <f ca="1">'Dynamic Materials'!P72</f>
        <v>6.9528664949004129E-2</v>
      </c>
      <c r="AS63" s="1"/>
      <c r="AT63" s="1" cm="1">
        <f t="array" aca="1" ref="AT63" ca="1">IFERROR(INDEX(Electricity_projection,MATCH($B63&amp;$A63,INDEX(Electricity_projection,0,3),0),MATCH(YEAR(TODAY()),Timeline_elec_projec,0)+3)*INDEX(Recyc_mat_energy_input,MATCH(AT$1,'Data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3.8302393074512156E-3</v>
      </c>
      <c r="AU63" s="1" cm="1">
        <f t="array" aca="1" ref="AU63" ca="1">IFERROR(INDEX(Electricity_projection,MATCH($B63&amp;$A63,INDEX(Electricity_projection,0,3),0),MATCH(YEAR(TODAY()),Timeline_elec_projec,0)+3)*INDEX(Recyc_mat_energy_input,MATCH(AU$1,'Data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2.5561344505870679E-3</v>
      </c>
      <c r="AV63" s="1" cm="1">
        <f t="array" aca="1" ref="AV63" ca="1">IFERROR(INDEX(Electricity_projection,MATCH($B63&amp;$A63,INDEX(Electricity_projection,0,3),0),MATCH(YEAR(TODAY()),Timeline_elec_projec,0)+3)*INDEX(Recyc_mat_energy_input,MATCH(AV$1,'Data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2.5504945088975035E-3</v>
      </c>
      <c r="AW63" s="1"/>
      <c r="AX63" s="1"/>
      <c r="AY63" s="1"/>
      <c r="AZ63" s="1"/>
      <c r="BA63" s="1"/>
      <c r="BB63" s="1"/>
      <c r="BC63" s="1">
        <f t="shared" si="6"/>
        <v>0.90400000000000003</v>
      </c>
      <c r="BD63" s="1">
        <v>0.90400000000000003</v>
      </c>
      <c r="BE63" s="1">
        <v>0.90400000000000003</v>
      </c>
      <c r="BF63" s="1"/>
      <c r="BG63" s="1">
        <f ca="1">'Dynamic Materials'!V72</f>
        <v>0.23001688855550512</v>
      </c>
      <c r="BH63" s="1"/>
      <c r="BI63" s="1" cm="1">
        <f t="array" aca="1" ref="BI63" ca="1">IFERROR(INDEX(Electricity_projection,MATCH($B63&amp;$A63,INDEX(Electricity_projection,0,3),0),MATCH(YEAR(TODAY()),Timeline_elec_projec,0)+3)*INDEX(Recyc_mat_energy_input,MATCH(BI$1,'Data Entry'!$B$91:$B$96,0),1)+Diesel_density*INDEX(Recyc_mat_energy_input,MATCH(BI$1,'Data Entry'!$B$91:$B$96,0),2)*INDEX(Indicators,ROW(),MATCH("Diesel Combustion",Materials!$1:$1,0)), "")</f>
        <v>0</v>
      </c>
      <c r="BJ63" s="1"/>
      <c r="BK63" s="1" cm="1">
        <f t="array" aca="1" ref="BK63" ca="1">IFERROR(INDEX(Electricity_projection,MATCH($B63&amp;$A63,INDEX(Electricity_projection,0,3),0),MATCH(YEAR(TODAY()),Timeline_elec_projec,0)+3)*INDEX(Recyc_mat_energy_input,MATCH(BK$1,'Data Entry'!$B$91:$B$96,0),1)+Diesel_density*INDEX(Recyc_mat_energy_input,MATCH(BK$1,'Data Entry'!$B$91:$B$96,0),2)*INDEX(Indicators,ROW(),MATCH("Diesel Combustion",Materials!$1:$1,0)), "")</f>
        <v>1.6097495976118551E-3</v>
      </c>
      <c r="BL63" s="1" cm="1">
        <f t="array" aca="1" ref="BL63" ca="1">IFERROR(INDEX(Electricity_projection,MATCH($B63&amp;$A63,INDEX(Electricity_projection,0,3),0),MATCH(YEAR(TODAY()),Timeline_elec_projec,0)+3)*INDEX(Recyc_mat_energy_input,MATCH(BL$1,'Data Entry'!$B$91:$B$96,0),1)+Diesel_density*INDEX(Recyc_mat_energy_input,MATCH(BL$1,'Data Entry'!$B$91:$B$96,0),2)*INDEX(Indicators,ROW(),MATCH("Diesel Combustion",Materials!$1:$1,0)), "")</f>
        <v>5.2326520855791843E-3</v>
      </c>
      <c r="BM63" s="1"/>
      <c r="BN63" s="1">
        <f>IF(Steel_supplier="Pacific Steel",Material_Impacts[[#This Row],[Pacific Steel]],Material_Impacts[[#This Row],[Infrabuild]])</f>
        <v>3.97</v>
      </c>
      <c r="BO63" s="1">
        <v>3.97</v>
      </c>
      <c r="BP63" s="1">
        <v>2.05755E-2</v>
      </c>
      <c r="BQ63">
        <v>0.57918999999999998</v>
      </c>
      <c r="BR63">
        <v>0.44441999999999998</v>
      </c>
      <c r="BS63" s="443"/>
      <c r="BT63" s="443"/>
      <c r="BU63" s="443"/>
      <c r="BV63" s="443">
        <v>1</v>
      </c>
      <c r="BX63" s="1">
        <v>0.25739000000000001</v>
      </c>
      <c r="BY63" s="1">
        <f t="shared" si="3"/>
        <v>5.9546558704453448E-3</v>
      </c>
      <c r="BZ63">
        <v>0.39946999999999999</v>
      </c>
      <c r="CA63" s="1">
        <v>0</v>
      </c>
      <c r="CB63">
        <v>9.5699999999999999E-6</v>
      </c>
      <c r="CC63">
        <v>1.1161799999999999</v>
      </c>
      <c r="CD63" s="378">
        <f t="shared" si="7"/>
        <v>9.2251546199999993E-2</v>
      </c>
      <c r="CE63" s="208">
        <f t="shared" si="4"/>
        <v>1.2084315461999999</v>
      </c>
      <c r="CF63" s="208"/>
      <c r="CG63" s="208"/>
      <c r="CH63" s="208"/>
      <c r="CI63" s="208"/>
      <c r="CJ63" s="208"/>
      <c r="CK63" s="208"/>
      <c r="CL63" s="208"/>
      <c r="CM63" s="209"/>
      <c r="CN63" s="208"/>
      <c r="CP63" s="208"/>
    </row>
    <row r="64" spans="1:106" x14ac:dyDescent="0.35">
      <c r="A64" t="s">
        <v>403</v>
      </c>
      <c r="B64" t="s">
        <v>485</v>
      </c>
      <c r="C64" t="s">
        <v>51</v>
      </c>
      <c r="D64" t="str">
        <f>Material_Impacts[[#This Row],[15804 version]]&amp;Material_Impacts[[#This Row],[Methodology]]&amp;Material_Impacts[[#This Row],[Acronym]]</f>
        <v>A1ConsequentialODP</v>
      </c>
      <c r="E64" t="s">
        <v>741</v>
      </c>
      <c r="F64" t="s">
        <v>742</v>
      </c>
      <c r="G64" s="1">
        <v>6.4155499999999995E-7</v>
      </c>
      <c r="H64" s="1">
        <v>6.4155499999999995E-7</v>
      </c>
      <c r="I64" s="1">
        <v>6.4846900000000001E-7</v>
      </c>
      <c r="J64" s="1">
        <v>6.4155499999999995E-7</v>
      </c>
      <c r="K64" s="1">
        <v>1.6605356073099872E-11</v>
      </c>
      <c r="L64" s="1">
        <v>4.020868620742299E-11</v>
      </c>
      <c r="M64" s="1">
        <v>1.3983017109767626E-11</v>
      </c>
      <c r="N64" s="1"/>
      <c r="O64" s="443"/>
      <c r="P64" s="1">
        <v>9.1252600000000008E-9</v>
      </c>
      <c r="Q64" s="1">
        <v>0</v>
      </c>
      <c r="R64" s="1">
        <v>0</v>
      </c>
      <c r="S64" s="1">
        <v>0</v>
      </c>
      <c r="T64" s="1">
        <v>0</v>
      </c>
      <c r="U64" s="1">
        <v>0</v>
      </c>
      <c r="V64" s="1">
        <f ca="1">IFERROR('Dynamic Materials'!Q73+'Dynamic Materials'!AQ73, 0)</f>
        <v>1.229068345266628E-4</v>
      </c>
      <c r="W64" s="1">
        <f ca="1">'Dynamic Materials'!R73</f>
        <v>1.2290161596365535E-4</v>
      </c>
      <c r="X64" s="1">
        <f ca="1">'Dynamic Materials'!T73</f>
        <v>1.2289591041770445E-4</v>
      </c>
      <c r="Y64" s="1">
        <f ca="1">IFERROR('Dynamic Materials'!U73+'Dynamic Materials'!AQ73, 0)</f>
        <v>1.2289504838310626E-4</v>
      </c>
      <c r="Z64" s="1">
        <f ca="1">IFERROR('Dynamic Materials'!S73+'Dynamic Materials'!AQ73, 0)</f>
        <v>1.2290102335632959E-4</v>
      </c>
      <c r="AA64" s="1">
        <f ca="1">'Dynamic Materials'!W73</f>
        <v>1.2130022800000001E-8</v>
      </c>
      <c r="AB64" s="1">
        <v>3.2238000000000001E-7</v>
      </c>
      <c r="AC64" s="1">
        <v>2.8175700000000001E-8</v>
      </c>
      <c r="AD64" s="209">
        <f>BZ64+200*Material_Impacts[[#This Row],[Truck (32+t)]]+1130*CB64</f>
        <v>5.9811555292195356E-7</v>
      </c>
      <c r="AE64" s="1">
        <v>3.9890800000000001E-7</v>
      </c>
      <c r="AF64" s="1">
        <v>8.2798800000000002E-9</v>
      </c>
      <c r="AG64" s="1"/>
      <c r="AH64" s="1">
        <v>4.0579599999999999E-7</v>
      </c>
      <c r="AI64" s="1">
        <f>'Dynamic Materials'!AG73</f>
        <v>5.5586580000000008E-7</v>
      </c>
      <c r="AJ64" s="1">
        <v>1.7520199999999999E-9</v>
      </c>
      <c r="AK64" s="1">
        <v>1.3034000000000001E-9</v>
      </c>
      <c r="AL64" s="1"/>
      <c r="AM64" s="1">
        <f t="shared" si="5"/>
        <v>7.2399999999999998E-10</v>
      </c>
      <c r="AN64" s="1">
        <v>1.88811E-9</v>
      </c>
      <c r="AO64" s="1">
        <v>8.9409300000000006E-8</v>
      </c>
      <c r="AP64" s="209">
        <v>9.1600000000000006E-12</v>
      </c>
      <c r="AQ64" s="1">
        <f ca="1">'Dynamic Materials'!O73</f>
        <v>3.6468069929040723E-8</v>
      </c>
      <c r="AR64" s="1">
        <f ca="1">'Dynamic Materials'!P73</f>
        <v>3.2039058753723512E-8</v>
      </c>
      <c r="AS64" s="1"/>
      <c r="AT64" s="1" cm="1">
        <f t="array" aca="1" ref="AT64" ca="1">IFERROR(INDEX(Electricity_projection,MATCH($B64&amp;$A64,INDEX(Electricity_projection,0,3),0),MATCH(YEAR(TODAY()),Timeline_elec_projec,0)+3)*INDEX(Recyc_mat_energy_input,MATCH(AT$1,'Data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6.1823058906757036E-10</v>
      </c>
      <c r="AU64" s="1" cm="1">
        <f t="array" aca="1" ref="AU64" ca="1">IFERROR(INDEX(Electricity_projection,MATCH($B64&amp;$A64,INDEX(Electricity_projection,0,3),0),MATCH(YEAR(TODAY()),Timeline_elec_projec,0)+3)*INDEX(Recyc_mat_energy_input,MATCH(AU$1,'Data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3.8749867609595444E-10</v>
      </c>
      <c r="AV64" s="1" cm="1">
        <f t="array" aca="1" ref="AV64" ca="1">IFERROR(INDEX(Electricity_projection,MATCH($B64&amp;$A64,INDEX(Electricity_projection,0,3),0),MATCH(YEAR(TODAY()),Timeline_elec_projec,0)+3)*INDEX(Recyc_mat_energy_input,MATCH(AV$1,'Data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2.087233637293158E-10</v>
      </c>
      <c r="AW64" s="1"/>
      <c r="AX64" s="1"/>
      <c r="AY64" s="1"/>
      <c r="AZ64" s="1"/>
      <c r="BA64" s="1"/>
      <c r="BB64" s="1"/>
      <c r="BC64" s="1">
        <f t="shared" si="6"/>
        <v>1.81E-8</v>
      </c>
      <c r="BD64" s="1">
        <v>1.81E-8</v>
      </c>
      <c r="BE64" s="1">
        <v>1.81E-8</v>
      </c>
      <c r="BF64" s="1"/>
      <c r="BG64" s="1">
        <f ca="1">'Dynamic Materials'!V73</f>
        <v>2.5243098672796486E-9</v>
      </c>
      <c r="BH64" s="1"/>
      <c r="BI64" s="1" cm="1">
        <f t="array" aca="1" ref="BI64" ca="1">IFERROR(INDEX(Electricity_projection,MATCH($B64&amp;$A64,INDEX(Electricity_projection,0,3),0),MATCH(YEAR(TODAY()),Timeline_elec_projec,0)+3)*INDEX(Recyc_mat_energy_input,MATCH(BI$1,'Data Entry'!$B$91:$B$96,0),1)+Diesel_density*INDEX(Recyc_mat_energy_input,MATCH(BI$1,'Data Entry'!$B$91:$B$96,0),2)*INDEX(Indicators,ROW(),MATCH("Diesel Combustion",Materials!$1:$1,0)), "")</f>
        <v>0</v>
      </c>
      <c r="BJ64" s="1"/>
      <c r="BK64" s="1" cm="1">
        <f t="array" aca="1" ref="BK64" ca="1">IFERROR(INDEX(Electricity_projection,MATCH($B64&amp;$A64,INDEX(Electricity_projection,0,3),0),MATCH(YEAR(TODAY()),Timeline_elec_projec,0)+3)*INDEX(Recyc_mat_energy_input,MATCH(BK$1,'Data Entry'!$B$91:$B$96,0),1)+Diesel_density*INDEX(Recyc_mat_energy_input,MATCH(BK$1,'Data Entry'!$B$91:$B$96,0),2)*INDEX(Indicators,ROW(),MATCH("Diesel Combustion",Materials!$1:$1,0)), "")</f>
        <v>2.8323370140000004E-10</v>
      </c>
      <c r="BL64" s="1" cm="1">
        <f t="array" aca="1" ref="BL64" ca="1">IFERROR(INDEX(Electricity_projection,MATCH($B64&amp;$A64,INDEX(Electricity_projection,0,3),0),MATCH(YEAR(TODAY()),Timeline_elec_projec,0)+3)*INDEX(Recyc_mat_energy_input,MATCH(BL$1,'Data Entry'!$B$91:$B$96,0),1)+Diesel_density*INDEX(Recyc_mat_energy_input,MATCH(BL$1,'Data Entry'!$B$91:$B$96,0),2)*INDEX(Indicators,ROW(),MATCH("Diesel Combustion",Materials!$1:$1,0)), "")</f>
        <v>2.6782245808196976E-11</v>
      </c>
      <c r="BM64" s="1"/>
      <c r="BN64" s="1">
        <f>IF(Steel_supplier="Pacific Steel",Material_Impacts[[#This Row],[Pacific Steel]],Material_Impacts[[#This Row],[Infrabuild]])</f>
        <v>2.5299999999999999E-12</v>
      </c>
      <c r="BO64" s="1">
        <v>2.5299999999999999E-12</v>
      </c>
      <c r="BP64" s="1">
        <v>3.2382225E-9</v>
      </c>
      <c r="BQ64" s="1">
        <v>6.4846900000000001E-7</v>
      </c>
      <c r="BR64" s="1">
        <v>6.4155499999999995E-7</v>
      </c>
      <c r="BS64" s="443"/>
      <c r="BT64" s="443"/>
      <c r="BU64" s="443"/>
      <c r="BV64" s="443">
        <v>1</v>
      </c>
      <c r="BW64" s="1"/>
      <c r="BX64" s="1">
        <v>4.36755E-8</v>
      </c>
      <c r="BY64" s="1">
        <f t="shared" si="3"/>
        <v>1.0104222093695778E-9</v>
      </c>
      <c r="BZ64" s="1">
        <v>5.9361699999999996E-7</v>
      </c>
      <c r="CA64" s="1">
        <v>0</v>
      </c>
      <c r="CB64">
        <v>1.50615E-12</v>
      </c>
      <c r="CC64" s="1">
        <v>4.0440899999999998E-7</v>
      </c>
      <c r="CD64" s="378">
        <f t="shared" si="7"/>
        <v>1.4518773909E-8</v>
      </c>
      <c r="CE64" s="208">
        <f t="shared" si="4"/>
        <v>4.18927773909E-7</v>
      </c>
      <c r="CF64" s="208"/>
      <c r="CG64" s="208"/>
      <c r="CH64" s="208"/>
      <c r="CI64" s="208"/>
      <c r="CJ64" s="208"/>
      <c r="CK64" s="209"/>
      <c r="CL64" s="209"/>
      <c r="CM64" s="209"/>
      <c r="CN64" s="208"/>
      <c r="CP64" s="208"/>
    </row>
    <row r="65" spans="1:94" x14ac:dyDescent="0.35">
      <c r="A65" t="s">
        <v>495</v>
      </c>
      <c r="B65" t="s">
        <v>485</v>
      </c>
      <c r="C65" t="s">
        <v>51</v>
      </c>
      <c r="D65" t="str">
        <f>Material_Impacts[[#This Row],[15804 version]]&amp;Material_Impacts[[#This Row],[Methodology]]&amp;Material_Impacts[[#This Row],[Acronym]]</f>
        <v>A1ConsequentialPOCP</v>
      </c>
      <c r="E65" t="s">
        <v>743</v>
      </c>
      <c r="F65" t="s">
        <v>744</v>
      </c>
      <c r="G65" s="1">
        <v>-1.90778320464974E-3</v>
      </c>
      <c r="H65" s="1">
        <v>1.083188576588236E-3</v>
      </c>
      <c r="I65" s="1">
        <v>1.7423091087808031E-4</v>
      </c>
      <c r="J65" s="1">
        <v>-1.90778320464974E-3</v>
      </c>
      <c r="K65" s="1">
        <v>-1.4900320081625882E-7</v>
      </c>
      <c r="L65" s="1">
        <v>-3.1061318482534605E-7</v>
      </c>
      <c r="M65" s="1">
        <v>-1.2504347706589821E-7</v>
      </c>
      <c r="N65" s="1"/>
      <c r="O65" s="443"/>
      <c r="P65" s="1">
        <v>8.7763600000000001E-6</v>
      </c>
      <c r="Q65" s="1">
        <v>0</v>
      </c>
      <c r="R65" s="1">
        <v>0</v>
      </c>
      <c r="S65" s="1">
        <v>0</v>
      </c>
      <c r="T65" s="1">
        <v>0</v>
      </c>
      <c r="U65" s="1">
        <v>0</v>
      </c>
      <c r="V65" s="1">
        <f ca="1">IFERROR('Dynamic Materials'!Q74+'Dynamic Materials'!AQ74, 0)</f>
        <v>1.4115485007487781E-4</v>
      </c>
      <c r="W65" s="1">
        <f ca="1">'Dynamic Materials'!R74</f>
        <v>1.3417492654463177E-4</v>
      </c>
      <c r="X65" s="1">
        <f ca="1">'Dynamic Materials'!T74</f>
        <v>1.3178601990284549E-4</v>
      </c>
      <c r="Y65" s="1">
        <f ca="1">IFERROR('Dynamic Materials'!U74+'Dynamic Materials'!AQ74, 0)</f>
        <v>1.3726341420476022E-4</v>
      </c>
      <c r="Z65" s="1">
        <f ca="1">IFERROR('Dynamic Materials'!S74+'Dynamic Materials'!AQ74, 0)</f>
        <v>1.3890290308212448E-4</v>
      </c>
      <c r="AA65" s="1">
        <f ca="1">'Dynamic Materials'!W74</f>
        <v>9.58129007E-5</v>
      </c>
      <c r="AB65" s="1">
        <v>1.3999999999999999E-4</v>
      </c>
      <c r="AC65" s="1">
        <v>1.06E-3</v>
      </c>
      <c r="AD65" s="209">
        <f>BZ65+200*Material_Impacts[[#This Row],[Truck (32+t)]]+1130*CB65</f>
        <v>1.6221614038682035E-4</v>
      </c>
      <c r="AE65" s="1">
        <v>1.2999999999999999E-4</v>
      </c>
      <c r="AF65" s="1">
        <v>6.6755800000000004E-6</v>
      </c>
      <c r="AG65" s="1"/>
      <c r="AH65" s="1">
        <v>3.2000000000000003E-4</v>
      </c>
      <c r="AI65" s="1">
        <f>'Dynamic Materials'!AG74</f>
        <v>2.1700000000000002E-4</v>
      </c>
      <c r="AJ65" s="1">
        <v>4.3071200000000004E-6</v>
      </c>
      <c r="AK65" s="1">
        <v>4.32581E-6</v>
      </c>
      <c r="AL65" s="1"/>
      <c r="AM65" s="1">
        <f t="shared" si="5"/>
        <v>5.7200000000000003E-6</v>
      </c>
      <c r="AN65" s="1">
        <v>5.9852900000000003E-6</v>
      </c>
      <c r="AO65" s="1">
        <v>7.0720600000000002E-5</v>
      </c>
      <c r="AP65" s="209">
        <v>8.7899999999999996E-9</v>
      </c>
      <c r="AQ65" s="1">
        <f ca="1">'Dynamic Materials'!O74</f>
        <v>8.1041859145785462E-6</v>
      </c>
      <c r="AR65" s="1">
        <f ca="1">'Dynamic Materials'!P74</f>
        <v>1.2201217491369326E-5</v>
      </c>
      <c r="AS65" s="1"/>
      <c r="AT65" s="1" cm="1">
        <f t="array" aca="1" ref="AT65" ca="1">IFERROR(INDEX(Electricity_projection,MATCH($B65&amp;$A65,INDEX(Electricity_projection,0,3),0),MATCH(YEAR(TODAY()),Timeline_elec_projec,0)+3)*INDEX(Recyc_mat_energy_input,MATCH(AT$1,'Data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-1.7327473496071023E-6</v>
      </c>
      <c r="AU65" s="1" cm="1">
        <f t="array" aca="1" ref="AU65" ca="1">IFERROR(INDEX(Electricity_projection,MATCH($B65&amp;$A65,INDEX(Electricity_projection,0,3),0),MATCH(YEAR(TODAY()),Timeline_elec_projec,0)+3)*INDEX(Recyc_mat_energy_input,MATCH(AU$1,'Data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-1.0436160671500383E-6</v>
      </c>
      <c r="AV65" s="1" cm="1">
        <f t="array" aca="1" ref="AV65" ca="1">IFERROR(INDEX(Electricity_projection,MATCH($B65&amp;$A65,INDEX(Electricity_projection,0,3),0),MATCH(YEAR(TODAY()),Timeline_elec_projec,0)+3)*INDEX(Recyc_mat_energy_input,MATCH(AV$1,'Data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-2.0160206113447169E-7</v>
      </c>
      <c r="AW65" s="1"/>
      <c r="AX65" s="1"/>
      <c r="AY65" s="1"/>
      <c r="AZ65" s="1"/>
      <c r="BA65" s="1"/>
      <c r="BB65" s="1"/>
      <c r="BC65" s="1">
        <f t="shared" si="6"/>
        <v>1.4300000000000001E-4</v>
      </c>
      <c r="BD65" s="1">
        <v>1.4300000000000001E-4</v>
      </c>
      <c r="BE65" s="1">
        <v>1.4300000000000001E-4</v>
      </c>
      <c r="BF65" s="1"/>
      <c r="BG65" s="1">
        <f ca="1">'Dynamic Materials'!V74</f>
        <v>7.5654624412969549E-5</v>
      </c>
      <c r="BH65" s="1"/>
      <c r="BI65" s="1" cm="1">
        <f t="array" aca="1" ref="BI65" ca="1">IFERROR(INDEX(Electricity_projection,MATCH($B65&amp;$A65,INDEX(Electricity_projection,0,3),0),MATCH(YEAR(TODAY()),Timeline_elec_projec,0)+3)*INDEX(Recyc_mat_energy_input,MATCH(BI$1,'Data Entry'!$B$91:$B$96,0),1)+Diesel_density*INDEX(Recyc_mat_energy_input,MATCH(BI$1,'Data Entry'!$B$91:$B$96,0),2)*INDEX(Indicators,ROW(),MATCH("Diesel Combustion",Materials!$1:$1,0)), "")</f>
        <v>0</v>
      </c>
      <c r="BJ65" s="1"/>
      <c r="BK65" s="1" cm="1">
        <f t="array" aca="1" ref="BK65" ca="1">IFERROR(INDEX(Electricity_projection,MATCH($B65&amp;$A65,INDEX(Electricity_projection,0,3),0),MATCH(YEAR(TODAY()),Timeline_elec_projec,0)+3)*INDEX(Recyc_mat_energy_input,MATCH(BK$1,'Data Entry'!$B$91:$B$96,0),1)+Diesel_density*INDEX(Recyc_mat_energy_input,MATCH(BK$1,'Data Entry'!$B$91:$B$96,0),2)*INDEX(Indicators,ROW(),MATCH("Diesel Combustion",Materials!$1:$1,0)), "")</f>
        <v>-8.4224812918876738E-7</v>
      </c>
      <c r="BL65" s="1" cm="1">
        <f t="array" aca="1" ref="BL65" ca="1">IFERROR(INDEX(Electricity_projection,MATCH($B65&amp;$A65,INDEX(Electricity_projection,0,3),0),MATCH(YEAR(TODAY()),Timeline_elec_projec,0)+3)*INDEX(Recyc_mat_energy_input,MATCH(BL$1,'Data Entry'!$B$91:$B$96,0),1)+Diesel_density*INDEX(Recyc_mat_energy_input,MATCH(BL$1,'Data Entry'!$B$91:$B$96,0),2)*INDEX(Indicators,ROW(),MATCH("Diesel Combustion",Materials!$1:$1,0)), "")</f>
        <v>1.4810184672448853E-6</v>
      </c>
      <c r="BM65" s="1"/>
      <c r="BN65" s="1">
        <f>IF(Steel_supplier="Pacific Steel",Material_Impacts[[#This Row],[Pacific Steel]],Material_Impacts[[#This Row],[Infrabuild]])</f>
        <v>1.98E-3</v>
      </c>
      <c r="BO65" s="1">
        <v>1.98E-3</v>
      </c>
      <c r="BP65" s="1">
        <v>1.3746369E-5</v>
      </c>
      <c r="BQ65">
        <v>1.9000000000000001E-4</v>
      </c>
      <c r="BR65">
        <v>1.7000000000000001E-4</v>
      </c>
      <c r="BS65" s="443"/>
      <c r="BT65" s="443"/>
      <c r="BU65" s="443"/>
      <c r="BV65" s="443">
        <v>1</v>
      </c>
      <c r="BX65" s="1">
        <v>7.8049199999999998E-5</v>
      </c>
      <c r="BY65" s="1">
        <f t="shared" si="3"/>
        <v>1.8056495083863505E-6</v>
      </c>
      <c r="BZ65">
        <v>1.8000000000000001E-4</v>
      </c>
      <c r="CA65" s="1">
        <v>0</v>
      </c>
      <c r="CB65">
        <v>6.39366E-9</v>
      </c>
      <c r="CC65" s="1">
        <v>3.2000000000000003E-4</v>
      </c>
      <c r="CD65" s="378">
        <f t="shared" si="7"/>
        <v>6.1632708555599998E-5</v>
      </c>
      <c r="CE65" s="208">
        <f t="shared" si="4"/>
        <v>3.8163270855560001E-4</v>
      </c>
      <c r="CF65" s="208"/>
      <c r="CG65" s="208"/>
      <c r="CH65" s="208"/>
      <c r="CI65" s="208"/>
      <c r="CJ65" s="208"/>
      <c r="CK65" s="208"/>
      <c r="CL65" s="208"/>
      <c r="CM65" s="209"/>
      <c r="CN65" s="208"/>
      <c r="CP65" s="208"/>
    </row>
    <row r="66" spans="1:94" x14ac:dyDescent="0.35">
      <c r="A66" t="s">
        <v>497</v>
      </c>
      <c r="B66" t="s">
        <v>485</v>
      </c>
      <c r="C66" t="s">
        <v>51</v>
      </c>
      <c r="D66" t="str">
        <f>Material_Impacts[[#This Row],[15804 version]]&amp;Material_Impacts[[#This Row],[Methodology]]&amp;Material_Impacts[[#This Row],[Acronym]]</f>
        <v>A1ConsequentialCFU</v>
      </c>
      <c r="E66" t="s">
        <v>745</v>
      </c>
      <c r="F66" t="s">
        <v>746</v>
      </c>
      <c r="G66" s="1">
        <v>0</v>
      </c>
      <c r="H66" s="1">
        <v>0</v>
      </c>
      <c r="I66" s="1">
        <v>0</v>
      </c>
      <c r="J66" s="1">
        <v>0</v>
      </c>
      <c r="K66" s="1">
        <v>0</v>
      </c>
      <c r="L66" s="1">
        <v>0</v>
      </c>
      <c r="M66" s="1">
        <v>0</v>
      </c>
      <c r="N66" s="1"/>
      <c r="O66" s="443"/>
      <c r="P66" s="1">
        <v>0</v>
      </c>
      <c r="Q66" s="1">
        <v>0</v>
      </c>
      <c r="R66" s="1">
        <v>0</v>
      </c>
      <c r="S66" s="1">
        <v>0</v>
      </c>
      <c r="T66" s="1">
        <v>0</v>
      </c>
      <c r="U66" s="1">
        <v>0</v>
      </c>
      <c r="V66" s="1">
        <f ca="1">IFERROR('Dynamic Materials'!Q75+'Dynamic Materials'!AQ75, 0)</f>
        <v>1.2286007609406925E-4</v>
      </c>
      <c r="W66" s="1">
        <f ca="1">'Dynamic Materials'!R75</f>
        <v>1.2286007609406925E-4</v>
      </c>
      <c r="X66" s="1">
        <f ca="1">'Dynamic Materials'!T75</f>
        <v>1.2286007609406925E-4</v>
      </c>
      <c r="Y66" s="1">
        <f ca="1">IFERROR('Dynamic Materials'!U75+'Dynamic Materials'!AQ75, 0)</f>
        <v>1.2286007609406925E-4</v>
      </c>
      <c r="Z66" s="1">
        <f ca="1">IFERROR('Dynamic Materials'!S75+'Dynamic Materials'!AQ75, 0)</f>
        <v>1.2286007609406925E-4</v>
      </c>
      <c r="AA66" s="1">
        <f ca="1">'Dynamic Materials'!W75</f>
        <v>0</v>
      </c>
      <c r="AB66" s="1">
        <v>0</v>
      </c>
      <c r="AC66" s="1">
        <v>0</v>
      </c>
      <c r="AD66" s="209">
        <f>BZ66+200*Material_Impacts[[#This Row],[Truck (32+t)]]+1130*CB66</f>
        <v>0</v>
      </c>
      <c r="AE66" s="1">
        <v>0</v>
      </c>
      <c r="AF66" s="1">
        <v>0</v>
      </c>
      <c r="AG66" s="1"/>
      <c r="AH66" s="1">
        <v>0</v>
      </c>
      <c r="AI66" s="1">
        <f>'Dynamic Materials'!AG75</f>
        <v>0</v>
      </c>
      <c r="AJ66" s="1">
        <v>0</v>
      </c>
      <c r="AK66" s="1">
        <v>0</v>
      </c>
      <c r="AL66" s="1"/>
      <c r="AM66" s="1">
        <f t="shared" si="5"/>
        <v>0</v>
      </c>
      <c r="AN66" s="1">
        <v>0</v>
      </c>
      <c r="AO66" s="1">
        <v>0</v>
      </c>
      <c r="AP66" s="209">
        <v>0</v>
      </c>
      <c r="AQ66" s="1">
        <f ca="1">'Dynamic Materials'!O75</f>
        <v>0</v>
      </c>
      <c r="AR66" s="1">
        <f ca="1">'Dynamic Materials'!P75</f>
        <v>0</v>
      </c>
      <c r="AS66" s="1"/>
      <c r="AT66" s="1" cm="1">
        <f t="array" aca="1" ref="AT66" ca="1">IFERROR(INDEX(Electricity_projection,MATCH($B66&amp;$A66,INDEX(Electricity_projection,0,3),0),MATCH(YEAR(TODAY()),Timeline_elec_projec,0)+3)*INDEX(Recyc_mat_energy_input,MATCH(AT$1,'Data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66" s="1" cm="1">
        <f t="array" aca="1" ref="AU66" ca="1">IFERROR(INDEX(Electricity_projection,MATCH($B66&amp;$A66,INDEX(Electricity_projection,0,3),0),MATCH(YEAR(TODAY()),Timeline_elec_projec,0)+3)*INDEX(Recyc_mat_energy_input,MATCH(AU$1,'Data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66" s="1" cm="1">
        <f t="array" aca="1" ref="AV66" ca="1">IFERROR(INDEX(Electricity_projection,MATCH($B66&amp;$A66,INDEX(Electricity_projection,0,3),0),MATCH(YEAR(TODAY()),Timeline_elec_projec,0)+3)*INDEX(Recyc_mat_energy_input,MATCH(AV$1,'Data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66" s="1"/>
      <c r="AX66" s="1"/>
      <c r="AY66" s="1"/>
      <c r="AZ66" s="1"/>
      <c r="BA66" s="1"/>
      <c r="BB66" s="1"/>
      <c r="BC66" s="1">
        <f t="shared" si="6"/>
        <v>0</v>
      </c>
      <c r="BD66" s="1">
        <v>0</v>
      </c>
      <c r="BE66" s="1">
        <v>0</v>
      </c>
      <c r="BF66" s="1"/>
      <c r="BG66" s="1">
        <f ca="1">'Dynamic Materials'!V75</f>
        <v>0</v>
      </c>
      <c r="BH66" s="1"/>
      <c r="BI66" s="1" t="str" cm="1">
        <f t="array" aca="1" ref="BI66" ca="1">IFERROR(INDEX(Electricity_projection,MATCH($B66&amp;$A66,INDEX(Electricity_projection,0,3),0),MATCH(YEAR(TODAY()),Timeline_elec_projec,0)+3)*INDEX(Recyc_mat_energy_input,MATCH(BI$1,'Data Entry'!$B$91:$B$96,0),1)+Diesel_density*INDEX(Recyc_mat_energy_input,MATCH(BI$1,'Data Entry'!$B$91:$B$96,0),2)*INDEX(Indicators,ROW(),MATCH("Diesel Combustion",Materials!$1:$1,0)), "")</f>
        <v/>
      </c>
      <c r="BJ66" s="1"/>
      <c r="BK66" s="1" t="str" cm="1">
        <f t="array" aca="1" ref="BK66" ca="1">IFERROR(INDEX(Electricity_projection,MATCH($B66&amp;$A66,INDEX(Electricity_projection,0,3),0),MATCH(YEAR(TODAY()),Timeline_elec_projec,0)+3)*INDEX(Recyc_mat_energy_input,MATCH(BK$1,'Data Entry'!$B$91:$B$96,0),1)+Diesel_density*INDEX(Recyc_mat_energy_input,MATCH(BK$1,'Data Entry'!$B$91:$B$96,0),2)*INDEX(Indicators,ROW(),MATCH("Diesel Combustion",Materials!$1:$1,0)), "")</f>
        <v/>
      </c>
      <c r="BL66" s="1" t="str" cm="1">
        <f t="array" aca="1" ref="BL66" ca="1">IFERROR(INDEX(Electricity_projection,MATCH($B66&amp;$A66,INDEX(Electricity_projection,0,3),0),MATCH(YEAR(TODAY()),Timeline_elec_projec,0)+3)*INDEX(Recyc_mat_energy_input,MATCH(BL$1,'Data Entry'!$B$91:$B$96,0),1)+Diesel_density*INDEX(Recyc_mat_energy_input,MATCH(BL$1,'Data Entry'!$B$91:$B$96,0),2)*INDEX(Indicators,ROW(),MATCH("Diesel Combustion",Materials!$1:$1,0)), "")</f>
        <v/>
      </c>
      <c r="BM66" s="1"/>
      <c r="BN66" s="1">
        <f>IF(Steel_supplier="Pacific Steel",Material_Impacts[[#This Row],[Pacific Steel]],Material_Impacts[[#This Row],[Infrabuild]])</f>
        <v>0</v>
      </c>
      <c r="BO66" s="1">
        <v>0</v>
      </c>
      <c r="BP66" s="1">
        <v>0</v>
      </c>
      <c r="BQ66">
        <v>0</v>
      </c>
      <c r="BR66">
        <v>0</v>
      </c>
      <c r="BS66" s="443"/>
      <c r="BT66" s="443"/>
      <c r="BU66" s="443"/>
      <c r="BV66" s="443">
        <v>1</v>
      </c>
      <c r="BX66" s="1">
        <v>0</v>
      </c>
      <c r="BY66" s="1">
        <f t="shared" si="3"/>
        <v>0</v>
      </c>
      <c r="BZ66">
        <v>0</v>
      </c>
      <c r="CA66" s="1">
        <v>0</v>
      </c>
      <c r="CB66">
        <v>0</v>
      </c>
      <c r="CC66">
        <v>0</v>
      </c>
      <c r="CD66" s="378">
        <f t="shared" si="7"/>
        <v>0</v>
      </c>
      <c r="CE66" s="208">
        <f t="shared" si="4"/>
        <v>0</v>
      </c>
      <c r="CF66" s="208"/>
      <c r="CG66" s="208"/>
      <c r="CH66" s="208"/>
      <c r="CI66" s="208"/>
      <c r="CJ66" s="208"/>
      <c r="CK66" s="208"/>
      <c r="CL66" s="208"/>
      <c r="CM66" s="208"/>
      <c r="CN66" s="208"/>
      <c r="CP66" s="208"/>
    </row>
    <row r="67" spans="1:94" x14ac:dyDescent="0.35">
      <c r="A67" t="s">
        <v>499</v>
      </c>
      <c r="B67" t="s">
        <v>485</v>
      </c>
      <c r="C67" t="s">
        <v>51</v>
      </c>
      <c r="D67" t="str">
        <f>Material_Impacts[[#This Row],[15804 version]]&amp;Material_Impacts[[#This Row],[Methodology]]&amp;Material_Impacts[[#This Row],[Acronym]]</f>
        <v>A1ConsequentialEE</v>
      </c>
      <c r="E67" t="s">
        <v>747</v>
      </c>
      <c r="F67" t="s">
        <v>748</v>
      </c>
      <c r="G67" s="1">
        <v>0</v>
      </c>
      <c r="H67" s="1">
        <v>0</v>
      </c>
      <c r="I67" s="1">
        <v>0</v>
      </c>
      <c r="J67" s="1">
        <v>0</v>
      </c>
      <c r="K67" s="1">
        <v>0</v>
      </c>
      <c r="L67" s="1">
        <v>0</v>
      </c>
      <c r="M67" s="1">
        <v>0</v>
      </c>
      <c r="N67" s="1"/>
      <c r="O67" s="443"/>
      <c r="P67" s="1">
        <v>0</v>
      </c>
      <c r="Q67" s="1">
        <v>0</v>
      </c>
      <c r="R67" s="1">
        <v>0</v>
      </c>
      <c r="S67" s="1">
        <v>0</v>
      </c>
      <c r="T67" s="1">
        <v>0</v>
      </c>
      <c r="U67" s="1">
        <v>0</v>
      </c>
      <c r="V67" s="1">
        <f ca="1">IFERROR('Dynamic Materials'!Q76+'Dynamic Materials'!AQ76, 0)</f>
        <v>1.2286007609406925E-4</v>
      </c>
      <c r="W67" s="1">
        <f ca="1">'Dynamic Materials'!R76</f>
        <v>1.2286007609406925E-4</v>
      </c>
      <c r="X67" s="1">
        <f ca="1">'Dynamic Materials'!T76</f>
        <v>1.2286007609406925E-4</v>
      </c>
      <c r="Y67" s="1">
        <f ca="1">IFERROR('Dynamic Materials'!U76+'Dynamic Materials'!AQ76, 0)</f>
        <v>1.2286007609406925E-4</v>
      </c>
      <c r="Z67" s="1">
        <f ca="1">IFERROR('Dynamic Materials'!S76+'Dynamic Materials'!AQ76, 0)</f>
        <v>1.2286007609406925E-4</v>
      </c>
      <c r="AA67" s="1">
        <f ca="1">'Dynamic Materials'!W76</f>
        <v>0.20167000000000002</v>
      </c>
      <c r="AB67" s="1">
        <v>0</v>
      </c>
      <c r="AC67" s="1">
        <v>0</v>
      </c>
      <c r="AD67" s="209">
        <f>BZ67+200*Material_Impacts[[#This Row],[Truck (32+t)]]+1130*CB67</f>
        <v>0</v>
      </c>
      <c r="AE67" s="1">
        <v>0</v>
      </c>
      <c r="AF67" s="1">
        <v>0</v>
      </c>
      <c r="AG67" s="1"/>
      <c r="AH67" s="1">
        <v>0</v>
      </c>
      <c r="AI67" s="1">
        <f>'Dynamic Materials'!AG76</f>
        <v>0</v>
      </c>
      <c r="AJ67" s="1">
        <v>0</v>
      </c>
      <c r="AK67" s="1">
        <v>0</v>
      </c>
      <c r="AL67" s="1"/>
      <c r="AM67" s="1">
        <f t="shared" si="5"/>
        <v>1.204E-2</v>
      </c>
      <c r="AN67" s="1">
        <v>0</v>
      </c>
      <c r="AO67" s="1">
        <v>0</v>
      </c>
      <c r="AP67" s="209">
        <v>0</v>
      </c>
      <c r="AQ67" s="1">
        <f ca="1">'Dynamic Materials'!O76</f>
        <v>0</v>
      </c>
      <c r="AR67" s="1">
        <f ca="1">'Dynamic Materials'!P76</f>
        <v>0</v>
      </c>
      <c r="AS67" s="1"/>
      <c r="AT67" s="1" cm="1">
        <f t="array" aca="1" ref="AT67" ca="1">IFERROR(INDEX(Electricity_projection,MATCH($B67&amp;$A67,INDEX(Electricity_projection,0,3),0),MATCH(YEAR(TODAY()),Timeline_elec_projec,0)+3)*INDEX(Recyc_mat_energy_input,MATCH(AT$1,'Data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67" s="1" cm="1">
        <f t="array" aca="1" ref="AU67" ca="1">IFERROR(INDEX(Electricity_projection,MATCH($B67&amp;$A67,INDEX(Electricity_projection,0,3),0),MATCH(YEAR(TODAY()),Timeline_elec_projec,0)+3)*INDEX(Recyc_mat_energy_input,MATCH(AU$1,'Data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67" s="1" cm="1">
        <f t="array" aca="1" ref="AV67" ca="1">IFERROR(INDEX(Electricity_projection,MATCH($B67&amp;$A67,INDEX(Electricity_projection,0,3),0),MATCH(YEAR(TODAY()),Timeline_elec_projec,0)+3)*INDEX(Recyc_mat_energy_input,MATCH(AV$1,'Data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67" s="1"/>
      <c r="AX67" s="1"/>
      <c r="AY67" s="1"/>
      <c r="AZ67" s="1"/>
      <c r="BA67" s="1"/>
      <c r="BB67" s="1"/>
      <c r="BC67" s="1">
        <f t="shared" si="6"/>
        <v>0.30099999999999999</v>
      </c>
      <c r="BD67" s="1">
        <v>0.30099999999999999</v>
      </c>
      <c r="BE67" s="1">
        <v>0.30099999999999999</v>
      </c>
      <c r="BF67" s="1"/>
      <c r="BG67" s="1">
        <f ca="1">'Dynamic Materials'!V76</f>
        <v>3.6119999999999999E-2</v>
      </c>
      <c r="BH67" s="1"/>
      <c r="BI67" s="1" t="str" cm="1">
        <f t="array" aca="1" ref="BI67" ca="1">IFERROR(INDEX(Electricity_projection,MATCH($B67&amp;$A67,INDEX(Electricity_projection,0,3),0),MATCH(YEAR(TODAY()),Timeline_elec_projec,0)+3)*INDEX(Recyc_mat_energy_input,MATCH(BI$1,'Data Entry'!$B$91:$B$96,0),1)+Diesel_density*INDEX(Recyc_mat_energy_input,MATCH(BI$1,'Data Entry'!$B$91:$B$96,0),2)*INDEX(Indicators,ROW(),MATCH("Diesel Combustion",Materials!$1:$1,0)), "")</f>
        <v/>
      </c>
      <c r="BJ67" s="1"/>
      <c r="BK67" s="1" t="str" cm="1">
        <f t="array" aca="1" ref="BK67" ca="1">IFERROR(INDEX(Electricity_projection,MATCH($B67&amp;$A67,INDEX(Electricity_projection,0,3),0),MATCH(YEAR(TODAY()),Timeline_elec_projec,0)+3)*INDEX(Recyc_mat_energy_input,MATCH(BK$1,'Data Entry'!$B$91:$B$96,0),1)+Diesel_density*INDEX(Recyc_mat_energy_input,MATCH(BK$1,'Data Entry'!$B$91:$B$96,0),2)*INDEX(Indicators,ROW(),MATCH("Diesel Combustion",Materials!$1:$1,0)), "")</f>
        <v/>
      </c>
      <c r="BL67" s="1" t="str" cm="1">
        <f t="array" aca="1" ref="BL67" ca="1">IFERROR(INDEX(Electricity_projection,MATCH($B67&amp;$A67,INDEX(Electricity_projection,0,3),0),MATCH(YEAR(TODAY()),Timeline_elec_projec,0)+3)*INDEX(Recyc_mat_energy_input,MATCH(BL$1,'Data Entry'!$B$91:$B$96,0),1)+Diesel_density*INDEX(Recyc_mat_energy_input,MATCH(BL$1,'Data Entry'!$B$91:$B$96,0),2)*INDEX(Indicators,ROW(),MATCH("Diesel Combustion",Materials!$1:$1,0)), "")</f>
        <v/>
      </c>
      <c r="BM67" s="1"/>
      <c r="BN67" s="1">
        <f>IF(Steel_supplier="Pacific Steel",Material_Impacts[[#This Row],[Pacific Steel]],Material_Impacts[[#This Row],[Infrabuild]])</f>
        <v>0</v>
      </c>
      <c r="BO67" s="1">
        <v>0</v>
      </c>
      <c r="BP67" s="1">
        <v>0</v>
      </c>
      <c r="BQ67">
        <v>0</v>
      </c>
      <c r="BR67">
        <v>0</v>
      </c>
      <c r="BS67" s="443"/>
      <c r="BT67" s="443"/>
      <c r="BU67" s="443"/>
      <c r="BV67" s="443">
        <v>1</v>
      </c>
      <c r="BX67" s="1">
        <v>0</v>
      </c>
      <c r="BY67" s="1">
        <f t="shared" si="3"/>
        <v>0</v>
      </c>
      <c r="BZ67">
        <v>0</v>
      </c>
      <c r="CA67" s="1">
        <v>0</v>
      </c>
      <c r="CB67">
        <v>0</v>
      </c>
      <c r="CC67">
        <v>0</v>
      </c>
      <c r="CD67" s="378">
        <f t="shared" si="7"/>
        <v>0</v>
      </c>
      <c r="CE67" s="208">
        <f t="shared" si="4"/>
        <v>0</v>
      </c>
      <c r="CF67" s="208"/>
      <c r="CG67" s="208"/>
      <c r="CH67" s="208"/>
      <c r="CI67" s="208"/>
      <c r="CJ67" s="208"/>
      <c r="CK67" s="208"/>
      <c r="CL67" s="208"/>
      <c r="CM67" s="208"/>
      <c r="CN67" s="208"/>
      <c r="CP67" s="208"/>
    </row>
    <row r="68" spans="1:94" x14ac:dyDescent="0.35">
      <c r="A68" t="s">
        <v>501</v>
      </c>
      <c r="B68" t="s">
        <v>485</v>
      </c>
      <c r="C68" t="s">
        <v>51</v>
      </c>
      <c r="D68" t="str">
        <f>Material_Impacts[[#This Row],[15804 version]]&amp;Material_Impacts[[#This Row],[Methodology]]&amp;Material_Impacts[[#This Row],[Acronym]]</f>
        <v>A1ConsequentialMER</v>
      </c>
      <c r="E68" t="s">
        <v>749</v>
      </c>
      <c r="F68" t="s">
        <v>750</v>
      </c>
      <c r="G68" s="1">
        <v>0</v>
      </c>
      <c r="H68" s="1">
        <v>0</v>
      </c>
      <c r="I68" s="1">
        <v>0</v>
      </c>
      <c r="J68" s="1">
        <v>0</v>
      </c>
      <c r="K68" s="1">
        <v>0</v>
      </c>
      <c r="L68" s="1">
        <v>0</v>
      </c>
      <c r="M68" s="1">
        <v>0</v>
      </c>
      <c r="N68" s="1"/>
      <c r="O68" s="443"/>
      <c r="P68" s="1">
        <v>0</v>
      </c>
      <c r="Q68" s="1">
        <v>0</v>
      </c>
      <c r="R68" s="1">
        <v>0</v>
      </c>
      <c r="S68" s="1">
        <v>0</v>
      </c>
      <c r="T68" s="1">
        <v>0</v>
      </c>
      <c r="U68" s="1">
        <v>0</v>
      </c>
      <c r="V68" s="1">
        <f ca="1">IFERROR('Dynamic Materials'!Q77+'Dynamic Materials'!AQ77, 0)</f>
        <v>1.2286007609406925E-4</v>
      </c>
      <c r="W68" s="1">
        <f ca="1">'Dynamic Materials'!R77</f>
        <v>1.2286007609406925E-4</v>
      </c>
      <c r="X68" s="1">
        <f ca="1">'Dynamic Materials'!T77</f>
        <v>1.2286007609406925E-4</v>
      </c>
      <c r="Y68" s="1">
        <f ca="1">IFERROR('Dynamic Materials'!U77+'Dynamic Materials'!AQ77, 0)</f>
        <v>1.2286007609406925E-4</v>
      </c>
      <c r="Z68" s="1">
        <f ca="1">IFERROR('Dynamic Materials'!S77+'Dynamic Materials'!AQ77, 0)</f>
        <v>1.2286007609406925E-4</v>
      </c>
      <c r="AA68" s="1">
        <f ca="1">'Dynamic Materials'!W77</f>
        <v>0</v>
      </c>
      <c r="AB68" s="1">
        <v>0</v>
      </c>
      <c r="AC68" s="1">
        <v>0</v>
      </c>
      <c r="AD68" s="209">
        <f>BZ68+200*Material_Impacts[[#This Row],[Truck (32+t)]]+1130*CB68</f>
        <v>0</v>
      </c>
      <c r="AE68" s="1">
        <v>0</v>
      </c>
      <c r="AF68" s="1">
        <v>0</v>
      </c>
      <c r="AG68" s="1"/>
      <c r="AH68" s="1">
        <v>0</v>
      </c>
      <c r="AI68" s="1">
        <f>'Dynamic Materials'!AG77</f>
        <v>0</v>
      </c>
      <c r="AJ68" s="1">
        <v>0</v>
      </c>
      <c r="AK68" s="1">
        <v>0</v>
      </c>
      <c r="AL68" s="1"/>
      <c r="AM68" s="1">
        <f t="shared" si="5"/>
        <v>0</v>
      </c>
      <c r="AN68" s="1">
        <v>0</v>
      </c>
      <c r="AO68" s="1">
        <v>0</v>
      </c>
      <c r="AP68" s="209">
        <v>0</v>
      </c>
      <c r="AQ68" s="1">
        <f ca="1">'Dynamic Materials'!O77</f>
        <v>0</v>
      </c>
      <c r="AR68" s="1">
        <f ca="1">'Dynamic Materials'!P77</f>
        <v>0</v>
      </c>
      <c r="AS68" s="1"/>
      <c r="AT68" s="1" cm="1">
        <f t="array" aca="1" ref="AT68" ca="1">IFERROR(INDEX(Electricity_projection,MATCH($B68&amp;$A68,INDEX(Electricity_projection,0,3),0),MATCH(YEAR(TODAY()),Timeline_elec_projec,0)+3)*INDEX(Recyc_mat_energy_input,MATCH(AT$1,'Data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68" s="1" cm="1">
        <f t="array" aca="1" ref="AU68" ca="1">IFERROR(INDEX(Electricity_projection,MATCH($B68&amp;$A68,INDEX(Electricity_projection,0,3),0),MATCH(YEAR(TODAY()),Timeline_elec_projec,0)+3)*INDEX(Recyc_mat_energy_input,MATCH(AU$1,'Data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68" s="1" cm="1">
        <f t="array" aca="1" ref="AV68" ca="1">IFERROR(INDEX(Electricity_projection,MATCH($B68&amp;$A68,INDEX(Electricity_projection,0,3),0),MATCH(YEAR(TODAY()),Timeline_elec_projec,0)+3)*INDEX(Recyc_mat_energy_input,MATCH(AV$1,'Data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68" s="1"/>
      <c r="AX68" s="1"/>
      <c r="AY68" s="1"/>
      <c r="AZ68" s="1"/>
      <c r="BA68" s="1"/>
      <c r="BB68" s="1"/>
      <c r="BC68" s="1">
        <f t="shared" si="6"/>
        <v>0</v>
      </c>
      <c r="BD68" s="1">
        <v>0</v>
      </c>
      <c r="BE68" s="1">
        <v>0</v>
      </c>
      <c r="BF68" s="1"/>
      <c r="BG68" s="1">
        <f ca="1">'Dynamic Materials'!V77</f>
        <v>0</v>
      </c>
      <c r="BH68" s="1"/>
      <c r="BI68" s="1" t="str" cm="1">
        <f t="array" aca="1" ref="BI68" ca="1">IFERROR(INDEX(Electricity_projection,MATCH($B68&amp;$A68,INDEX(Electricity_projection,0,3),0),MATCH(YEAR(TODAY()),Timeline_elec_projec,0)+3)*INDEX(Recyc_mat_energy_input,MATCH(BI$1,'Data Entry'!$B$91:$B$96,0),1)+Diesel_density*INDEX(Recyc_mat_energy_input,MATCH(BI$1,'Data Entry'!$B$91:$B$96,0),2)*INDEX(Indicators,ROW(),MATCH("Diesel Combustion",Materials!$1:$1,0)), "")</f>
        <v/>
      </c>
      <c r="BJ68" s="1"/>
      <c r="BK68" s="1" t="str" cm="1">
        <f t="array" aca="1" ref="BK68" ca="1">IFERROR(INDEX(Electricity_projection,MATCH($B68&amp;$A68,INDEX(Electricity_projection,0,3),0),MATCH(YEAR(TODAY()),Timeline_elec_projec,0)+3)*INDEX(Recyc_mat_energy_input,MATCH(BK$1,'Data Entry'!$B$91:$B$96,0),1)+Diesel_density*INDEX(Recyc_mat_energy_input,MATCH(BK$1,'Data Entry'!$B$91:$B$96,0),2)*INDEX(Indicators,ROW(),MATCH("Diesel Combustion",Materials!$1:$1,0)), "")</f>
        <v/>
      </c>
      <c r="BL68" s="1" t="str" cm="1">
        <f t="array" aca="1" ref="BL68" ca="1">IFERROR(INDEX(Electricity_projection,MATCH($B68&amp;$A68,INDEX(Electricity_projection,0,3),0),MATCH(YEAR(TODAY()),Timeline_elec_projec,0)+3)*INDEX(Recyc_mat_energy_input,MATCH(BL$1,'Data Entry'!$B$91:$B$96,0),1)+Diesel_density*INDEX(Recyc_mat_energy_input,MATCH(BL$1,'Data Entry'!$B$91:$B$96,0),2)*INDEX(Indicators,ROW(),MATCH("Diesel Combustion",Materials!$1:$1,0)), "")</f>
        <v/>
      </c>
      <c r="BM68" s="1"/>
      <c r="BN68" s="1">
        <f>IF(Steel_supplier="Pacific Steel",Material_Impacts[[#This Row],[Pacific Steel]],Material_Impacts[[#This Row],[Infrabuild]])</f>
        <v>0</v>
      </c>
      <c r="BO68" s="1">
        <v>0</v>
      </c>
      <c r="BP68" s="1">
        <v>0</v>
      </c>
      <c r="BQ68">
        <v>0</v>
      </c>
      <c r="BR68">
        <v>0</v>
      </c>
      <c r="BS68" s="443"/>
      <c r="BT68" s="443"/>
      <c r="BU68" s="443"/>
      <c r="BV68" s="443">
        <v>1</v>
      </c>
      <c r="BX68" s="1">
        <v>0</v>
      </c>
      <c r="BY68" s="1">
        <f t="shared" si="3"/>
        <v>0</v>
      </c>
      <c r="BZ68">
        <v>0</v>
      </c>
      <c r="CA68" s="1">
        <v>0</v>
      </c>
      <c r="CB68">
        <v>0</v>
      </c>
      <c r="CC68">
        <v>0</v>
      </c>
      <c r="CD68" s="378">
        <f t="shared" si="7"/>
        <v>0</v>
      </c>
      <c r="CE68" s="208">
        <f t="shared" si="4"/>
        <v>0</v>
      </c>
      <c r="CF68" s="208"/>
      <c r="CG68" s="208"/>
      <c r="CH68" s="208"/>
      <c r="CI68" s="208"/>
      <c r="CJ68" s="208"/>
      <c r="CK68" s="208"/>
      <c r="CL68" s="208"/>
      <c r="CM68" s="208"/>
      <c r="CN68" s="208"/>
      <c r="CP68" s="208"/>
    </row>
    <row r="69" spans="1:94" x14ac:dyDescent="0.35">
      <c r="A69" t="s">
        <v>503</v>
      </c>
      <c r="B69" t="s">
        <v>485</v>
      </c>
      <c r="C69" t="s">
        <v>51</v>
      </c>
      <c r="D69" t="str">
        <f>Material_Impacts[[#This Row],[15804 version]]&amp;Material_Impacts[[#This Row],[Methodology]]&amp;Material_Impacts[[#This Row],[Acronym]]</f>
        <v>A1ConsequentialMFR</v>
      </c>
      <c r="E69" t="s">
        <v>751</v>
      </c>
      <c r="F69" t="s">
        <v>752</v>
      </c>
      <c r="G69" s="1">
        <v>0</v>
      </c>
      <c r="H69" s="1">
        <v>0</v>
      </c>
      <c r="I69" s="1">
        <v>0</v>
      </c>
      <c r="J69" s="1">
        <v>0</v>
      </c>
      <c r="K69" s="1">
        <v>0</v>
      </c>
      <c r="L69" s="1">
        <v>0</v>
      </c>
      <c r="M69" s="1">
        <v>0</v>
      </c>
      <c r="N69" s="1"/>
      <c r="O69" s="443"/>
      <c r="P69" s="1">
        <v>0</v>
      </c>
      <c r="Q69" s="1">
        <v>0</v>
      </c>
      <c r="R69" s="1">
        <v>0</v>
      </c>
      <c r="S69" s="1">
        <v>0</v>
      </c>
      <c r="T69" s="1">
        <v>0</v>
      </c>
      <c r="U69" s="1">
        <v>0</v>
      </c>
      <c r="V69" s="1">
        <f ca="1">IFERROR('Dynamic Materials'!Q78+'Dynamic Materials'!AQ78, 0)</f>
        <v>1.2286007609406925E-4</v>
      </c>
      <c r="W69" s="1">
        <f ca="1">'Dynamic Materials'!R78</f>
        <v>1.2286007609406925E-4</v>
      </c>
      <c r="X69" s="1">
        <f ca="1">'Dynamic Materials'!T78</f>
        <v>1.2286007609406925E-4</v>
      </c>
      <c r="Y69" s="1">
        <f ca="1">IFERROR('Dynamic Materials'!U78+'Dynamic Materials'!AQ78, 0)</f>
        <v>1.2286007609406925E-4</v>
      </c>
      <c r="Z69" s="1">
        <f ca="1">IFERROR('Dynamic Materials'!S78+'Dynamic Materials'!AQ78, 0)</f>
        <v>1.2286007609406925E-4</v>
      </c>
      <c r="AA69" s="1">
        <f ca="1">'Dynamic Materials'!W78</f>
        <v>0</v>
      </c>
      <c r="AB69" s="1">
        <v>0</v>
      </c>
      <c r="AC69" s="1">
        <v>0</v>
      </c>
      <c r="AD69" s="209">
        <f>BZ69+200*Material_Impacts[[#This Row],[Truck (32+t)]]+1130*CB69</f>
        <v>0</v>
      </c>
      <c r="AE69" s="1">
        <v>0</v>
      </c>
      <c r="AF69" s="1">
        <v>0</v>
      </c>
      <c r="AG69" s="1"/>
      <c r="AH69" s="1">
        <v>0</v>
      </c>
      <c r="AI69" s="1">
        <f>'Dynamic Materials'!AG78</f>
        <v>0</v>
      </c>
      <c r="AJ69" s="1">
        <v>0</v>
      </c>
      <c r="AK69" s="1">
        <v>0</v>
      </c>
      <c r="AL69" s="1"/>
      <c r="AM69" s="1">
        <f t="shared" si="5"/>
        <v>0</v>
      </c>
      <c r="AN69" s="1">
        <v>0</v>
      </c>
      <c r="AO69" s="1">
        <v>0</v>
      </c>
      <c r="AP69" s="209">
        <v>0</v>
      </c>
      <c r="AQ69" s="1">
        <f ca="1">'Dynamic Materials'!O78</f>
        <v>0</v>
      </c>
      <c r="AR69" s="1">
        <f ca="1">'Dynamic Materials'!P78</f>
        <v>0</v>
      </c>
      <c r="AS69" s="1"/>
      <c r="AT69" s="1" cm="1">
        <f t="array" aca="1" ref="AT69" ca="1">IFERROR(INDEX(Electricity_projection,MATCH($B69&amp;$A69,INDEX(Electricity_projection,0,3),0),MATCH(YEAR(TODAY()),Timeline_elec_projec,0)+3)*INDEX(Recyc_mat_energy_input,MATCH(AT$1,'Data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69" s="1" cm="1">
        <f t="array" aca="1" ref="AU69" ca="1">IFERROR(INDEX(Electricity_projection,MATCH($B69&amp;$A69,INDEX(Electricity_projection,0,3),0),MATCH(YEAR(TODAY()),Timeline_elec_projec,0)+3)*INDEX(Recyc_mat_energy_input,MATCH(AU$1,'Data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69" s="1" cm="1">
        <f t="array" aca="1" ref="AV69" ca="1">IFERROR(INDEX(Electricity_projection,MATCH($B69&amp;$A69,INDEX(Electricity_projection,0,3),0),MATCH(YEAR(TODAY()),Timeline_elec_projec,0)+3)*INDEX(Recyc_mat_energy_input,MATCH(AV$1,'Data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69" s="1"/>
      <c r="AX69" s="1"/>
      <c r="AY69" s="1"/>
      <c r="AZ69" s="1"/>
      <c r="BA69" s="1"/>
      <c r="BB69" s="1"/>
      <c r="BC69" s="1">
        <f t="shared" si="6"/>
        <v>0</v>
      </c>
      <c r="BD69" s="1">
        <v>0</v>
      </c>
      <c r="BE69" s="1">
        <v>0</v>
      </c>
      <c r="BF69" s="1"/>
      <c r="BG69" s="1">
        <f ca="1">'Dynamic Materials'!V78</f>
        <v>0</v>
      </c>
      <c r="BH69" s="1"/>
      <c r="BI69" s="1" t="str" cm="1">
        <f t="array" aca="1" ref="BI69" ca="1">IFERROR(INDEX(Electricity_projection,MATCH($B69&amp;$A69,INDEX(Electricity_projection,0,3),0),MATCH(YEAR(TODAY()),Timeline_elec_projec,0)+3)*INDEX(Recyc_mat_energy_input,MATCH(BI$1,'Data Entry'!$B$91:$B$96,0),1)+Diesel_density*INDEX(Recyc_mat_energy_input,MATCH(BI$1,'Data Entry'!$B$91:$B$96,0),2)*INDEX(Indicators,ROW(),MATCH("Diesel Combustion",Materials!$1:$1,0)), "")</f>
        <v/>
      </c>
      <c r="BJ69" s="1"/>
      <c r="BK69" s="1" t="str" cm="1">
        <f t="array" aca="1" ref="BK69" ca="1">IFERROR(INDEX(Electricity_projection,MATCH($B69&amp;$A69,INDEX(Electricity_projection,0,3),0),MATCH(YEAR(TODAY()),Timeline_elec_projec,0)+3)*INDEX(Recyc_mat_energy_input,MATCH(BK$1,'Data Entry'!$B$91:$B$96,0),1)+Diesel_density*INDEX(Recyc_mat_energy_input,MATCH(BK$1,'Data Entry'!$B$91:$B$96,0),2)*INDEX(Indicators,ROW(),MATCH("Diesel Combustion",Materials!$1:$1,0)), "")</f>
        <v/>
      </c>
      <c r="BL69" s="1" t="str" cm="1">
        <f t="array" aca="1" ref="BL69" ca="1">IFERROR(INDEX(Electricity_projection,MATCH($B69&amp;$A69,INDEX(Electricity_projection,0,3),0),MATCH(YEAR(TODAY()),Timeline_elec_projec,0)+3)*INDEX(Recyc_mat_energy_input,MATCH(BL$1,'Data Entry'!$B$91:$B$96,0),1)+Diesel_density*INDEX(Recyc_mat_energy_input,MATCH(BL$1,'Data Entry'!$B$91:$B$96,0),2)*INDEX(Indicators,ROW(),MATCH("Diesel Combustion",Materials!$1:$1,0)), "")</f>
        <v/>
      </c>
      <c r="BM69" s="1"/>
      <c r="BN69" s="1">
        <f>IF(Steel_supplier="Pacific Steel",Material_Impacts[[#This Row],[Pacific Steel]],Material_Impacts[[#This Row],[Infrabuild]])</f>
        <v>0</v>
      </c>
      <c r="BO69" s="1">
        <v>0</v>
      </c>
      <c r="BP69" s="1">
        <v>0</v>
      </c>
      <c r="BQ69">
        <v>0</v>
      </c>
      <c r="BR69">
        <v>0</v>
      </c>
      <c r="BS69" s="443"/>
      <c r="BT69" s="443"/>
      <c r="BU69" s="443"/>
      <c r="BV69" s="443">
        <v>1</v>
      </c>
      <c r="BX69" s="1">
        <v>0</v>
      </c>
      <c r="BY69" s="1">
        <f t="shared" si="3"/>
        <v>0</v>
      </c>
      <c r="BZ69">
        <v>0</v>
      </c>
      <c r="CA69" s="1">
        <v>0</v>
      </c>
      <c r="CB69">
        <v>0</v>
      </c>
      <c r="CC69">
        <v>0</v>
      </c>
      <c r="CD69" s="378">
        <f t="shared" si="7"/>
        <v>0</v>
      </c>
      <c r="CE69" s="208">
        <f t="shared" si="4"/>
        <v>0</v>
      </c>
      <c r="CF69" s="208"/>
      <c r="CG69" s="208"/>
      <c r="CH69" s="208"/>
      <c r="CI69" s="208"/>
      <c r="CJ69" s="208"/>
      <c r="CK69" s="208"/>
      <c r="CL69" s="208"/>
      <c r="CM69" s="208"/>
      <c r="CN69" s="208"/>
      <c r="CP69" s="208"/>
    </row>
    <row r="70" spans="1:94" x14ac:dyDescent="0.35">
      <c r="A70" t="s">
        <v>409</v>
      </c>
      <c r="B70" t="s">
        <v>485</v>
      </c>
      <c r="C70" t="s">
        <v>51</v>
      </c>
      <c r="D70" t="str">
        <f>Material_Impacts[[#This Row],[15804 version]]&amp;Material_Impacts[[#This Row],[Methodology]]&amp;Material_Impacts[[#This Row],[Acronym]]</f>
        <v>A1ConsequentialPENRT</v>
      </c>
      <c r="E70" t="s">
        <v>753</v>
      </c>
      <c r="F70" t="s">
        <v>408</v>
      </c>
      <c r="G70" s="1">
        <v>48.850259999999999</v>
      </c>
      <c r="H70" s="1">
        <v>48.850259999999999</v>
      </c>
      <c r="I70" s="1">
        <v>49.47054</v>
      </c>
      <c r="J70" s="1">
        <v>48.850259999999999</v>
      </c>
      <c r="K70" s="1">
        <v>1.2643903664744376E-3</v>
      </c>
      <c r="L70" s="1">
        <v>3.0616311547584027E-3</v>
      </c>
      <c r="M70" s="1">
        <v>1.0647162307153668E-3</v>
      </c>
      <c r="N70" s="1"/>
      <c r="O70" s="443"/>
      <c r="P70" s="1">
        <v>1.44868</v>
      </c>
      <c r="Q70" s="1">
        <v>0</v>
      </c>
      <c r="R70" s="1">
        <v>0</v>
      </c>
      <c r="S70" s="1">
        <v>0</v>
      </c>
      <c r="T70" s="1">
        <v>0</v>
      </c>
      <c r="U70" s="1">
        <v>0</v>
      </c>
      <c r="V70" s="1">
        <f ca="1">IFERROR('Dynamic Materials'!Q79+'Dynamic Materials'!AQ79, 0)</f>
        <v>3.5823524455838576</v>
      </c>
      <c r="W70" s="1">
        <f ca="1">'Dynamic Materials'!R79</f>
        <v>3.3297445406110793</v>
      </c>
      <c r="X70" s="1">
        <f ca="1">'Dynamic Materials'!T79</f>
        <v>2.8678493533185128</v>
      </c>
      <c r="Y70" s="1">
        <f ca="1">IFERROR('Dynamic Materials'!U79+'Dynamic Materials'!AQ79, 0)</f>
        <v>2.6807497804503106</v>
      </c>
      <c r="Z70" s="1">
        <f ca="1">IFERROR('Dynamic Materials'!S79+'Dynamic Materials'!AQ79, 0)</f>
        <v>3.1353370689259328</v>
      </c>
      <c r="AA70" s="1">
        <f ca="1">'Dynamic Materials'!W79</f>
        <v>1.8496554000000001</v>
      </c>
      <c r="AB70" s="1">
        <v>27.617830000000001</v>
      </c>
      <c r="AC70" s="1">
        <v>104.48059000000001</v>
      </c>
      <c r="AD70" s="209">
        <f>BZ70+200*Material_Impacts[[#This Row],[Truck (32+t)]]+1130*CB70</f>
        <v>45.509652746143075</v>
      </c>
      <c r="AE70" s="1">
        <v>30.380240000000001</v>
      </c>
      <c r="AF70" s="1">
        <v>0.82079000000000002</v>
      </c>
      <c r="AG70" s="1"/>
      <c r="AH70" s="1">
        <v>44.723390000000002</v>
      </c>
      <c r="AI70" s="1">
        <f>'Dynamic Materials'!AG79</f>
        <v>51.461576999999998</v>
      </c>
      <c r="AJ70" s="1">
        <v>0.26678000000000002</v>
      </c>
      <c r="AK70" s="1">
        <v>0.18365999999999999</v>
      </c>
      <c r="AL70" s="1"/>
      <c r="AM70" s="1">
        <f t="shared" si="5"/>
        <v>0.1104</v>
      </c>
      <c r="AN70" s="1">
        <v>0.34598000000000001</v>
      </c>
      <c r="AO70" s="1">
        <v>9.8441200000000002</v>
      </c>
      <c r="AP70" s="209">
        <v>1.3799999999999999E-3</v>
      </c>
      <c r="AQ70" s="1">
        <f ca="1">'Dynamic Materials'!O79</f>
        <v>2.7784476294345644</v>
      </c>
      <c r="AR70" s="1">
        <f ca="1">'Dynamic Materials'!P79</f>
        <v>3.2458891946659798</v>
      </c>
      <c r="AS70" s="1"/>
      <c r="AT70" s="1" cm="1">
        <f t="array" aca="1" ref="AT70" ca="1">IFERROR(INDEX(Electricity_projection,MATCH($B70&amp;$A70,INDEX(Electricity_projection,0,3),0),MATCH(YEAR(TODAY()),Timeline_elec_projec,0)+3)*INDEX(Recyc_mat_energy_input,MATCH(AT$1,'Data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5.0923898580829872E-2</v>
      </c>
      <c r="AU70" s="1" cm="1">
        <f t="array" aca="1" ref="AU70" ca="1">IFERROR(INDEX(Electricity_projection,MATCH($B70&amp;$A70,INDEX(Electricity_projection,0,3),0),MATCH(YEAR(TODAY()),Timeline_elec_projec,0)+3)*INDEX(Recyc_mat_energy_input,MATCH(AU$1,'Data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3.3681207846136353E-2</v>
      </c>
      <c r="AV70" s="1" cm="1">
        <f t="array" aca="1" ref="AV70" ca="1">IFERROR(INDEX(Electricity_projection,MATCH($B70&amp;$A70,INDEX(Electricity_projection,0,3),0),MATCH(YEAR(TODAY()),Timeline_elec_projec,0)+3)*INDEX(Recyc_mat_energy_input,MATCH(AV$1,'Data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3.1994119036583404E-2</v>
      </c>
      <c r="AW70" s="1"/>
      <c r="AX70" s="1"/>
      <c r="AY70" s="1"/>
      <c r="AZ70" s="1"/>
      <c r="BA70" s="1"/>
      <c r="BB70" s="1"/>
      <c r="BC70" s="1">
        <f t="shared" si="6"/>
        <v>2.76</v>
      </c>
      <c r="BD70" s="1">
        <v>2.76</v>
      </c>
      <c r="BE70" s="1">
        <v>2.76</v>
      </c>
      <c r="BF70" s="1"/>
      <c r="BG70" s="1">
        <f ca="1">'Dynamic Materials'!V79</f>
        <v>1.8692677730977316</v>
      </c>
      <c r="BH70" s="1"/>
      <c r="BI70" s="1" cm="1">
        <f t="array" aca="1" ref="BI70" ca="1">IFERROR(INDEX(Electricity_projection,MATCH($B70&amp;$A70,INDEX(Electricity_projection,0,3),0),MATCH(YEAR(TODAY()),Timeline_elec_projec,0)+3)*INDEX(Recyc_mat_energy_input,MATCH(BI$1,'Data Entry'!$B$91:$B$96,0),1)+Diesel_density*INDEX(Recyc_mat_energy_input,MATCH(BI$1,'Data Entry'!$B$91:$B$96,0),2)*INDEX(Indicators,ROW(),MATCH("Diesel Combustion",Materials!$1:$1,0)), "")</f>
        <v>0</v>
      </c>
      <c r="BJ70" s="1"/>
      <c r="BK70" s="1" cm="1">
        <f t="array" aca="1" ref="BK70" ca="1">IFERROR(INDEX(Electricity_projection,MATCH($B70&amp;$A70,INDEX(Electricity_projection,0,3),0),MATCH(YEAR(TODAY()),Timeline_elec_projec,0)+3)*INDEX(Recyc_mat_energy_input,MATCH(BK$1,'Data Entry'!$B$91:$B$96,0),1)+Diesel_density*INDEX(Recyc_mat_energy_input,MATCH(BK$1,'Data Entry'!$B$91:$B$96,0),2)*INDEX(Indicators,ROW(),MATCH("Diesel Combustion",Materials!$1:$1,0)), "")</f>
        <v>2.1566412784800003E-2</v>
      </c>
      <c r="BL70" s="1" cm="1">
        <f t="array" aca="1" ref="BL70" ca="1">IFERROR(INDEX(Electricity_projection,MATCH($B70&amp;$A70,INDEX(Electricity_projection,0,3),0),MATCH(YEAR(TODAY()),Timeline_elec_projec,0)+3)*INDEX(Recyc_mat_energy_input,MATCH(BL$1,'Data Entry'!$B$91:$B$96,0),1)+Diesel_density*INDEX(Recyc_mat_energy_input,MATCH(BL$1,'Data Entry'!$B$91:$B$96,0),2)*INDEX(Indicators,ROW(),MATCH("Diesel Combustion",Materials!$1:$1,0)), "")</f>
        <v>6.2000976717325275E-2</v>
      </c>
      <c r="BM70" s="1"/>
      <c r="BN70" s="1">
        <f>IF(Steel_supplier="Pacific Steel",Material_Impacts[[#This Row],[Pacific Steel]],Material_Impacts[[#This Row],[Infrabuild]])</f>
        <v>50.2</v>
      </c>
      <c r="BO70" s="1">
        <v>50.2</v>
      </c>
      <c r="BP70" s="1">
        <v>0.26262249999999998</v>
      </c>
      <c r="BQ70">
        <v>49.47054</v>
      </c>
      <c r="BR70">
        <v>48.850259999999999</v>
      </c>
      <c r="BS70" s="443"/>
      <c r="BT70" s="443"/>
      <c r="BU70" s="443"/>
      <c r="BV70" s="443">
        <v>1</v>
      </c>
      <c r="BX70" s="1">
        <v>3.4374600000000002</v>
      </c>
      <c r="BY70" s="1">
        <f t="shared" si="3"/>
        <v>7.9524812030075193E-2</v>
      </c>
      <c r="BZ70">
        <v>45.158679999999997</v>
      </c>
      <c r="CA70" s="1">
        <v>0</v>
      </c>
      <c r="CB70">
        <v>1.2214999999999999E-4</v>
      </c>
      <c r="CC70">
        <v>44.305869999999999</v>
      </c>
      <c r="CD70" s="378">
        <f t="shared" si="7"/>
        <v>1.1774844689999999</v>
      </c>
      <c r="CE70" s="208">
        <f t="shared" si="4"/>
        <v>45.483354468999998</v>
      </c>
      <c r="CF70" s="208"/>
      <c r="CG70" s="208"/>
      <c r="CH70" s="208"/>
      <c r="CI70" s="208"/>
      <c r="CJ70" s="208"/>
      <c r="CK70" s="208"/>
      <c r="CL70" s="208"/>
      <c r="CM70" s="208"/>
      <c r="CN70" s="208"/>
      <c r="CP70" s="208"/>
    </row>
    <row r="71" spans="1:94" x14ac:dyDescent="0.35">
      <c r="A71" t="s">
        <v>411</v>
      </c>
      <c r="B71" t="s">
        <v>485</v>
      </c>
      <c r="C71" t="s">
        <v>51</v>
      </c>
      <c r="D71" t="str">
        <f>Material_Impacts[[#This Row],[15804 version]]&amp;Material_Impacts[[#This Row],[Methodology]]&amp;Material_Impacts[[#This Row],[Acronym]]</f>
        <v>A1ConsequentialPERT</v>
      </c>
      <c r="E71" t="s">
        <v>754</v>
      </c>
      <c r="F71" t="s">
        <v>408</v>
      </c>
      <c r="G71" s="1">
        <v>0.25233</v>
      </c>
      <c r="H71" s="1">
        <v>0.25233</v>
      </c>
      <c r="I71" s="1">
        <v>0.25145000000000001</v>
      </c>
      <c r="J71" s="1">
        <v>0.25233</v>
      </c>
      <c r="K71" s="1">
        <v>6.531052673465707E-6</v>
      </c>
      <c r="L71" s="1">
        <v>1.5814478557129228E-5</v>
      </c>
      <c r="M71" s="1">
        <v>5.4996605237394539E-6</v>
      </c>
      <c r="N71" s="1"/>
      <c r="O71" s="443"/>
      <c r="P71" s="1">
        <v>1.4109999999999999E-2</v>
      </c>
      <c r="Q71" s="1">
        <v>0</v>
      </c>
      <c r="R71" s="1">
        <v>0</v>
      </c>
      <c r="S71" s="1">
        <v>0</v>
      </c>
      <c r="T71" s="1">
        <v>0</v>
      </c>
      <c r="U71" s="1">
        <v>0</v>
      </c>
      <c r="V71" s="1">
        <f ca="1">IFERROR('Dynamic Materials'!Q80+'Dynamic Materials'!AQ80, 0)</f>
        <v>5.5699659889691569E-2</v>
      </c>
      <c r="W71" s="1">
        <f ca="1">'Dynamic Materials'!R80</f>
        <v>-8.3746250829935549E-3</v>
      </c>
      <c r="X71" s="1">
        <f ca="1">'Dynamic Materials'!T80</f>
        <v>-1.2615181872882948E-2</v>
      </c>
      <c r="Y71" s="1">
        <f ca="1">IFERROR('Dynamic Materials'!U80+'Dynamic Materials'!AQ80, 0)</f>
        <v>4.3648160151751422E-2</v>
      </c>
      <c r="Z71" s="1">
        <f ca="1">IFERROR('Dynamic Materials'!S80+'Dynamic Materials'!AQ80, 0)</f>
        <v>4.5978753519540297E-2</v>
      </c>
      <c r="AA71" s="1">
        <f ca="1">'Dynamic Materials'!W80</f>
        <v>0.17660600000000001</v>
      </c>
      <c r="AB71" s="1">
        <v>0.27244000000000002</v>
      </c>
      <c r="AC71" s="1">
        <v>4.0032399999999999</v>
      </c>
      <c r="AD71" s="209">
        <f>BZ71+200*Material_Impacts[[#This Row],[Truck (32+t)]]+1130*CB71</f>
        <v>0.2392198321047479</v>
      </c>
      <c r="AE71" s="1">
        <v>0.19597000000000001</v>
      </c>
      <c r="AF71" s="1">
        <v>2.3529999999999999E-2</v>
      </c>
      <c r="AG71" s="1"/>
      <c r="AH71" s="1">
        <v>2.09314</v>
      </c>
      <c r="AI71" s="1">
        <f>'Dynamic Materials'!AG80</f>
        <v>-1.9529200000000002</v>
      </c>
      <c r="AJ71" s="1">
        <v>2.5080000000000002E-2</v>
      </c>
      <c r="AK71" s="1">
        <v>1.2409999999999999E-2</v>
      </c>
      <c r="AL71" s="1"/>
      <c r="AM71" s="1">
        <f t="shared" ref="AM71:AM102" si="8">BD71*0.04</f>
        <v>1.052E-2</v>
      </c>
      <c r="AN71" s="1">
        <v>3.1390000000000001E-2</v>
      </c>
      <c r="AO71" s="1">
        <v>0.48581000000000002</v>
      </c>
      <c r="AP71" s="209">
        <v>1.1999999999999999E-3</v>
      </c>
      <c r="AQ71" s="1">
        <f ca="1">'Dynamic Materials'!O80</f>
        <v>2.0144055532594206E-2</v>
      </c>
      <c r="AR71" s="1">
        <f ca="1">'Dynamic Materials'!P80</f>
        <v>-0.14215023439369062</v>
      </c>
      <c r="AS71" s="1"/>
      <c r="AT71" s="1" cm="1">
        <f t="array" aca="1" ref="AT71" ca="1">IFERROR(INDEX(Electricity_projection,MATCH($B71&amp;$A71,INDEX(Electricity_projection,0,3),0),MATCH(YEAR(TODAY()),Timeline_elec_projec,0)+3)*INDEX(Recyc_mat_energy_input,MATCH(AT$1,'Data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6.1604953258609894E-3</v>
      </c>
      <c r="AU71" s="1" cm="1">
        <f t="array" aca="1" ref="AU71" ca="1">IFERROR(INDEX(Electricity_projection,MATCH($B71&amp;$A71,INDEX(Electricity_projection,0,3),0),MATCH(YEAR(TODAY()),Timeline_elec_projec,0)+3)*INDEX(Recyc_mat_energy_input,MATCH(AU$1,'Data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6.5203055932529777E-3</v>
      </c>
      <c r="AV71" s="1" cm="1">
        <f t="array" aca="1" ref="AV71" ca="1">IFERROR(INDEX(Electricity_projection,MATCH($B71&amp;$A71,INDEX(Electricity_projection,0,3),0),MATCH(YEAR(TODAY()),Timeline_elec_projec,0)+3)*INDEX(Recyc_mat_energy_input,MATCH(AV$1,'Data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2.4636277831766987E-2</v>
      </c>
      <c r="AW71" s="1"/>
      <c r="AX71" s="1"/>
      <c r="AY71" s="1"/>
      <c r="AZ71" s="1"/>
      <c r="BA71" s="1"/>
      <c r="BB71" s="1"/>
      <c r="BC71" s="1">
        <f t="shared" ref="BC71:BC102" si="9">IF(Cement_Supplier="Golden Bay Cement",BD71,BE71)</f>
        <v>0.26300000000000001</v>
      </c>
      <c r="BD71" s="1">
        <v>0.26300000000000001</v>
      </c>
      <c r="BE71" s="1">
        <v>0.26300000000000001</v>
      </c>
      <c r="BF71" s="1"/>
      <c r="BG71" s="1">
        <f ca="1">'Dynamic Materials'!V80</f>
        <v>0.21014750322928388</v>
      </c>
      <c r="BH71" s="1"/>
      <c r="BI71" s="1" cm="1">
        <f t="array" aca="1" ref="BI71" ca="1">IFERROR(INDEX(Electricity_projection,MATCH($B71&amp;$A71,INDEX(Electricity_projection,0,3),0),MATCH(YEAR(TODAY()),Timeline_elec_projec,0)+3)*INDEX(Recyc_mat_energy_input,MATCH(BI$1,'Data Entry'!$B$91:$B$96,0),1)+Diesel_density*INDEX(Recyc_mat_energy_input,MATCH(BI$1,'Data Entry'!$B$91:$B$96,0),2)*INDEX(Indicators,ROW(),MATCH("Diesel Combustion",Materials!$1:$1,0)), "")</f>
        <v>0</v>
      </c>
      <c r="BJ71" s="1"/>
      <c r="BK71" s="1" cm="1">
        <f t="array" aca="1" ref="BK71" ca="1">IFERROR(INDEX(Electricity_projection,MATCH($B71&amp;$A71,INDEX(Electricity_projection,0,3),0),MATCH(YEAR(TODAY()),Timeline_elec_projec,0)+3)*INDEX(Recyc_mat_energy_input,MATCH(BK$1,'Data Entry'!$B$91:$B$96,0),1)+Diesel_density*INDEX(Recyc_mat_energy_input,MATCH(BK$1,'Data Entry'!$B$91:$B$96,0),2)*INDEX(Indicators,ROW(),MATCH("Diesel Combustion",Materials!$1:$1,0)), "")</f>
        <v>1.1139864840000001E-4</v>
      </c>
      <c r="BL71" s="1" cm="1">
        <f t="array" aca="1" ref="BL71" ca="1">IFERROR(INDEX(Electricity_projection,MATCH($B71&amp;$A71,INDEX(Electricity_projection,0,3),0),MATCH(YEAR(TODAY()),Timeline_elec_projec,0)+3)*INDEX(Recyc_mat_energy_input,MATCH(BL$1,'Data Entry'!$B$91:$B$96,0),1)+Diesel_density*INDEX(Recyc_mat_energy_input,MATCH(BL$1,'Data Entry'!$B$91:$B$96,0),2)*INDEX(Indicators,ROW(),MATCH("Diesel Combustion",Materials!$1:$1,0)), "")</f>
        <v>9.145163723692834E-2</v>
      </c>
      <c r="BM71" s="1"/>
      <c r="BN71" s="1">
        <f>IF(Steel_supplier="Pacific Steel",Material_Impacts[[#This Row],[Pacific Steel]],Material_Impacts[[#This Row],[Infrabuild]])</f>
        <v>5.68</v>
      </c>
      <c r="BO71" s="1">
        <v>5.68</v>
      </c>
      <c r="BP71" s="1">
        <v>2.6444999999999997E-3</v>
      </c>
      <c r="BQ71">
        <v>0.25145000000000001</v>
      </c>
      <c r="BR71">
        <v>0.25233</v>
      </c>
      <c r="BS71" s="443"/>
      <c r="BT71" s="443"/>
      <c r="BU71" s="443"/>
      <c r="BV71" s="443">
        <v>1</v>
      </c>
      <c r="BX71" s="1">
        <v>1.9900000000000001E-2</v>
      </c>
      <c r="BY71" s="1">
        <f t="shared" si="3"/>
        <v>4.6038172353961835E-4</v>
      </c>
      <c r="BZ71">
        <v>0.23673</v>
      </c>
      <c r="CA71" s="1">
        <v>0</v>
      </c>
      <c r="CB71">
        <v>1.2299999999999999E-6</v>
      </c>
      <c r="CC71">
        <v>2.1391</v>
      </c>
      <c r="CD71" s="378">
        <f t="shared" ref="CD71:CD102" si="10">9639.66*CB71</f>
        <v>1.1856781799999999E-2</v>
      </c>
      <c r="CE71" s="208">
        <f t="shared" si="4"/>
        <v>2.1509567818000002</v>
      </c>
      <c r="CF71" s="208"/>
      <c r="CG71" s="208"/>
      <c r="CH71" s="208"/>
      <c r="CI71" s="208"/>
      <c r="CJ71" s="208"/>
      <c r="CK71" s="208"/>
      <c r="CL71" s="208"/>
      <c r="CM71" s="208"/>
      <c r="CN71" s="208"/>
      <c r="CP71" s="208"/>
    </row>
    <row r="72" spans="1:94" x14ac:dyDescent="0.35">
      <c r="A72" t="s">
        <v>413</v>
      </c>
      <c r="B72" t="s">
        <v>485</v>
      </c>
      <c r="C72" t="s">
        <v>51</v>
      </c>
      <c r="D72" t="str">
        <f>Material_Impacts[[#This Row],[15804 version]]&amp;Material_Impacts[[#This Row],[Methodology]]&amp;Material_Impacts[[#This Row],[Acronym]]</f>
        <v>A1ConsequentialFW</v>
      </c>
      <c r="E72" t="s">
        <v>755</v>
      </c>
      <c r="F72" t="s">
        <v>756</v>
      </c>
      <c r="G72" s="1">
        <v>0.30807000000000001</v>
      </c>
      <c r="H72" s="1">
        <v>0.30807000000000001</v>
      </c>
      <c r="I72" s="1">
        <v>0.32616000000000001</v>
      </c>
      <c r="J72" s="1">
        <v>0.30807000000000001</v>
      </c>
      <c r="K72" s="1">
        <v>7.9737700515776177E-6</v>
      </c>
      <c r="L72" s="1">
        <v>1.9307915860558799E-5</v>
      </c>
      <c r="M72" s="1">
        <v>6.7145421374724111E-6</v>
      </c>
      <c r="N72" s="1"/>
      <c r="O72" s="443"/>
      <c r="P72" s="1">
        <v>5.1999999999999998E-2</v>
      </c>
      <c r="Q72" s="1">
        <v>0</v>
      </c>
      <c r="R72" s="1">
        <v>0</v>
      </c>
      <c r="S72" s="1">
        <v>0</v>
      </c>
      <c r="T72" s="1">
        <v>0</v>
      </c>
      <c r="U72" s="1">
        <v>0</v>
      </c>
      <c r="V72" s="1">
        <f ca="1">IFERROR('Dynamic Materials'!Q81+'Dynamic Materials'!AQ81, 0)</f>
        <v>1.9421794562311984E-2</v>
      </c>
      <c r="W72" s="1">
        <f ca="1">'Dynamic Materials'!R81</f>
        <v>5.4911617664830832E-2</v>
      </c>
      <c r="X72" s="1">
        <f ca="1">'Dynamic Materials'!T81</f>
        <v>4.7821217309244719E-2</v>
      </c>
      <c r="Y72" s="1">
        <f ca="1">IFERROR('Dynamic Materials'!U81+'Dynamic Materials'!AQ81, 0)</f>
        <v>1.4785745535998292E-2</v>
      </c>
      <c r="Z72" s="1">
        <f ca="1">IFERROR('Dynamic Materials'!S81+'Dynamic Materials'!AQ81, 0)</f>
        <v>1.7401368935657139E-2</v>
      </c>
      <c r="AA72" s="1">
        <f ca="1">'Dynamic Materials'!W81</f>
        <v>3.9315000000000001E-3</v>
      </c>
      <c r="AB72" s="1">
        <v>0.58706999999999998</v>
      </c>
      <c r="AC72" s="1">
        <v>1.6163400000000001</v>
      </c>
      <c r="AD72" s="209">
        <f>BZ72+200*Material_Impacts[[#This Row],[Truck (32+t)]]+1130*CB72</f>
        <v>0.26314710842749445</v>
      </c>
      <c r="AE72" s="1">
        <v>0.16850000000000001</v>
      </c>
      <c r="AF72" s="1">
        <v>6.5049999999999997E-2</v>
      </c>
      <c r="AG72" s="1"/>
      <c r="AH72" s="1">
        <v>1.1367499999999999</v>
      </c>
      <c r="AI72" s="1">
        <f>'Dynamic Materials'!AG81</f>
        <v>2.291137</v>
      </c>
      <c r="AJ72" s="1">
        <v>7.5190000000000007E-2</v>
      </c>
      <c r="AK72" s="1">
        <v>6.4780000000000004E-2</v>
      </c>
      <c r="AL72" s="1"/>
      <c r="AM72" s="1">
        <f t="shared" si="8"/>
        <v>1.4999999999999999E-4</v>
      </c>
      <c r="AN72" s="1">
        <v>9.325E-2</v>
      </c>
      <c r="AO72" s="1">
        <v>0.25912000000000002</v>
      </c>
      <c r="AP72" s="209">
        <v>4.3E-3</v>
      </c>
      <c r="AQ72" s="1">
        <f ca="1">'Dynamic Materials'!O81</f>
        <v>1.7278508859563068E-2</v>
      </c>
      <c r="AR72" s="1">
        <f ca="1">'Dynamic Materials'!P81</f>
        <v>0.23371851235391333</v>
      </c>
      <c r="AS72" s="1"/>
      <c r="AT72" s="1" cm="1">
        <f t="array" aca="1" ref="AT72" ca="1">IFERROR(INDEX(Electricity_projection,MATCH($B72&amp;$A72,INDEX(Electricity_projection,0,3),0),MATCH(YEAR(TODAY()),Timeline_elec_projec,0)+3)*INDEX(Recyc_mat_energy_input,MATCH(AT$1,'Data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1.5847684616099999E-3</v>
      </c>
      <c r="AU72" s="1" cm="1">
        <f t="array" aca="1" ref="AU72" ca="1">IFERROR(INDEX(Electricity_projection,MATCH($B72&amp;$A72,INDEX(Electricity_projection,0,3),0),MATCH(YEAR(TODAY()),Timeline_elec_projec,0)+3)*INDEX(Recyc_mat_energy_input,MATCH(AU$1,'Data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1.8517841244000002E-4</v>
      </c>
      <c r="AV72" s="1" cm="1">
        <f t="array" aca="1" ref="AV72" ca="1">IFERROR(INDEX(Electricity_projection,MATCH($B72&amp;$A72,INDEX(Electricity_projection,0,3),0),MATCH(YEAR(TODAY()),Timeline_elec_projec,0)+3)*INDEX(Recyc_mat_energy_input,MATCH(AV$1,'Data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9.677402909999999E-5</v>
      </c>
      <c r="AW72" s="1"/>
      <c r="AX72" s="1"/>
      <c r="AY72" s="1"/>
      <c r="AZ72" s="1"/>
      <c r="BA72" s="1"/>
      <c r="BB72" s="1"/>
      <c r="BC72" s="1">
        <f t="shared" si="9"/>
        <v>3.7499999999999999E-3</v>
      </c>
      <c r="BD72" s="1">
        <v>3.7499999999999999E-3</v>
      </c>
      <c r="BE72" s="1">
        <v>3.7499999999999999E-3</v>
      </c>
      <c r="BF72" s="1"/>
      <c r="BG72" s="1">
        <f ca="1">'Dynamic Materials'!V81</f>
        <v>3.1967390366249996E-3</v>
      </c>
      <c r="BH72" s="1"/>
      <c r="BI72" s="1" t="str" cm="1">
        <f t="array" aca="1" ref="BI72" ca="1">IFERROR(INDEX(Electricity_projection,MATCH($B72&amp;$A72,INDEX(Electricity_projection,0,3),0),MATCH(YEAR(TODAY()),Timeline_elec_projec,0)+3)*INDEX(Recyc_mat_energy_input,MATCH(BI$1,'Data Entry'!$B$91:$B$96,0),1)+Diesel_density*INDEX(Recyc_mat_energy_input,MATCH(BI$1,'Data Entry'!$B$91:$B$96,0),2)*INDEX(Indicators,ROW(),MATCH("Diesel Combustion",Materials!$1:$1,0)), "")</f>
        <v/>
      </c>
      <c r="BJ72" s="1"/>
      <c r="BK72" s="1" t="str" cm="1">
        <f t="array" aca="1" ref="BK72" ca="1">IFERROR(INDEX(Electricity_projection,MATCH($B72&amp;$A72,INDEX(Electricity_projection,0,3),0),MATCH(YEAR(TODAY()),Timeline_elec_projec,0)+3)*INDEX(Recyc_mat_energy_input,MATCH(BK$1,'Data Entry'!$B$91:$B$96,0),1)+Diesel_density*INDEX(Recyc_mat_energy_input,MATCH(BK$1,'Data Entry'!$B$91:$B$96,0),2)*INDEX(Indicators,ROW(),MATCH("Diesel Combustion",Materials!$1:$1,0)), "")</f>
        <v/>
      </c>
      <c r="BL72" s="1" t="str" cm="1">
        <f t="array" aca="1" ref="BL72" ca="1">IFERROR(INDEX(Electricity_projection,MATCH($B72&amp;$A72,INDEX(Electricity_projection,0,3),0),MATCH(YEAR(TODAY()),Timeline_elec_projec,0)+3)*INDEX(Recyc_mat_energy_input,MATCH(BL$1,'Data Entry'!$B$91:$B$96,0),1)+Diesel_density*INDEX(Recyc_mat_energy_input,MATCH(BL$1,'Data Entry'!$B$91:$B$96,0),2)*INDEX(Indicators,ROW(),MATCH("Diesel Combustion",Materials!$1:$1,0)), "")</f>
        <v/>
      </c>
      <c r="BM72" s="1"/>
      <c r="BN72" s="1">
        <f>IF(Steel_supplier="Pacific Steel",Material_Impacts[[#This Row],[Pacific Steel]],Material_Impacts[[#This Row],[Infrabuild]])</f>
        <v>4.2999999999999997E-2</v>
      </c>
      <c r="BO72" s="1">
        <v>4.2999999999999997E-2</v>
      </c>
      <c r="BP72" s="1">
        <v>7.1810000000000008E-3</v>
      </c>
      <c r="BQ72">
        <v>0.32616000000000001</v>
      </c>
      <c r="BR72">
        <v>0.30807000000000001</v>
      </c>
      <c r="BS72" s="443"/>
      <c r="BT72" s="443"/>
      <c r="BU72" s="443"/>
      <c r="BV72" s="443">
        <v>1</v>
      </c>
      <c r="BX72" s="1">
        <v>9.9030000000000007E-2</v>
      </c>
      <c r="BY72" s="1">
        <f t="shared" ref="BY72:BY110" si="11">BX72/0.95/45.5</f>
        <v>2.2910352805089653E-3</v>
      </c>
      <c r="BZ72">
        <v>0.25802999999999998</v>
      </c>
      <c r="CA72" s="1">
        <v>0</v>
      </c>
      <c r="CB72">
        <v>3.3400000000000002E-6</v>
      </c>
      <c r="CC72">
        <v>0.96482999999999997</v>
      </c>
      <c r="CD72" s="378">
        <f t="shared" si="10"/>
        <v>3.2196464399999999E-2</v>
      </c>
      <c r="CE72" s="208">
        <f t="shared" ref="CE72:CE110" si="12">CD72+CC72</f>
        <v>0.99702646439999998</v>
      </c>
      <c r="CF72" s="208"/>
      <c r="CG72" s="208"/>
      <c r="CH72" s="208"/>
      <c r="CI72" s="208"/>
      <c r="CJ72" s="208"/>
      <c r="CK72" s="208"/>
      <c r="CL72" s="208"/>
      <c r="CM72" s="208"/>
      <c r="CN72" s="208"/>
      <c r="CP72" s="208"/>
    </row>
    <row r="73" spans="1:94" x14ac:dyDescent="0.35">
      <c r="A73" t="s">
        <v>508</v>
      </c>
      <c r="B73" t="s">
        <v>485</v>
      </c>
      <c r="C73" t="s">
        <v>51</v>
      </c>
      <c r="D73" t="str">
        <f>Material_Impacts[[#This Row],[15804 version]]&amp;Material_Impacts[[#This Row],[Methodology]]&amp;Material_Impacts[[#This Row],[Acronym]]</f>
        <v>A1ConsequentialSM</v>
      </c>
      <c r="E73" t="s">
        <v>757</v>
      </c>
      <c r="F73" t="s">
        <v>758</v>
      </c>
      <c r="G73" s="1">
        <v>0</v>
      </c>
      <c r="H73" s="1">
        <v>0</v>
      </c>
      <c r="I73" s="1">
        <v>0</v>
      </c>
      <c r="J73" s="1">
        <v>0</v>
      </c>
      <c r="K73" s="1">
        <v>0</v>
      </c>
      <c r="L73" s="1">
        <v>0</v>
      </c>
      <c r="M73" s="1">
        <v>0</v>
      </c>
      <c r="N73" s="1"/>
      <c r="O73" s="443"/>
      <c r="P73" s="1">
        <v>0</v>
      </c>
      <c r="Q73" s="1">
        <v>0</v>
      </c>
      <c r="R73" s="1">
        <v>0</v>
      </c>
      <c r="S73" s="1">
        <v>0</v>
      </c>
      <c r="T73" s="1">
        <v>0</v>
      </c>
      <c r="U73" s="1">
        <v>0</v>
      </c>
      <c r="V73" s="1">
        <f ca="1">IFERROR('Dynamic Materials'!Q82+'Dynamic Materials'!AQ82, 0)</f>
        <v>1.2286007609406925E-4</v>
      </c>
      <c r="W73" s="1">
        <f ca="1">'Dynamic Materials'!R82</f>
        <v>1.2286007609406925E-4</v>
      </c>
      <c r="X73" s="1">
        <f ca="1">'Dynamic Materials'!T82</f>
        <v>1.2286007609406925E-4</v>
      </c>
      <c r="Y73" s="1">
        <f ca="1">IFERROR('Dynamic Materials'!U82+'Dynamic Materials'!AQ82, 0)</f>
        <v>1.2286007609406925E-4</v>
      </c>
      <c r="Z73" s="1">
        <f ca="1">IFERROR('Dynamic Materials'!S82+'Dynamic Materials'!AQ82, 0)</f>
        <v>1.2286007609406925E-4</v>
      </c>
      <c r="AA73" s="1">
        <f ca="1">'Dynamic Materials'!W82</f>
        <v>0.20569000000000001</v>
      </c>
      <c r="AB73" s="1">
        <v>0</v>
      </c>
      <c r="AC73" s="1">
        <v>0</v>
      </c>
      <c r="AD73" s="209">
        <f>BZ73+200*Material_Impacts[[#This Row],[Truck (32+t)]]+1130*CB73</f>
        <v>0</v>
      </c>
      <c r="AE73" s="1">
        <v>0</v>
      </c>
      <c r="AF73" s="1">
        <v>0</v>
      </c>
      <c r="AG73" s="1"/>
      <c r="AH73" s="1">
        <v>0</v>
      </c>
      <c r="AI73" s="1">
        <f>'Dynamic Materials'!AG82</f>
        <v>0</v>
      </c>
      <c r="AJ73" s="1">
        <v>0</v>
      </c>
      <c r="AK73" s="1">
        <v>0</v>
      </c>
      <c r="AL73" s="1"/>
      <c r="AM73" s="1">
        <f t="shared" si="8"/>
        <v>1.2279999999999999E-2</v>
      </c>
      <c r="AN73" s="1">
        <v>0</v>
      </c>
      <c r="AO73" s="1">
        <v>0</v>
      </c>
      <c r="AP73" s="209">
        <v>0</v>
      </c>
      <c r="AQ73" s="1">
        <f ca="1">'Dynamic Materials'!O82</f>
        <v>0</v>
      </c>
      <c r="AR73" s="1">
        <f ca="1">'Dynamic Materials'!P82</f>
        <v>0</v>
      </c>
      <c r="AS73" s="1"/>
      <c r="AT73" s="1" cm="1">
        <f t="array" aca="1" ref="AT73" ca="1">IFERROR(INDEX(Electricity_projection,MATCH($B73&amp;$A73,INDEX(Electricity_projection,0,3),0),MATCH(YEAR(TODAY()),Timeline_elec_projec,0)+3)*INDEX(Recyc_mat_energy_input,MATCH(AT$1,'Data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73" s="1" cm="1">
        <f t="array" aca="1" ref="AU73" ca="1">IFERROR(INDEX(Electricity_projection,MATCH($B73&amp;$A73,INDEX(Electricity_projection,0,3),0),MATCH(YEAR(TODAY()),Timeline_elec_projec,0)+3)*INDEX(Recyc_mat_energy_input,MATCH(AU$1,'Data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73" s="1" cm="1">
        <f t="array" aca="1" ref="AV73" ca="1">IFERROR(INDEX(Electricity_projection,MATCH($B73&amp;$A73,INDEX(Electricity_projection,0,3),0),MATCH(YEAR(TODAY()),Timeline_elec_projec,0)+3)*INDEX(Recyc_mat_energy_input,MATCH(AV$1,'Data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73" s="1"/>
      <c r="AX73" s="1"/>
      <c r="AY73" s="1"/>
      <c r="AZ73" s="1"/>
      <c r="BA73" s="1"/>
      <c r="BB73" s="1"/>
      <c r="BC73" s="1">
        <f t="shared" si="9"/>
        <v>0.307</v>
      </c>
      <c r="BD73" s="1">
        <v>0.307</v>
      </c>
      <c r="BE73" s="1">
        <v>0.307</v>
      </c>
      <c r="BF73" s="1"/>
      <c r="BG73" s="1">
        <f ca="1">'Dynamic Materials'!V82</f>
        <v>3.6839999999999998E-2</v>
      </c>
      <c r="BH73" s="1"/>
      <c r="BI73" s="1" t="str" cm="1">
        <f t="array" aca="1" ref="BI73" ca="1">IFERROR(INDEX(Electricity_projection,MATCH($B73&amp;$A73,INDEX(Electricity_projection,0,3),0),MATCH(YEAR(TODAY()),Timeline_elec_projec,0)+3)*INDEX(Recyc_mat_energy_input,MATCH(BI$1,'Data Entry'!$B$91:$B$96,0),1)+Diesel_density*INDEX(Recyc_mat_energy_input,MATCH(BI$1,'Data Entry'!$B$91:$B$96,0),2)*INDEX(Indicators,ROW(),MATCH("Diesel Combustion",Materials!$1:$1,0)), "")</f>
        <v/>
      </c>
      <c r="BJ73" s="1"/>
      <c r="BK73" s="1" t="str" cm="1">
        <f t="array" aca="1" ref="BK73" ca="1">IFERROR(INDEX(Electricity_projection,MATCH($B73&amp;$A73,INDEX(Electricity_projection,0,3),0),MATCH(YEAR(TODAY()),Timeline_elec_projec,0)+3)*INDEX(Recyc_mat_energy_input,MATCH(BK$1,'Data Entry'!$B$91:$B$96,0),1)+Diesel_density*INDEX(Recyc_mat_energy_input,MATCH(BK$1,'Data Entry'!$B$91:$B$96,0),2)*INDEX(Indicators,ROW(),MATCH("Diesel Combustion",Materials!$1:$1,0)), "")</f>
        <v/>
      </c>
      <c r="BL73" s="1" t="str" cm="1">
        <f t="array" aca="1" ref="BL73" ca="1">IFERROR(INDEX(Electricity_projection,MATCH($B73&amp;$A73,INDEX(Electricity_projection,0,3),0),MATCH(YEAR(TODAY()),Timeline_elec_projec,0)+3)*INDEX(Recyc_mat_energy_input,MATCH(BL$1,'Data Entry'!$B$91:$B$96,0),1)+Diesel_density*INDEX(Recyc_mat_energy_input,MATCH(BL$1,'Data Entry'!$B$91:$B$96,0),2)*INDEX(Indicators,ROW(),MATCH("Diesel Combustion",Materials!$1:$1,0)), "")</f>
        <v/>
      </c>
      <c r="BM73" s="1"/>
      <c r="BN73" s="1">
        <f>IF(Steel_supplier="Pacific Steel",Material_Impacts[[#This Row],[Pacific Steel]],Material_Impacts[[#This Row],[Infrabuild]])</f>
        <v>0</v>
      </c>
      <c r="BO73" s="1">
        <v>0</v>
      </c>
      <c r="BP73" s="1">
        <v>0</v>
      </c>
      <c r="BQ73">
        <v>0</v>
      </c>
      <c r="BR73">
        <v>0</v>
      </c>
      <c r="BS73" s="443"/>
      <c r="BT73" s="443"/>
      <c r="BU73" s="443"/>
      <c r="BV73" s="443">
        <v>1</v>
      </c>
      <c r="BX73" s="1">
        <v>0</v>
      </c>
      <c r="BY73" s="1">
        <f t="shared" si="11"/>
        <v>0</v>
      </c>
      <c r="BZ73">
        <v>0</v>
      </c>
      <c r="CA73" s="1">
        <v>0</v>
      </c>
      <c r="CB73">
        <v>0</v>
      </c>
      <c r="CC73">
        <v>0</v>
      </c>
      <c r="CD73" s="378">
        <f t="shared" si="10"/>
        <v>0</v>
      </c>
      <c r="CE73" s="208">
        <f t="shared" si="12"/>
        <v>0</v>
      </c>
      <c r="CF73" s="208"/>
      <c r="CG73" s="208"/>
      <c r="CH73" s="208"/>
      <c r="CI73" s="208"/>
      <c r="CJ73" s="208"/>
      <c r="CK73" s="208"/>
      <c r="CL73" s="208"/>
      <c r="CM73" s="208"/>
      <c r="CN73" s="208"/>
      <c r="CP73" s="208"/>
    </row>
    <row r="74" spans="1:94" x14ac:dyDescent="0.35">
      <c r="A74" t="s">
        <v>510</v>
      </c>
      <c r="B74" t="s">
        <v>485</v>
      </c>
      <c r="C74" t="s">
        <v>51</v>
      </c>
      <c r="D74" t="str">
        <f>Material_Impacts[[#This Row],[15804 version]]&amp;Material_Impacts[[#This Row],[Methodology]]&amp;Material_Impacts[[#This Row],[Acronym]]</f>
        <v>A1ConsequentialNRSF</v>
      </c>
      <c r="E74" t="s">
        <v>759</v>
      </c>
      <c r="F74" t="s">
        <v>760</v>
      </c>
      <c r="G74" s="1">
        <v>0</v>
      </c>
      <c r="H74" s="1">
        <v>0</v>
      </c>
      <c r="I74" s="1">
        <v>0</v>
      </c>
      <c r="J74" s="1">
        <v>0</v>
      </c>
      <c r="K74" s="1">
        <v>0</v>
      </c>
      <c r="L74" s="1">
        <v>0</v>
      </c>
      <c r="M74" s="1">
        <v>0</v>
      </c>
      <c r="N74" s="1"/>
      <c r="O74" s="443"/>
      <c r="P74" s="1">
        <v>0</v>
      </c>
      <c r="Q74" s="1">
        <v>0</v>
      </c>
      <c r="R74" s="1">
        <v>0</v>
      </c>
      <c r="S74" s="1">
        <v>0</v>
      </c>
      <c r="T74" s="1">
        <v>0</v>
      </c>
      <c r="U74" s="1">
        <v>0</v>
      </c>
      <c r="V74" s="1">
        <f ca="1">IFERROR('Dynamic Materials'!Q83+'Dynamic Materials'!AQ83, 0)</f>
        <v>1.2286007609406925E-4</v>
      </c>
      <c r="W74" s="1">
        <f ca="1">'Dynamic Materials'!R83</f>
        <v>1.2286007609406925E-4</v>
      </c>
      <c r="X74" s="1">
        <f ca="1">'Dynamic Materials'!T83</f>
        <v>1.2286007609406925E-4</v>
      </c>
      <c r="Y74" s="1">
        <f ca="1">IFERROR('Dynamic Materials'!U83+'Dynamic Materials'!AQ83, 0)</f>
        <v>1.2286007609406925E-4</v>
      </c>
      <c r="Z74" s="1">
        <f ca="1">IFERROR('Dynamic Materials'!S83+'Dynamic Materials'!AQ83, 0)</f>
        <v>1.2286007609406925E-4</v>
      </c>
      <c r="AA74" s="1">
        <f ca="1">'Dynamic Materials'!W83</f>
        <v>0.23047999999999999</v>
      </c>
      <c r="AB74" s="1">
        <v>0</v>
      </c>
      <c r="AC74" s="1">
        <v>0</v>
      </c>
      <c r="AD74" s="209">
        <f>BZ74+200*Material_Impacts[[#This Row],[Truck (32+t)]]+1130*CB74</f>
        <v>0</v>
      </c>
      <c r="AE74" s="1">
        <v>0</v>
      </c>
      <c r="AF74" s="1">
        <v>0</v>
      </c>
      <c r="AG74" s="1"/>
      <c r="AH74" s="1">
        <v>0</v>
      </c>
      <c r="AI74" s="1">
        <f>'Dynamic Materials'!AG83</f>
        <v>0</v>
      </c>
      <c r="AJ74" s="1">
        <v>0</v>
      </c>
      <c r="AK74" s="1">
        <v>0</v>
      </c>
      <c r="AL74" s="1"/>
      <c r="AM74" s="1">
        <f t="shared" si="8"/>
        <v>1.376E-2</v>
      </c>
      <c r="AN74" s="1">
        <v>0</v>
      </c>
      <c r="AO74" s="1">
        <v>0</v>
      </c>
      <c r="AP74" s="209">
        <v>0</v>
      </c>
      <c r="AQ74" s="1">
        <f ca="1">'Dynamic Materials'!O83</f>
        <v>0</v>
      </c>
      <c r="AR74" s="1">
        <f ca="1">'Dynamic Materials'!P83</f>
        <v>0</v>
      </c>
      <c r="AS74" s="1"/>
      <c r="AT74" s="1" cm="1">
        <f t="array" aca="1" ref="AT74" ca="1">IFERROR(INDEX(Electricity_projection,MATCH($B74&amp;$A74,INDEX(Electricity_projection,0,3),0),MATCH(YEAR(TODAY()),Timeline_elec_projec,0)+3)*INDEX(Recyc_mat_energy_input,MATCH(AT$1,'Data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74" s="1" cm="1">
        <f t="array" aca="1" ref="AU74" ca="1">IFERROR(INDEX(Electricity_projection,MATCH($B74&amp;$A74,INDEX(Electricity_projection,0,3),0),MATCH(YEAR(TODAY()),Timeline_elec_projec,0)+3)*INDEX(Recyc_mat_energy_input,MATCH(AU$1,'Data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74" s="1" cm="1">
        <f t="array" aca="1" ref="AV74" ca="1">IFERROR(INDEX(Electricity_projection,MATCH($B74&amp;$A74,INDEX(Electricity_projection,0,3),0),MATCH(YEAR(TODAY()),Timeline_elec_projec,0)+3)*INDEX(Recyc_mat_energy_input,MATCH(AV$1,'Data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74" s="1"/>
      <c r="AX74" s="1"/>
      <c r="AY74" s="1"/>
      <c r="AZ74" s="1"/>
      <c r="BA74" s="1"/>
      <c r="BB74" s="1"/>
      <c r="BC74" s="1">
        <f t="shared" si="9"/>
        <v>0.34399999999999997</v>
      </c>
      <c r="BD74" s="1">
        <v>0.34399999999999997</v>
      </c>
      <c r="BE74" s="1">
        <v>0.34399999999999997</v>
      </c>
      <c r="BF74" s="1"/>
      <c r="BG74" s="1">
        <f ca="1">'Dynamic Materials'!V83</f>
        <v>4.1280000001544997E-2</v>
      </c>
      <c r="BH74" s="1"/>
      <c r="BI74" s="1" t="str" cm="1">
        <f t="array" aca="1" ref="BI74" ca="1">IFERROR(INDEX(Electricity_projection,MATCH($B74&amp;$A74,INDEX(Electricity_projection,0,3),0),MATCH(YEAR(TODAY()),Timeline_elec_projec,0)+3)*INDEX(Recyc_mat_energy_input,MATCH(BI$1,'Data Entry'!$B$91:$B$96,0),1)+Diesel_density*INDEX(Recyc_mat_energy_input,MATCH(BI$1,'Data Entry'!$B$91:$B$96,0),2)*INDEX(Indicators,ROW(),MATCH("Diesel Combustion",Materials!$1:$1,0)), "")</f>
        <v/>
      </c>
      <c r="BJ74" s="1"/>
      <c r="BK74" s="1" t="str" cm="1">
        <f t="array" aca="1" ref="BK74" ca="1">IFERROR(INDEX(Electricity_projection,MATCH($B74&amp;$A74,INDEX(Electricity_projection,0,3),0),MATCH(YEAR(TODAY()),Timeline_elec_projec,0)+3)*INDEX(Recyc_mat_energy_input,MATCH(BK$1,'Data Entry'!$B$91:$B$96,0),1)+Diesel_density*INDEX(Recyc_mat_energy_input,MATCH(BK$1,'Data Entry'!$B$91:$B$96,0),2)*INDEX(Indicators,ROW(),MATCH("Diesel Combustion",Materials!$1:$1,0)), "")</f>
        <v/>
      </c>
      <c r="BL74" s="1" t="str" cm="1">
        <f t="array" aca="1" ref="BL74" ca="1">IFERROR(INDEX(Electricity_projection,MATCH($B74&amp;$A74,INDEX(Electricity_projection,0,3),0),MATCH(YEAR(TODAY()),Timeline_elec_projec,0)+3)*INDEX(Recyc_mat_energy_input,MATCH(BL$1,'Data Entry'!$B$91:$B$96,0),1)+Diesel_density*INDEX(Recyc_mat_energy_input,MATCH(BL$1,'Data Entry'!$B$91:$B$96,0),2)*INDEX(Indicators,ROW(),MATCH("Diesel Combustion",Materials!$1:$1,0)), "")</f>
        <v/>
      </c>
      <c r="BM74" s="1"/>
      <c r="BN74" s="1">
        <f>IF(Steel_supplier="Pacific Steel",Material_Impacts[[#This Row],[Pacific Steel]],Material_Impacts[[#This Row],[Infrabuild]])</f>
        <v>5.1500000000000003E-11</v>
      </c>
      <c r="BO74" s="1">
        <v>5.1500000000000003E-11</v>
      </c>
      <c r="BP74" s="1">
        <v>0</v>
      </c>
      <c r="BQ74">
        <v>0</v>
      </c>
      <c r="BR74">
        <v>0</v>
      </c>
      <c r="BS74" s="443"/>
      <c r="BT74" s="443"/>
      <c r="BU74" s="443"/>
      <c r="BV74" s="443">
        <v>1</v>
      </c>
      <c r="BX74" s="1">
        <v>0</v>
      </c>
      <c r="BY74" s="1">
        <f t="shared" si="11"/>
        <v>0</v>
      </c>
      <c r="BZ74">
        <v>0</v>
      </c>
      <c r="CA74" s="1">
        <v>0</v>
      </c>
      <c r="CB74">
        <v>0</v>
      </c>
      <c r="CC74">
        <v>0</v>
      </c>
      <c r="CD74" s="378">
        <f t="shared" si="10"/>
        <v>0</v>
      </c>
      <c r="CE74" s="208">
        <f t="shared" si="12"/>
        <v>0</v>
      </c>
      <c r="CF74" s="208"/>
      <c r="CG74" s="208"/>
      <c r="CH74" s="208"/>
      <c r="CI74" s="208"/>
      <c r="CJ74" s="208"/>
      <c r="CK74" s="208"/>
      <c r="CL74" s="208"/>
      <c r="CM74" s="208"/>
      <c r="CN74" s="208"/>
      <c r="CP74" s="208"/>
    </row>
    <row r="75" spans="1:94" x14ac:dyDescent="0.35">
      <c r="A75" t="s">
        <v>512</v>
      </c>
      <c r="B75" t="s">
        <v>485</v>
      </c>
      <c r="C75" t="s">
        <v>51</v>
      </c>
      <c r="D75" t="str">
        <f>Material_Impacts[[#This Row],[15804 version]]&amp;Material_Impacts[[#This Row],[Methodology]]&amp;Material_Impacts[[#This Row],[Acronym]]</f>
        <v>A1ConsequentialRSF</v>
      </c>
      <c r="E75" t="s">
        <v>761</v>
      </c>
      <c r="F75" t="s">
        <v>760</v>
      </c>
      <c r="G75" s="1">
        <v>0</v>
      </c>
      <c r="H75" s="1">
        <v>0</v>
      </c>
      <c r="I75" s="1">
        <v>0</v>
      </c>
      <c r="J75" s="1">
        <v>0</v>
      </c>
      <c r="K75" s="1">
        <v>0</v>
      </c>
      <c r="L75" s="1">
        <v>0</v>
      </c>
      <c r="M75" s="1">
        <v>0</v>
      </c>
      <c r="N75" s="1"/>
      <c r="O75" s="443"/>
      <c r="P75" s="1">
        <v>0</v>
      </c>
      <c r="Q75" s="1">
        <v>0</v>
      </c>
      <c r="R75" s="1">
        <v>0</v>
      </c>
      <c r="S75" s="1">
        <v>0</v>
      </c>
      <c r="T75" s="1">
        <v>0</v>
      </c>
      <c r="U75" s="1">
        <v>0</v>
      </c>
      <c r="V75" s="1">
        <f ca="1">IFERROR('Dynamic Materials'!Q84+'Dynamic Materials'!AQ84, 0)</f>
        <v>1.2286007609406925E-4</v>
      </c>
      <c r="W75" s="1">
        <f ca="1">'Dynamic Materials'!R84</f>
        <v>1.2286007609406925E-4</v>
      </c>
      <c r="X75" s="1">
        <f ca="1">'Dynamic Materials'!T84</f>
        <v>1.2286007609406925E-4</v>
      </c>
      <c r="Y75" s="1">
        <f ca="1">IFERROR('Dynamic Materials'!U84+'Dynamic Materials'!AQ84, 0)</f>
        <v>1.2286007609406925E-4</v>
      </c>
      <c r="Z75" s="1">
        <f ca="1">IFERROR('Dynamic Materials'!S84+'Dynamic Materials'!AQ84, 0)</f>
        <v>1.2286007609406925E-4</v>
      </c>
      <c r="AA75" s="1">
        <f ca="1">'Dynamic Materials'!W84</f>
        <v>2.6866999999999999E-2</v>
      </c>
      <c r="AB75" s="1">
        <v>0</v>
      </c>
      <c r="AC75" s="1">
        <v>0</v>
      </c>
      <c r="AD75" s="209">
        <f>BZ75+200*Material_Impacts[[#This Row],[Truck (32+t)]]+1130*CB75</f>
        <v>0</v>
      </c>
      <c r="AE75" s="1">
        <v>0</v>
      </c>
      <c r="AF75" s="1">
        <v>0</v>
      </c>
      <c r="AG75" s="1"/>
      <c r="AH75" s="1">
        <v>0</v>
      </c>
      <c r="AI75" s="1">
        <f>'Dynamic Materials'!AG84</f>
        <v>0</v>
      </c>
      <c r="AJ75" s="1">
        <v>0</v>
      </c>
      <c r="AK75" s="1">
        <v>0</v>
      </c>
      <c r="AL75" s="1"/>
      <c r="AM75" s="1">
        <f t="shared" si="8"/>
        <v>1.604E-3</v>
      </c>
      <c r="AN75" s="1">
        <v>0</v>
      </c>
      <c r="AO75" s="1">
        <v>0</v>
      </c>
      <c r="AP75" s="209">
        <v>0</v>
      </c>
      <c r="AQ75" s="1">
        <f ca="1">'Dynamic Materials'!O84</f>
        <v>0</v>
      </c>
      <c r="AR75" s="1">
        <f ca="1">'Dynamic Materials'!P84</f>
        <v>0</v>
      </c>
      <c r="AS75" s="1"/>
      <c r="AT75" s="1" cm="1">
        <f t="array" aca="1" ref="AT75" ca="1">IFERROR(INDEX(Electricity_projection,MATCH($B75&amp;$A75,INDEX(Electricity_projection,0,3),0),MATCH(YEAR(TODAY()),Timeline_elec_projec,0)+3)*INDEX(Recyc_mat_energy_input,MATCH(AT$1,'Data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75" s="1" cm="1">
        <f t="array" aca="1" ref="AU75" ca="1">IFERROR(INDEX(Electricity_projection,MATCH($B75&amp;$A75,INDEX(Electricity_projection,0,3),0),MATCH(YEAR(TODAY()),Timeline_elec_projec,0)+3)*INDEX(Recyc_mat_energy_input,MATCH(AU$1,'Data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75" s="1" cm="1">
        <f t="array" aca="1" ref="AV75" ca="1">IFERROR(INDEX(Electricity_projection,MATCH($B75&amp;$A75,INDEX(Electricity_projection,0,3),0),MATCH(YEAR(TODAY()),Timeline_elec_projec,0)+3)*INDEX(Recyc_mat_energy_input,MATCH(AV$1,'Data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75" s="1"/>
      <c r="AX75" s="1"/>
      <c r="AY75" s="1"/>
      <c r="AZ75" s="1"/>
      <c r="BA75" s="1"/>
      <c r="BB75" s="1"/>
      <c r="BC75" s="1">
        <f t="shared" si="9"/>
        <v>4.0099999999999997E-2</v>
      </c>
      <c r="BD75" s="1">
        <v>4.0099999999999997E-2</v>
      </c>
      <c r="BE75" s="1">
        <v>4.0099999999999997E-2</v>
      </c>
      <c r="BF75" s="1"/>
      <c r="BG75" s="1">
        <f ca="1">'Dynamic Materials'!V84</f>
        <v>4.8120000001304992E-3</v>
      </c>
      <c r="BH75" s="1"/>
      <c r="BI75" s="1" t="str" cm="1">
        <f t="array" aca="1" ref="BI75" ca="1">IFERROR(INDEX(Electricity_projection,MATCH($B75&amp;$A75,INDEX(Electricity_projection,0,3),0),MATCH(YEAR(TODAY()),Timeline_elec_projec,0)+3)*INDEX(Recyc_mat_energy_input,MATCH(BI$1,'Data Entry'!$B$91:$B$96,0),1)+Diesel_density*INDEX(Recyc_mat_energy_input,MATCH(BI$1,'Data Entry'!$B$91:$B$96,0),2)*INDEX(Indicators,ROW(),MATCH("Diesel Combustion",Materials!$1:$1,0)), "")</f>
        <v/>
      </c>
      <c r="BJ75" s="1"/>
      <c r="BK75" s="1" t="str" cm="1">
        <f t="array" aca="1" ref="BK75" ca="1">IFERROR(INDEX(Electricity_projection,MATCH($B75&amp;$A75,INDEX(Electricity_projection,0,3),0),MATCH(YEAR(TODAY()),Timeline_elec_projec,0)+3)*INDEX(Recyc_mat_energy_input,MATCH(BK$1,'Data Entry'!$B$91:$B$96,0),1)+Diesel_density*INDEX(Recyc_mat_energy_input,MATCH(BK$1,'Data Entry'!$B$91:$B$96,0),2)*INDEX(Indicators,ROW(),MATCH("Diesel Combustion",Materials!$1:$1,0)), "")</f>
        <v/>
      </c>
      <c r="BL75" s="1" t="str" cm="1">
        <f t="array" aca="1" ref="BL75" ca="1">IFERROR(INDEX(Electricity_projection,MATCH($B75&amp;$A75,INDEX(Electricity_projection,0,3),0),MATCH(YEAR(TODAY()),Timeline_elec_projec,0)+3)*INDEX(Recyc_mat_energy_input,MATCH(BL$1,'Data Entry'!$B$91:$B$96,0),1)+Diesel_density*INDEX(Recyc_mat_energy_input,MATCH(BL$1,'Data Entry'!$B$91:$B$96,0),2)*INDEX(Indicators,ROW(),MATCH("Diesel Combustion",Materials!$1:$1,0)), "")</f>
        <v/>
      </c>
      <c r="BM75" s="1"/>
      <c r="BN75" s="1">
        <f>IF(Steel_supplier="Pacific Steel",Material_Impacts[[#This Row],[Pacific Steel]],Material_Impacts[[#This Row],[Infrabuild]])</f>
        <v>4.3499999999999998E-12</v>
      </c>
      <c r="BO75" s="1">
        <v>4.3499999999999998E-12</v>
      </c>
      <c r="BP75" s="1">
        <v>0</v>
      </c>
      <c r="BQ75">
        <v>0</v>
      </c>
      <c r="BR75">
        <v>0</v>
      </c>
      <c r="BS75" s="443"/>
      <c r="BT75" s="443"/>
      <c r="BU75" s="443"/>
      <c r="BV75" s="443">
        <v>1</v>
      </c>
      <c r="BX75" s="1">
        <v>0</v>
      </c>
      <c r="BY75" s="1">
        <f t="shared" si="11"/>
        <v>0</v>
      </c>
      <c r="BZ75">
        <v>0</v>
      </c>
      <c r="CA75" s="1">
        <v>0</v>
      </c>
      <c r="CB75">
        <v>0</v>
      </c>
      <c r="CC75">
        <v>0</v>
      </c>
      <c r="CD75" s="378">
        <f t="shared" si="10"/>
        <v>0</v>
      </c>
      <c r="CE75" s="208">
        <f t="shared" si="12"/>
        <v>0</v>
      </c>
      <c r="CF75" s="208"/>
      <c r="CG75" s="208"/>
      <c r="CH75" s="208"/>
      <c r="CI75" s="208"/>
      <c r="CJ75" s="208"/>
      <c r="CK75" s="208"/>
      <c r="CL75" s="208"/>
      <c r="CM75" s="208"/>
      <c r="CN75" s="208"/>
      <c r="CP75" s="208"/>
    </row>
    <row r="76" spans="1:94" x14ac:dyDescent="0.35">
      <c r="A76" t="s">
        <v>546</v>
      </c>
      <c r="B76" t="s">
        <v>485</v>
      </c>
      <c r="C76" t="s">
        <v>51</v>
      </c>
      <c r="D76" t="str">
        <f>Material_Impacts[[#This Row],[15804 version]]&amp;Material_Impacts[[#This Row],[Methodology]]&amp;Material_Impacts[[#This Row],[Acronym]]</f>
        <v>A1ConsequentialHWD</v>
      </c>
      <c r="E76" t="s">
        <v>762</v>
      </c>
      <c r="F76" t="s">
        <v>763</v>
      </c>
      <c r="G76" s="1">
        <v>0</v>
      </c>
      <c r="H76" s="1">
        <v>0</v>
      </c>
      <c r="I76" s="1">
        <v>0</v>
      </c>
      <c r="J76" s="1">
        <v>0</v>
      </c>
      <c r="K76" s="1">
        <v>0</v>
      </c>
      <c r="L76" s="1">
        <v>0</v>
      </c>
      <c r="M76" s="1">
        <v>0</v>
      </c>
      <c r="N76" s="1"/>
      <c r="O76" s="443"/>
      <c r="P76" s="1">
        <v>0</v>
      </c>
      <c r="Q76" s="1">
        <v>0</v>
      </c>
      <c r="R76" s="1">
        <v>0</v>
      </c>
      <c r="S76" s="1">
        <v>0</v>
      </c>
      <c r="T76" s="1">
        <v>0</v>
      </c>
      <c r="U76" s="1">
        <v>0</v>
      </c>
      <c r="V76" s="1">
        <f ca="1">IFERROR('Dynamic Materials'!Q85+'Dynamic Materials'!AQ85, 0)</f>
        <v>1.2286007609406925E-4</v>
      </c>
      <c r="W76" s="1">
        <f ca="1">'Dynamic Materials'!R85</f>
        <v>1.2286007609406925E-4</v>
      </c>
      <c r="X76" s="1">
        <f ca="1">'Dynamic Materials'!T85</f>
        <v>1.2286007609406925E-4</v>
      </c>
      <c r="Y76" s="1">
        <f ca="1">IFERROR('Dynamic Materials'!U85+'Dynamic Materials'!AQ85, 0)</f>
        <v>1.2286007609406925E-4</v>
      </c>
      <c r="Z76" s="1">
        <f ca="1">IFERROR('Dynamic Materials'!S85+'Dynamic Materials'!AQ85, 0)</f>
        <v>1.2286007609406925E-4</v>
      </c>
      <c r="AA76" s="1">
        <f ca="1">'Dynamic Materials'!W85</f>
        <v>0</v>
      </c>
      <c r="AB76" s="1">
        <v>0</v>
      </c>
      <c r="AC76" s="1">
        <v>0</v>
      </c>
      <c r="AD76" s="209">
        <f>BZ76+200*Material_Impacts[[#This Row],[Truck (32+t)]]+1130*CB76</f>
        <v>0</v>
      </c>
      <c r="AE76" s="1">
        <v>0</v>
      </c>
      <c r="AF76" s="1">
        <v>0</v>
      </c>
      <c r="AG76" s="1"/>
      <c r="AH76" s="1">
        <v>0</v>
      </c>
      <c r="AI76" s="1">
        <f>'Dynamic Materials'!AG85</f>
        <v>0</v>
      </c>
      <c r="AJ76" s="1">
        <v>0</v>
      </c>
      <c r="AK76" s="1">
        <v>0</v>
      </c>
      <c r="AL76" s="1"/>
      <c r="AM76" s="1">
        <f t="shared" si="8"/>
        <v>0</v>
      </c>
      <c r="AN76" s="1">
        <v>0</v>
      </c>
      <c r="AO76" s="1">
        <v>0</v>
      </c>
      <c r="AP76" s="209">
        <v>0</v>
      </c>
      <c r="AQ76" s="1">
        <f ca="1">'Dynamic Materials'!O85</f>
        <v>0</v>
      </c>
      <c r="AR76" s="1">
        <f ca="1">'Dynamic Materials'!P85</f>
        <v>0</v>
      </c>
      <c r="AS76" s="1"/>
      <c r="AT76" s="1" cm="1">
        <f t="array" aca="1" ref="AT76" ca="1">IFERROR(INDEX(Electricity_projection,MATCH($B76&amp;$A76,INDEX(Electricity_projection,0,3),0),MATCH(YEAR(TODAY()),Timeline_elec_projec,0)+3)*INDEX(Recyc_mat_energy_input,MATCH(AT$1,'Data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76" s="1" cm="1">
        <f t="array" aca="1" ref="AU76" ca="1">IFERROR(INDEX(Electricity_projection,MATCH($B76&amp;$A76,INDEX(Electricity_projection,0,3),0),MATCH(YEAR(TODAY()),Timeline_elec_projec,0)+3)*INDEX(Recyc_mat_energy_input,MATCH(AU$1,'Data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76" s="1" cm="1">
        <f t="array" aca="1" ref="AV76" ca="1">IFERROR(INDEX(Electricity_projection,MATCH($B76&amp;$A76,INDEX(Electricity_projection,0,3),0),MATCH(YEAR(TODAY()),Timeline_elec_projec,0)+3)*INDEX(Recyc_mat_energy_input,MATCH(AV$1,'Data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76" s="1"/>
      <c r="AX76" s="1"/>
      <c r="AY76" s="1"/>
      <c r="AZ76" s="1"/>
      <c r="BA76" s="1"/>
      <c r="BB76" s="1"/>
      <c r="BC76" s="1">
        <f t="shared" si="9"/>
        <v>0</v>
      </c>
      <c r="BD76" s="1">
        <v>0</v>
      </c>
      <c r="BE76" s="1">
        <v>0</v>
      </c>
      <c r="BF76" s="1"/>
      <c r="BG76" s="1">
        <f ca="1">'Dynamic Materials'!V85</f>
        <v>7.169999999999999E-10</v>
      </c>
      <c r="BH76" s="1"/>
      <c r="BI76" s="1" t="str" cm="1">
        <f t="array" aca="1" ref="BI76" ca="1">IFERROR(INDEX(Electricity_projection,MATCH($B76&amp;$A76,INDEX(Electricity_projection,0,3),0),MATCH(YEAR(TODAY()),Timeline_elec_projec,0)+3)*INDEX(Recyc_mat_energy_input,MATCH(BI$1,'Data Entry'!$B$91:$B$96,0),1)+Diesel_density*INDEX(Recyc_mat_energy_input,MATCH(BI$1,'Data Entry'!$B$91:$B$96,0),2)*INDEX(Indicators,ROW(),MATCH("Diesel Combustion",Materials!$1:$1,0)), "")</f>
        <v/>
      </c>
      <c r="BJ76" s="1"/>
      <c r="BK76" s="1" t="str" cm="1">
        <f t="array" aca="1" ref="BK76" ca="1">IFERROR(INDEX(Electricity_projection,MATCH($B76&amp;$A76,INDEX(Electricity_projection,0,3),0),MATCH(YEAR(TODAY()),Timeline_elec_projec,0)+3)*INDEX(Recyc_mat_energy_input,MATCH(BK$1,'Data Entry'!$B$91:$B$96,0),1)+Diesel_density*INDEX(Recyc_mat_energy_input,MATCH(BK$1,'Data Entry'!$B$91:$B$96,0),2)*INDEX(Indicators,ROW(),MATCH("Diesel Combustion",Materials!$1:$1,0)), "")</f>
        <v/>
      </c>
      <c r="BL76" s="1" t="str" cm="1">
        <f t="array" aca="1" ref="BL76" ca="1">IFERROR(INDEX(Electricity_projection,MATCH($B76&amp;$A76,INDEX(Electricity_projection,0,3),0),MATCH(YEAR(TODAY()),Timeline_elec_projec,0)+3)*INDEX(Recyc_mat_energy_input,MATCH(BL$1,'Data Entry'!$B$91:$B$96,0),1)+Diesel_density*INDEX(Recyc_mat_energy_input,MATCH(BL$1,'Data Entry'!$B$91:$B$96,0),2)*INDEX(Indicators,ROW(),MATCH("Diesel Combustion",Materials!$1:$1,0)), "")</f>
        <v/>
      </c>
      <c r="BM76" s="1"/>
      <c r="BN76" s="1">
        <f>IF(Steel_supplier="Pacific Steel",Material_Impacts[[#This Row],[Pacific Steel]],Material_Impacts[[#This Row],[Infrabuild]])</f>
        <v>2.3899999999999999E-8</v>
      </c>
      <c r="BO76" s="1">
        <v>2.3899999999999999E-8</v>
      </c>
      <c r="BP76" s="1">
        <v>0</v>
      </c>
      <c r="BQ76">
        <v>0</v>
      </c>
      <c r="BR76">
        <v>0</v>
      </c>
      <c r="BS76" s="443"/>
      <c r="BT76" s="443"/>
      <c r="BU76" s="443"/>
      <c r="BV76" s="443">
        <v>1</v>
      </c>
      <c r="BX76" s="1">
        <v>0</v>
      </c>
      <c r="BY76" s="1">
        <f t="shared" si="11"/>
        <v>0</v>
      </c>
      <c r="BZ76">
        <v>0</v>
      </c>
      <c r="CA76" s="1">
        <v>0</v>
      </c>
      <c r="CB76">
        <v>0</v>
      </c>
      <c r="CC76">
        <v>0</v>
      </c>
      <c r="CD76" s="378">
        <f t="shared" si="10"/>
        <v>0</v>
      </c>
      <c r="CE76" s="208">
        <f t="shared" si="12"/>
        <v>0</v>
      </c>
      <c r="CF76" s="208"/>
      <c r="CG76" s="208"/>
      <c r="CH76" s="208"/>
      <c r="CI76" s="208"/>
      <c r="CJ76" s="208"/>
      <c r="CK76" s="208"/>
      <c r="CL76" s="208"/>
      <c r="CM76" s="208"/>
      <c r="CN76" s="208"/>
      <c r="CP76" s="208"/>
    </row>
    <row r="77" spans="1:94" x14ac:dyDescent="0.35">
      <c r="A77" t="s">
        <v>516</v>
      </c>
      <c r="B77" t="s">
        <v>485</v>
      </c>
      <c r="C77" t="s">
        <v>51</v>
      </c>
      <c r="D77" t="str">
        <f>Material_Impacts[[#This Row],[15804 version]]&amp;Material_Impacts[[#This Row],[Methodology]]&amp;Material_Impacts[[#This Row],[Acronym]]</f>
        <v>A1ConsequentialNHWD</v>
      </c>
      <c r="E77" t="s">
        <v>764</v>
      </c>
      <c r="F77" t="s">
        <v>765</v>
      </c>
      <c r="G77" s="1">
        <v>0</v>
      </c>
      <c r="H77" s="1">
        <v>0</v>
      </c>
      <c r="I77" s="1">
        <v>0</v>
      </c>
      <c r="J77" s="1">
        <v>0</v>
      </c>
      <c r="K77" s="1">
        <v>0</v>
      </c>
      <c r="L77" s="1">
        <v>0</v>
      </c>
      <c r="M77" s="1">
        <v>0</v>
      </c>
      <c r="N77" s="1"/>
      <c r="O77" s="443"/>
      <c r="P77" s="1">
        <v>0</v>
      </c>
      <c r="Q77" s="1">
        <v>0</v>
      </c>
      <c r="R77" s="1">
        <v>0</v>
      </c>
      <c r="S77" s="1">
        <v>0</v>
      </c>
      <c r="T77" s="1">
        <v>0</v>
      </c>
      <c r="U77" s="1">
        <v>0</v>
      </c>
      <c r="V77" s="1">
        <f ca="1">IFERROR('Dynamic Materials'!Q86+'Dynamic Materials'!AQ86, 0)</f>
        <v>1.2286007609406925E-4</v>
      </c>
      <c r="W77" s="1">
        <f ca="1">'Dynamic Materials'!R86</f>
        <v>1.2286007609406925E-4</v>
      </c>
      <c r="X77" s="1">
        <f ca="1">'Dynamic Materials'!T86</f>
        <v>1.2286007609406925E-4</v>
      </c>
      <c r="Y77" s="1">
        <f ca="1">IFERROR('Dynamic Materials'!U86+'Dynamic Materials'!AQ86, 0)</f>
        <v>1.2286007609406925E-4</v>
      </c>
      <c r="Z77" s="1">
        <f ca="1">IFERROR('Dynamic Materials'!S86+'Dynamic Materials'!AQ86, 0)</f>
        <v>1.2286007609406925E-4</v>
      </c>
      <c r="AA77" s="1">
        <f ca="1">'Dynamic Materials'!W86</f>
        <v>3.8659000000000004E-5</v>
      </c>
      <c r="AB77" s="1">
        <v>0</v>
      </c>
      <c r="AC77" s="1">
        <v>0</v>
      </c>
      <c r="AD77" s="209">
        <f>BZ77+200*Material_Impacts[[#This Row],[Truck (32+t)]]+1130*CB77</f>
        <v>0</v>
      </c>
      <c r="AE77" s="1">
        <v>0</v>
      </c>
      <c r="AF77" s="1">
        <v>0</v>
      </c>
      <c r="AG77" s="1"/>
      <c r="AH77" s="1">
        <v>0</v>
      </c>
      <c r="AI77" s="1">
        <f>'Dynamic Materials'!AG86</f>
        <v>0</v>
      </c>
      <c r="AJ77" s="1">
        <v>0</v>
      </c>
      <c r="AK77" s="1">
        <v>0</v>
      </c>
      <c r="AL77" s="1"/>
      <c r="AM77" s="1">
        <f t="shared" si="8"/>
        <v>2.3080000000000002E-6</v>
      </c>
      <c r="AN77" s="1">
        <v>0</v>
      </c>
      <c r="AO77" s="1">
        <v>0</v>
      </c>
      <c r="AP77" s="209">
        <v>0</v>
      </c>
      <c r="AQ77" s="1">
        <f ca="1">'Dynamic Materials'!O86</f>
        <v>0</v>
      </c>
      <c r="AR77" s="1">
        <f ca="1">'Dynamic Materials'!P86</f>
        <v>0</v>
      </c>
      <c r="AS77" s="1"/>
      <c r="AT77" s="1" cm="1">
        <f t="array" aca="1" ref="AT77" ca="1">IFERROR(INDEX(Electricity_projection,MATCH($B77&amp;$A77,INDEX(Electricity_projection,0,3),0),MATCH(YEAR(TODAY()),Timeline_elec_projec,0)+3)*INDEX(Recyc_mat_energy_input,MATCH(AT$1,'Data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77" s="1" cm="1">
        <f t="array" aca="1" ref="AU77" ca="1">IFERROR(INDEX(Electricity_projection,MATCH($B77&amp;$A77,INDEX(Electricity_projection,0,3),0),MATCH(YEAR(TODAY()),Timeline_elec_projec,0)+3)*INDEX(Recyc_mat_energy_input,MATCH(AU$1,'Data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77" s="1" cm="1">
        <f t="array" aca="1" ref="AV77" ca="1">IFERROR(INDEX(Electricity_projection,MATCH($B77&amp;$A77,INDEX(Electricity_projection,0,3),0),MATCH(YEAR(TODAY()),Timeline_elec_projec,0)+3)*INDEX(Recyc_mat_energy_input,MATCH(AV$1,'Data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77" s="1"/>
      <c r="AX77" s="1"/>
      <c r="AY77" s="1"/>
      <c r="AZ77" s="1"/>
      <c r="BA77" s="1"/>
      <c r="BB77" s="1"/>
      <c r="BC77" s="1">
        <f t="shared" si="9"/>
        <v>5.77E-5</v>
      </c>
      <c r="BD77" s="1">
        <v>5.77E-5</v>
      </c>
      <c r="BE77" s="1">
        <v>5.77E-5</v>
      </c>
      <c r="BF77" s="1"/>
      <c r="BG77" s="1">
        <f ca="1">'Dynamic Materials'!V86</f>
        <v>8.3769240000000009E-3</v>
      </c>
      <c r="BH77" s="1"/>
      <c r="BI77" s="1" t="str" cm="1">
        <f t="array" aca="1" ref="BI77" ca="1">IFERROR(INDEX(Electricity_projection,MATCH($B77&amp;$A77,INDEX(Electricity_projection,0,3),0),MATCH(YEAR(TODAY()),Timeline_elec_projec,0)+3)*INDEX(Recyc_mat_energy_input,MATCH(BI$1,'Data Entry'!$B$91:$B$96,0),1)+Diesel_density*INDEX(Recyc_mat_energy_input,MATCH(BI$1,'Data Entry'!$B$91:$B$96,0),2)*INDEX(Indicators,ROW(),MATCH("Diesel Combustion",Materials!$1:$1,0)), "")</f>
        <v/>
      </c>
      <c r="BJ77" s="1"/>
      <c r="BK77" s="1" t="str" cm="1">
        <f t="array" aca="1" ref="BK77" ca="1">IFERROR(INDEX(Electricity_projection,MATCH($B77&amp;$A77,INDEX(Electricity_projection,0,3),0),MATCH(YEAR(TODAY()),Timeline_elec_projec,0)+3)*INDEX(Recyc_mat_energy_input,MATCH(BK$1,'Data Entry'!$B$91:$B$96,0),1)+Diesel_density*INDEX(Recyc_mat_energy_input,MATCH(BK$1,'Data Entry'!$B$91:$B$96,0),2)*INDEX(Indicators,ROW(),MATCH("Diesel Combustion",Materials!$1:$1,0)), "")</f>
        <v/>
      </c>
      <c r="BL77" s="1" t="str" cm="1">
        <f t="array" aca="1" ref="BL77" ca="1">IFERROR(INDEX(Electricity_projection,MATCH($B77&amp;$A77,INDEX(Electricity_projection,0,3),0),MATCH(YEAR(TODAY()),Timeline_elec_projec,0)+3)*INDEX(Recyc_mat_energy_input,MATCH(BL$1,'Data Entry'!$B$91:$B$96,0),1)+Diesel_density*INDEX(Recyc_mat_energy_input,MATCH(BL$1,'Data Entry'!$B$91:$B$96,0),2)*INDEX(Indicators,ROW(),MATCH("Diesel Combustion",Materials!$1:$1,0)), "")</f>
        <v/>
      </c>
      <c r="BM77" s="1"/>
      <c r="BN77" s="1">
        <f>IF(Steel_supplier="Pacific Steel",Material_Impacts[[#This Row],[Pacific Steel]],Material_Impacts[[#This Row],[Infrabuild]])</f>
        <v>0.27900000000000003</v>
      </c>
      <c r="BO77" s="1">
        <v>0.27900000000000003</v>
      </c>
      <c r="BP77" s="1">
        <v>0</v>
      </c>
      <c r="BQ77">
        <v>0</v>
      </c>
      <c r="BR77">
        <v>0</v>
      </c>
      <c r="BS77" s="443"/>
      <c r="BT77" s="443"/>
      <c r="BU77" s="443"/>
      <c r="BV77" s="443">
        <v>1</v>
      </c>
      <c r="BX77" s="1">
        <v>0</v>
      </c>
      <c r="BY77" s="1">
        <f t="shared" si="11"/>
        <v>0</v>
      </c>
      <c r="BZ77">
        <v>0</v>
      </c>
      <c r="CA77" s="1">
        <v>0</v>
      </c>
      <c r="CB77">
        <v>0</v>
      </c>
      <c r="CC77">
        <v>0</v>
      </c>
      <c r="CD77" s="378">
        <f t="shared" si="10"/>
        <v>0</v>
      </c>
      <c r="CE77" s="208">
        <f t="shared" si="12"/>
        <v>0</v>
      </c>
      <c r="CF77" s="208"/>
      <c r="CG77" s="208"/>
      <c r="CH77" s="208"/>
      <c r="CI77" s="208"/>
      <c r="CJ77" s="208"/>
      <c r="CK77" s="208"/>
      <c r="CL77" s="208"/>
      <c r="CM77" s="208"/>
      <c r="CN77" s="208"/>
      <c r="CP77" s="208"/>
    </row>
    <row r="78" spans="1:94" x14ac:dyDescent="0.35">
      <c r="A78" t="s">
        <v>518</v>
      </c>
      <c r="B78" t="s">
        <v>485</v>
      </c>
      <c r="C78" t="s">
        <v>51</v>
      </c>
      <c r="D78" t="str">
        <f>Material_Impacts[[#This Row],[15804 version]]&amp;Material_Impacts[[#This Row],[Methodology]]&amp;Material_Impacts[[#This Row],[Acronym]]</f>
        <v>A1ConsequentialRWD</v>
      </c>
      <c r="E78" t="s">
        <v>766</v>
      </c>
      <c r="F78" t="s">
        <v>767</v>
      </c>
      <c r="G78" s="1">
        <v>0</v>
      </c>
      <c r="H78" s="1">
        <v>0</v>
      </c>
      <c r="I78" s="1">
        <v>0</v>
      </c>
      <c r="J78" s="1">
        <v>0</v>
      </c>
      <c r="K78" s="1">
        <v>0</v>
      </c>
      <c r="L78" s="1">
        <v>0</v>
      </c>
      <c r="M78" s="1">
        <v>0</v>
      </c>
      <c r="N78" s="1"/>
      <c r="O78" s="443"/>
      <c r="P78" s="1">
        <v>0</v>
      </c>
      <c r="Q78" s="1">
        <v>0</v>
      </c>
      <c r="R78" s="1">
        <v>0</v>
      </c>
      <c r="S78" s="1">
        <v>0</v>
      </c>
      <c r="T78" s="1">
        <v>0</v>
      </c>
      <c r="U78" s="1">
        <v>0</v>
      </c>
      <c r="V78" s="1">
        <f ca="1">IFERROR('Dynamic Materials'!Q87+'Dynamic Materials'!AQ87, 0)</f>
        <v>1.2286007609406925E-4</v>
      </c>
      <c r="W78" s="1">
        <f ca="1">'Dynamic Materials'!R87</f>
        <v>1.2286007609406925E-4</v>
      </c>
      <c r="X78" s="1">
        <f ca="1">'Dynamic Materials'!T87</f>
        <v>1.2286007609406925E-4</v>
      </c>
      <c r="Y78" s="1">
        <f ca="1">IFERROR('Dynamic Materials'!U87+'Dynamic Materials'!AQ87, 0)</f>
        <v>1.2286007609406925E-4</v>
      </c>
      <c r="Z78" s="1">
        <f ca="1">IFERROR('Dynamic Materials'!S87+'Dynamic Materials'!AQ87, 0)</f>
        <v>1.2286007609406925E-4</v>
      </c>
      <c r="AA78" s="1">
        <f ca="1">'Dynamic Materials'!W87</f>
        <v>0</v>
      </c>
      <c r="AB78" s="1">
        <v>0</v>
      </c>
      <c r="AC78" s="1">
        <v>0</v>
      </c>
      <c r="AD78" s="209">
        <f>BZ78+200*Material_Impacts[[#This Row],[Truck (32+t)]]+1130*CB78</f>
        <v>0</v>
      </c>
      <c r="AE78" s="1">
        <v>0</v>
      </c>
      <c r="AF78" s="1">
        <v>0</v>
      </c>
      <c r="AG78" s="1"/>
      <c r="AH78" s="1">
        <v>0</v>
      </c>
      <c r="AI78" s="1">
        <f>'Dynamic Materials'!AG87</f>
        <v>0</v>
      </c>
      <c r="AJ78" s="1">
        <v>0</v>
      </c>
      <c r="AK78" s="1">
        <v>0</v>
      </c>
      <c r="AL78" s="1"/>
      <c r="AM78" s="1">
        <f t="shared" si="8"/>
        <v>0</v>
      </c>
      <c r="AN78" s="1">
        <v>0</v>
      </c>
      <c r="AO78" s="1">
        <v>0</v>
      </c>
      <c r="AP78" s="209">
        <v>0</v>
      </c>
      <c r="AQ78" s="1">
        <f ca="1">'Dynamic Materials'!O87</f>
        <v>0</v>
      </c>
      <c r="AR78" s="1">
        <f ca="1">'Dynamic Materials'!P87</f>
        <v>0</v>
      </c>
      <c r="AS78" s="1"/>
      <c r="AT78" s="1" cm="1">
        <f t="array" aca="1" ref="AT78" ca="1">IFERROR(INDEX(Electricity_projection,MATCH($B78&amp;$A78,INDEX(Electricity_projection,0,3),0),MATCH(YEAR(TODAY()),Timeline_elec_projec,0)+3)*INDEX(Recyc_mat_energy_input,MATCH(AT$1,'Data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78" s="1" cm="1">
        <f t="array" aca="1" ref="AU78" ca="1">IFERROR(INDEX(Electricity_projection,MATCH($B78&amp;$A78,INDEX(Electricity_projection,0,3),0),MATCH(YEAR(TODAY()),Timeline_elec_projec,0)+3)*INDEX(Recyc_mat_energy_input,MATCH(AU$1,'Data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78" s="1" cm="1">
        <f t="array" aca="1" ref="AV78" ca="1">IFERROR(INDEX(Electricity_projection,MATCH($B78&amp;$A78,INDEX(Electricity_projection,0,3),0),MATCH(YEAR(TODAY()),Timeline_elec_projec,0)+3)*INDEX(Recyc_mat_energy_input,MATCH(AV$1,'Data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78" s="1"/>
      <c r="AX78" s="1"/>
      <c r="AY78" s="1"/>
      <c r="AZ78" s="1"/>
      <c r="BA78" s="1"/>
      <c r="BB78" s="1"/>
      <c r="BC78" s="1">
        <f t="shared" si="9"/>
        <v>0</v>
      </c>
      <c r="BD78" s="1">
        <v>0</v>
      </c>
      <c r="BE78" s="1">
        <v>0</v>
      </c>
      <c r="BF78" s="1"/>
      <c r="BG78" s="1">
        <f ca="1">'Dynamic Materials'!V87</f>
        <v>3.45E-6</v>
      </c>
      <c r="BH78" s="1"/>
      <c r="BI78" s="1" t="str" cm="1">
        <f t="array" aca="1" ref="BI78" ca="1">IFERROR(INDEX(Electricity_projection,MATCH($B78&amp;$A78,INDEX(Electricity_projection,0,3),0),MATCH(YEAR(TODAY()),Timeline_elec_projec,0)+3)*INDEX(Recyc_mat_energy_input,MATCH(BI$1,'Data Entry'!$B$91:$B$96,0),1)+Diesel_density*INDEX(Recyc_mat_energy_input,MATCH(BI$1,'Data Entry'!$B$91:$B$96,0),2)*INDEX(Indicators,ROW(),MATCH("Diesel Combustion",Materials!$1:$1,0)), "")</f>
        <v/>
      </c>
      <c r="BJ78" s="1"/>
      <c r="BK78" s="1" t="str" cm="1">
        <f t="array" aca="1" ref="BK78" ca="1">IFERROR(INDEX(Electricity_projection,MATCH($B78&amp;$A78,INDEX(Electricity_projection,0,3),0),MATCH(YEAR(TODAY()),Timeline_elec_projec,0)+3)*INDEX(Recyc_mat_energy_input,MATCH(BK$1,'Data Entry'!$B$91:$B$96,0),1)+Diesel_density*INDEX(Recyc_mat_energy_input,MATCH(BK$1,'Data Entry'!$B$91:$B$96,0),2)*INDEX(Indicators,ROW(),MATCH("Diesel Combustion",Materials!$1:$1,0)), "")</f>
        <v/>
      </c>
      <c r="BL78" s="1" t="str" cm="1">
        <f t="array" aca="1" ref="BL78" ca="1">IFERROR(INDEX(Electricity_projection,MATCH($B78&amp;$A78,INDEX(Electricity_projection,0,3),0),MATCH(YEAR(TODAY()),Timeline_elec_projec,0)+3)*INDEX(Recyc_mat_energy_input,MATCH(BL$1,'Data Entry'!$B$91:$B$96,0),1)+Diesel_density*INDEX(Recyc_mat_energy_input,MATCH(BL$1,'Data Entry'!$B$91:$B$96,0),2)*INDEX(Indicators,ROW(),MATCH("Diesel Combustion",Materials!$1:$1,0)), "")</f>
        <v/>
      </c>
      <c r="BM78" s="1"/>
      <c r="BN78" s="1">
        <f>IF(Steel_supplier="Pacific Steel",Material_Impacts[[#This Row],[Pacific Steel]],Material_Impacts[[#This Row],[Infrabuild]])</f>
        <v>1.15E-4</v>
      </c>
      <c r="BO78" s="1">
        <v>1.15E-4</v>
      </c>
      <c r="BP78" s="1">
        <v>0</v>
      </c>
      <c r="BQ78">
        <v>0</v>
      </c>
      <c r="BR78">
        <v>0</v>
      </c>
      <c r="BS78" s="443"/>
      <c r="BT78" s="443"/>
      <c r="BU78" s="443"/>
      <c r="BV78" s="443">
        <v>1</v>
      </c>
      <c r="BX78" s="1">
        <v>0</v>
      </c>
      <c r="BY78" s="1">
        <f t="shared" si="11"/>
        <v>0</v>
      </c>
      <c r="BZ78">
        <v>0</v>
      </c>
      <c r="CA78" s="1">
        <v>0</v>
      </c>
      <c r="CB78">
        <v>0</v>
      </c>
      <c r="CC78">
        <v>0</v>
      </c>
      <c r="CD78" s="378">
        <f t="shared" si="10"/>
        <v>0</v>
      </c>
      <c r="CE78" s="208">
        <f t="shared" si="12"/>
        <v>0</v>
      </c>
      <c r="CF78" s="208"/>
      <c r="CG78" s="208"/>
      <c r="CH78" s="208"/>
      <c r="CI78" s="208"/>
      <c r="CJ78" s="208"/>
      <c r="CK78" s="208"/>
      <c r="CL78" s="208"/>
      <c r="CM78" s="208"/>
      <c r="CN78" s="208"/>
      <c r="CP78" s="208"/>
    </row>
    <row r="79" spans="1:94" x14ac:dyDescent="0.35">
      <c r="A79" t="s">
        <v>379</v>
      </c>
      <c r="B79" t="s">
        <v>485</v>
      </c>
      <c r="C79" t="s">
        <v>768</v>
      </c>
      <c r="D79" t="str">
        <f>Material_Impacts[[#This Row],[15804 version]]&amp;Material_Impacts[[#This Row],[Methodology]]&amp;Material_Impacts[[#This Row],[Acronym]]</f>
        <v>A2ConsequentialAP</v>
      </c>
      <c r="E79" t="s">
        <v>769</v>
      </c>
      <c r="F79" s="1" t="s">
        <v>770</v>
      </c>
      <c r="G79" s="1">
        <v>1.4980641039604E-2</v>
      </c>
      <c r="H79" s="1">
        <v>2.00863960784314E-2</v>
      </c>
      <c r="I79" s="1">
        <v>8.157909254363091E-3</v>
      </c>
      <c r="J79" s="1">
        <v>1.4980641039604E-2</v>
      </c>
      <c r="K79" s="1">
        <v>6.258965509811659E-7</v>
      </c>
      <c r="L79" s="1">
        <v>1.3553482161363138E-6</v>
      </c>
      <c r="M79" s="1">
        <v>5.2527087580521259E-7</v>
      </c>
      <c r="N79" s="1"/>
      <c r="O79" s="443"/>
      <c r="P79" s="1">
        <v>9.0305300000000004E-5</v>
      </c>
      <c r="Q79" s="1">
        <v>0</v>
      </c>
      <c r="R79" s="1">
        <v>0</v>
      </c>
      <c r="S79" s="1">
        <v>0</v>
      </c>
      <c r="T79" s="1">
        <v>0</v>
      </c>
      <c r="U79" s="1">
        <v>0</v>
      </c>
      <c r="V79" s="1">
        <f ca="1">IFERROR('Dynamic Materials'!Q88+'Dynamic Materials'!AQ88, 0)</f>
        <v>6.9155386461990619E-4</v>
      </c>
      <c r="W79" s="1">
        <f ca="1">'Dynamic Materials'!R88</f>
        <v>4.628985544968807E-4</v>
      </c>
      <c r="X79" s="1">
        <f ca="1">'Dynamic Materials'!T88</f>
        <v>4.1563137253792072E-4</v>
      </c>
      <c r="Y79" s="1">
        <f ca="1">IFERROR('Dynamic Materials'!U88+'Dynamic Materials'!AQ88, 0)</f>
        <v>5.7808561034974817E-4</v>
      </c>
      <c r="Z79" s="1">
        <f ca="1">IFERROR('Dynamic Materials'!S88+'Dynamic Materials'!AQ88, 0)</f>
        <v>6.3405579722304356E-4</v>
      </c>
      <c r="AA79" s="1">
        <f ca="1">'Dynamic Materials'!W88</f>
        <v>5.6760000000000007E-8</v>
      </c>
      <c r="AB79" s="1">
        <v>3.16E-3</v>
      </c>
      <c r="AC79" s="1">
        <v>2.7050000000000001E-2</v>
      </c>
      <c r="AD79" s="209">
        <f>BZ79+200*Material_Impacts[[#This Row],[Truck (32+t)]]+1130*CB79</f>
        <v>5.6153541751610414E-3</v>
      </c>
      <c r="AE79" s="1">
        <v>3.5400000000000002E-3</v>
      </c>
      <c r="AF79" s="1">
        <v>1.6000000000000001E-4</v>
      </c>
      <c r="AG79" s="1"/>
      <c r="AH79" s="1">
        <v>6.7999999999999996E-3</v>
      </c>
      <c r="AI79" s="1">
        <f>'Dynamic Materials'!AG88</f>
        <v>1.5230000000000005E-3</v>
      </c>
      <c r="AJ79" s="1">
        <v>1.2E-4</v>
      </c>
      <c r="AK79" s="1">
        <v>1E-4</v>
      </c>
      <c r="AL79" s="1"/>
      <c r="AM79" s="1">
        <f t="shared" si="8"/>
        <v>0</v>
      </c>
      <c r="AN79" s="1">
        <v>1.3999999999999999E-4</v>
      </c>
      <c r="AO79" s="1">
        <v>1.5200000000000001E-3</v>
      </c>
      <c r="AP79" s="209">
        <v>1.72E-7</v>
      </c>
      <c r="AQ79" s="1">
        <f ca="1">'Dynamic Materials'!O88</f>
        <v>3.5415660907126706E-4</v>
      </c>
      <c r="AR79" s="1">
        <f ca="1">'Dynamic Materials'!P88</f>
        <v>1.3053585616046309E-6</v>
      </c>
      <c r="AS79" s="1"/>
      <c r="AT79" s="1" cm="1">
        <f t="array" aca="1" ref="AT79" ca="1">IFERROR(INDEX(Electricity_projection,MATCH($B79&amp;$A79,INDEX(Electricity_projection,0,3),0),MATCH(YEAR(TODAY()),Timeline_elec_projec,0)+3)*INDEX(Recyc_mat_energy_input,MATCH(AT$1,'Data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1.8335487831494242E-5</v>
      </c>
      <c r="AU79" s="1" cm="1">
        <f t="array" aca="1" ref="AU79" ca="1">IFERROR(INDEX(Electricity_projection,MATCH($B79&amp;$A79,INDEX(Electricity_projection,0,3),0),MATCH(YEAR(TODAY()),Timeline_elec_projec,0)+3)*INDEX(Recyc_mat_energy_input,MATCH(AU$1,'Data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1.3530061733746117E-5</v>
      </c>
      <c r="AV79" s="1" cm="1">
        <f t="array" aca="1" ref="AV79" ca="1">IFERROR(INDEX(Electricity_projection,MATCH($B79&amp;$A79,INDEX(Electricity_projection,0,3),0),MATCH(YEAR(TODAY()),Timeline_elec_projec,0)+3)*INDEX(Recyc_mat_energy_input,MATCH(AV$1,'Data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2.2155189140411927E-5</v>
      </c>
      <c r="AW79" s="1"/>
      <c r="AX79" s="1"/>
      <c r="AY79" s="1"/>
      <c r="AZ79" s="1"/>
      <c r="BA79" s="1"/>
      <c r="BB79" s="1"/>
      <c r="BC79" s="1">
        <f t="shared" si="9"/>
        <v>0</v>
      </c>
      <c r="BD79" s="1"/>
      <c r="BE79" s="1"/>
      <c r="BF79" s="1"/>
      <c r="BG79" s="1">
        <f ca="1">'Dynamic Materials'!V88</f>
        <v>1.3624581743829507E-5</v>
      </c>
      <c r="BH79" s="1"/>
      <c r="BI79" s="1" cm="1">
        <f t="array" aca="1" ref="BI79" ca="1">IFERROR(INDEX(Electricity_projection,MATCH($B79&amp;$A79,INDEX(Electricity_projection,0,3),0),MATCH(YEAR(TODAY()),Timeline_elec_projec,0)+3)*INDEX(Recyc_mat_energy_input,MATCH(BI$1,'Data Entry'!$B$91:$B$96,0),1)+Diesel_density*INDEX(Recyc_mat_energy_input,MATCH(BI$1,'Data Entry'!$B$91:$B$96,0),2)*INDEX(Indicators,ROW(),MATCH("Diesel Combustion",Materials!$1:$1,0)), "")</f>
        <v>0</v>
      </c>
      <c r="BJ79" s="1"/>
      <c r="BK79" s="1" cm="1">
        <f t="array" aca="1" ref="BK79" ca="1">IFERROR(INDEX(Electricity_projection,MATCH($B79&amp;$A79,INDEX(Electricity_projection,0,3),0),MATCH(YEAR(TODAY()),Timeline_elec_projec,0)+3)*INDEX(Recyc_mat_energy_input,MATCH(BK$1,'Data Entry'!$B$91:$B$96,0),1)+Diesel_density*INDEX(Recyc_mat_energy_input,MATCH(BK$1,'Data Entry'!$B$91:$B$96,0),2)*INDEX(Indicators,ROW(),MATCH("Diesel Combustion",Materials!$1:$1,0)), "")</f>
        <v>6.6136534061643748E-6</v>
      </c>
      <c r="BL79" s="1" cm="1">
        <f t="array" aca="1" ref="BL79" ca="1">IFERROR(INDEX(Electricity_projection,MATCH($B79&amp;$A79,INDEX(Electricity_projection,0,3),0),MATCH(YEAR(TODAY()),Timeline_elec_projec,0)+3)*INDEX(Recyc_mat_energy_input,MATCH(BL$1,'Data Entry'!$B$91:$B$96,0),1)+Diesel_density*INDEX(Recyc_mat_energy_input,MATCH(BL$1,'Data Entry'!$B$91:$B$96,0),2)*INDEX(Indicators,ROW(),MATCH("Diesel Combustion",Materials!$1:$1,0)), "")</f>
        <v>6.4982206508492593E-5</v>
      </c>
      <c r="BM79" s="1"/>
      <c r="BN79" s="1">
        <f>IF(Steel_supplier="Pacific Steel",Material_Impacts[[#This Row],[Pacific Steel]],Material_Impacts[[#This Row],[Infrabuild]])</f>
        <v>0</v>
      </c>
      <c r="BO79" s="1"/>
      <c r="BP79" s="1">
        <v>6.6649999999999999E-4</v>
      </c>
      <c r="BQ79">
        <v>5.6100000000000004E-3</v>
      </c>
      <c r="BR79">
        <v>4.9699999999999996E-3</v>
      </c>
      <c r="BS79" s="450"/>
      <c r="BT79" s="450"/>
      <c r="BU79" s="450"/>
      <c r="BV79" s="443">
        <v>1</v>
      </c>
      <c r="BX79" s="1">
        <v>3.5999999999999999E-3</v>
      </c>
      <c r="BY79" s="1">
        <f t="shared" si="11"/>
        <v>8.3285135916714867E-5</v>
      </c>
      <c r="BZ79">
        <v>5.1599999999999997E-3</v>
      </c>
      <c r="CA79" s="1">
        <v>0</v>
      </c>
      <c r="CB79">
        <v>3.1E-7</v>
      </c>
      <c r="CC79">
        <v>6.7200000000000003E-3</v>
      </c>
      <c r="CD79" s="378">
        <f t="shared" si="10"/>
        <v>2.9882946000000001E-3</v>
      </c>
      <c r="CE79" s="208">
        <f t="shared" si="12"/>
        <v>9.7082946000000003E-3</v>
      </c>
      <c r="CF79" s="208"/>
      <c r="CG79" s="208"/>
      <c r="CH79" s="208"/>
      <c r="CI79" s="208"/>
      <c r="CJ79" s="208"/>
      <c r="CK79" s="208"/>
      <c r="CL79" s="208"/>
      <c r="CM79" s="209"/>
      <c r="CN79" s="208"/>
      <c r="CP79" s="208"/>
    </row>
    <row r="80" spans="1:94" x14ac:dyDescent="0.35">
      <c r="A80" t="s">
        <v>384</v>
      </c>
      <c r="B80" t="s">
        <v>485</v>
      </c>
      <c r="C80" t="s">
        <v>768</v>
      </c>
      <c r="D80" t="str">
        <f>Material_Impacts[[#This Row],[15804 version]]&amp;Material_Impacts[[#This Row],[Methodology]]&amp;Material_Impacts[[#This Row],[Acronym]]</f>
        <v>A2ConsequentialGWP_bio</v>
      </c>
      <c r="E80" t="s">
        <v>771</v>
      </c>
      <c r="F80" s="1" t="s">
        <v>381</v>
      </c>
      <c r="G80" s="1">
        <v>1.0200000000000001E-3</v>
      </c>
      <c r="H80" s="1">
        <v>1.0200000000000001E-3</v>
      </c>
      <c r="I80" s="1">
        <v>1.0200000000000001E-3</v>
      </c>
      <c r="J80" s="1">
        <v>1.0200000000000001E-3</v>
      </c>
      <c r="K80" s="1">
        <v>2.6400640934233034E-8</v>
      </c>
      <c r="L80" s="1">
        <v>6.3927270353393634E-8</v>
      </c>
      <c r="M80" s="1">
        <v>2.2231418119978773E-8</v>
      </c>
      <c r="N80" s="1"/>
      <c r="O80" s="443"/>
      <c r="P80" s="1">
        <v>-2.4450100000000002E-6</v>
      </c>
      <c r="Q80" s="1">
        <v>0</v>
      </c>
      <c r="R80" s="1">
        <v>0</v>
      </c>
      <c r="S80" s="1">
        <v>0</v>
      </c>
      <c r="T80" s="1">
        <v>0</v>
      </c>
      <c r="U80" s="1">
        <v>0</v>
      </c>
      <c r="V80" s="1">
        <f ca="1">IFERROR('Dynamic Materials'!Q89+'Dynamic Materials'!AQ89, 0)</f>
        <v>2.0402013754854895E-4</v>
      </c>
      <c r="W80" s="1">
        <f ca="1">'Dynamic Materials'!R89</f>
        <v>9.4280576573379019E-5</v>
      </c>
      <c r="X80" s="1">
        <f ca="1">'Dynamic Materials'!T89</f>
        <v>9.8751732494049062E-5</v>
      </c>
      <c r="Y80" s="1">
        <f ca="1">IFERROR('Dynamic Materials'!U89+'Dynamic Materials'!AQ89, 0)</f>
        <v>1.8132615036726903E-4</v>
      </c>
      <c r="Z80" s="1">
        <f ca="1">IFERROR('Dynamic Materials'!S89+'Dynamic Materials'!AQ89, 0)</f>
        <v>1.92814213329909E-4</v>
      </c>
      <c r="AA80" s="1">
        <f ca="1">'Dynamic Materials'!W89</f>
        <v>5.4780000000000005E-8</v>
      </c>
      <c r="AB80" s="1">
        <v>-2.1000000000000001E-4</v>
      </c>
      <c r="AC80" s="1">
        <v>0.13455</v>
      </c>
      <c r="AD80" s="209">
        <f>BZ80+200*Material_Impacts[[#This Row],[Truck (32+t)]]+1130*CB80</f>
        <v>1.1498320557239957E-3</v>
      </c>
      <c r="AE80" s="1">
        <v>-2.9099999999999998E-3</v>
      </c>
      <c r="AF80" s="1">
        <v>1.9000000000000001E-4</v>
      </c>
      <c r="AG80" s="1"/>
      <c r="AH80" s="1">
        <v>-2.266E-2</v>
      </c>
      <c r="AI80" s="1">
        <f>'Dynamic Materials'!AG89</f>
        <v>-5.1209999999999997E-3</v>
      </c>
      <c r="AJ80" s="1">
        <v>3.1E-4</v>
      </c>
      <c r="AK80" s="1">
        <v>-1.35551E-5</v>
      </c>
      <c r="AL80" s="1"/>
      <c r="AM80" s="1">
        <f t="shared" si="8"/>
        <v>0</v>
      </c>
      <c r="AN80" s="1">
        <v>4.4000000000000002E-4</v>
      </c>
      <c r="AO80" s="1">
        <v>-4.5599999999999998E-3</v>
      </c>
      <c r="AP80" s="209">
        <v>1.66E-7</v>
      </c>
      <c r="AQ80" s="1">
        <f ca="1">'Dynamic Materials'!O89</f>
        <v>6.9954137235839732E-5</v>
      </c>
      <c r="AR80" s="1">
        <f ca="1">'Dynamic Materials'!P89</f>
        <v>-4.9532578610759993E-4</v>
      </c>
      <c r="AS80" s="1"/>
      <c r="AT80" s="1" cm="1">
        <f t="array" aca="1" ref="AT80" ca="1">IFERROR(INDEX(Electricity_projection,MATCH($B80&amp;$A80,INDEX(Electricity_projection,0,3),0),MATCH(YEAR(TODAY()),Timeline_elec_projec,0)+3)*INDEX(Recyc_mat_energy_input,MATCH(AT$1,'Data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1.0257594599999999E-6</v>
      </c>
      <c r="AU80" s="1" cm="1">
        <f t="array" aca="1" ref="AU80" ca="1">IFERROR(INDEX(Electricity_projection,MATCH($B80&amp;$A80,INDEX(Electricity_projection,0,3),0),MATCH(YEAR(TODAY()),Timeline_elec_projec,0)+3)*INDEX(Recyc_mat_energy_input,MATCH(AU$1,'Data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6.1311384000000002E-7</v>
      </c>
      <c r="AV80" s="1" cm="1">
        <f t="array" aca="1" ref="AV80" ca="1">IFERROR(INDEX(Electricity_projection,MATCH($B80&amp;$A80,INDEX(Electricity_projection,0,3),0),MATCH(YEAR(TODAY()),Timeline_elec_projec,0)+3)*INDEX(Recyc_mat_energy_input,MATCH(AV$1,'Data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3.204126E-7</v>
      </c>
      <c r="AW80" s="1"/>
      <c r="AX80" s="1"/>
      <c r="AY80" s="1"/>
      <c r="AZ80" s="1"/>
      <c r="BA80" s="1"/>
      <c r="BB80" s="1"/>
      <c r="BC80" s="1">
        <f t="shared" si="9"/>
        <v>0</v>
      </c>
      <c r="BD80" s="1"/>
      <c r="BE80" s="1"/>
      <c r="BF80" s="1"/>
      <c r="BG80" s="1">
        <f ca="1">'Dynamic Materials'!V89</f>
        <v>6.0186224999999987E-7</v>
      </c>
      <c r="BH80" s="1"/>
      <c r="BI80" s="1" t="str" cm="1">
        <f t="array" aca="1" ref="BI80" ca="1">IFERROR(INDEX(Electricity_projection,MATCH($B80&amp;$A80,INDEX(Electricity_projection,0,3),0),MATCH(YEAR(TODAY()),Timeline_elec_projec,0)+3)*INDEX(Recyc_mat_energy_input,MATCH(BI$1,'Data Entry'!$B$91:$B$96,0),1)+Diesel_density*INDEX(Recyc_mat_energy_input,MATCH(BI$1,'Data Entry'!$B$91:$B$96,0),2)*INDEX(Indicators,ROW(),MATCH("Diesel Combustion",Materials!$1:$1,0)), "")</f>
        <v/>
      </c>
      <c r="BJ80" s="1"/>
      <c r="BK80" s="1" t="str" cm="1">
        <f t="array" aca="1" ref="BK80" ca="1">IFERROR(INDEX(Electricity_projection,MATCH($B80&amp;$A80,INDEX(Electricity_projection,0,3),0),MATCH(YEAR(TODAY()),Timeline_elec_projec,0)+3)*INDEX(Recyc_mat_energy_input,MATCH(BK$1,'Data Entry'!$B$91:$B$96,0),1)+Diesel_density*INDEX(Recyc_mat_energy_input,MATCH(BK$1,'Data Entry'!$B$91:$B$96,0),2)*INDEX(Indicators,ROW(),MATCH("Diesel Combustion",Materials!$1:$1,0)), "")</f>
        <v/>
      </c>
      <c r="BL80" s="1" t="str" cm="1">
        <f t="array" aca="1" ref="BL80" ca="1">IFERROR(INDEX(Electricity_projection,MATCH($B80&amp;$A80,INDEX(Electricity_projection,0,3),0),MATCH(YEAR(TODAY()),Timeline_elec_projec,0)+3)*INDEX(Recyc_mat_energy_input,MATCH(BL$1,'Data Entry'!$B$91:$B$96,0),1)+Diesel_density*INDEX(Recyc_mat_energy_input,MATCH(BL$1,'Data Entry'!$B$91:$B$96,0),2)*INDEX(Indicators,ROW(),MATCH("Diesel Combustion",Materials!$1:$1,0)), "")</f>
        <v/>
      </c>
      <c r="BM80" s="1"/>
      <c r="BN80" s="1">
        <f>IF(Steel_supplier="Pacific Steel",Material_Impacts[[#This Row],[Pacific Steel]],Material_Impacts[[#This Row],[Infrabuild]])</f>
        <v>0</v>
      </c>
      <c r="BO80" s="1"/>
      <c r="BP80" s="1">
        <v>1.02472655E-5</v>
      </c>
      <c r="BQ80">
        <v>1.0200000000000001E-3</v>
      </c>
      <c r="BR80">
        <v>1.0200000000000001E-3</v>
      </c>
      <c r="BS80" s="450"/>
      <c r="BT80" s="450"/>
      <c r="BU80" s="450"/>
      <c r="BV80" s="443">
        <v>1</v>
      </c>
      <c r="BX80" s="1">
        <v>1.4999999999999999E-4</v>
      </c>
      <c r="BY80" s="1">
        <f t="shared" si="11"/>
        <v>3.4702139965297858E-6</v>
      </c>
      <c r="BZ80">
        <v>1.14E-3</v>
      </c>
      <c r="CA80" s="1">
        <v>0</v>
      </c>
      <c r="CB80">
        <v>4.7661699999999999E-9</v>
      </c>
      <c r="CC80">
        <v>-2.1649999999999999E-2</v>
      </c>
      <c r="CD80" s="378">
        <f t="shared" si="10"/>
        <v>4.5944258302199995E-5</v>
      </c>
      <c r="CE80" s="208">
        <f t="shared" si="12"/>
        <v>-2.1604055741697797E-2</v>
      </c>
      <c r="CF80" s="208"/>
      <c r="CG80" s="208"/>
      <c r="CH80" s="208"/>
      <c r="CI80" s="208"/>
      <c r="CJ80" s="208"/>
      <c r="CK80" s="208"/>
      <c r="CL80" s="208"/>
      <c r="CM80" s="209"/>
      <c r="CN80" s="208"/>
      <c r="CP80" s="208"/>
    </row>
    <row r="81" spans="1:94" x14ac:dyDescent="0.35">
      <c r="A81" t="s">
        <v>386</v>
      </c>
      <c r="B81" t="s">
        <v>485</v>
      </c>
      <c r="C81" t="s">
        <v>768</v>
      </c>
      <c r="D81" t="str">
        <f>Material_Impacts[[#This Row],[15804 version]]&amp;Material_Impacts[[#This Row],[Methodology]]&amp;Material_Impacts[[#This Row],[Acronym]]</f>
        <v>A2ConsequentialGWP_foss</v>
      </c>
      <c r="E81" t="s">
        <v>772</v>
      </c>
      <c r="F81" t="s">
        <v>381</v>
      </c>
      <c r="G81" s="1">
        <v>3.66477733108063</v>
      </c>
      <c r="H81" s="1">
        <v>3.6824917647058899</v>
      </c>
      <c r="I81" s="1">
        <v>3.7501002908170999</v>
      </c>
      <c r="J81" s="1">
        <v>0.48573734671423441</v>
      </c>
      <c r="K81" s="1">
        <v>9.4774442558056077E-5</v>
      </c>
      <c r="L81" s="1">
        <v>2.2918687209140873E-4</v>
      </c>
      <c r="M81" s="1">
        <v>7.9896601279682953E-5</v>
      </c>
      <c r="N81" s="1"/>
      <c r="O81" s="443"/>
      <c r="P81" s="1">
        <v>8.6269999999999999E-2</v>
      </c>
      <c r="Q81" s="1">
        <v>0</v>
      </c>
      <c r="R81" s="1">
        <v>0</v>
      </c>
      <c r="S81" s="1">
        <v>0</v>
      </c>
      <c r="T81" s="1">
        <v>0</v>
      </c>
      <c r="U81" s="1">
        <v>0</v>
      </c>
      <c r="V81" s="1">
        <f ca="1">IFERROR('Dynamic Materials'!Q90+'Dynamic Materials'!AQ90, 0)</f>
        <v>3.3436663312550553E-2</v>
      </c>
      <c r="W81" s="1">
        <f ca="1">'Dynamic Materials'!R90</f>
        <v>4.2772799208071664E-2</v>
      </c>
      <c r="X81" s="1">
        <f ca="1">'Dynamic Materials'!T90</f>
        <v>3.8000039533452379E-2</v>
      </c>
      <c r="Y81" s="1">
        <f ca="1">IFERROR('Dynamic Materials'!U90+'Dynamic Materials'!AQ90, 0)</f>
        <v>2.5606916667134633E-2</v>
      </c>
      <c r="Z81" s="1">
        <f ca="1">IFERROR('Dynamic Materials'!S90+'Dynamic Materials'!AQ90, 0)</f>
        <v>2.9997637337291432E-2</v>
      </c>
      <c r="AA81" s="1">
        <f ca="1">'Dynamic Materials'!W90</f>
        <v>2.6301000000000001E-5</v>
      </c>
      <c r="AB81" s="1">
        <v>0.41369</v>
      </c>
      <c r="AC81" s="1">
        <v>5.6101000000000001</v>
      </c>
      <c r="AD81" s="209">
        <f>BZ81+200*Material_Impacts[[#This Row],[Truck (32+t)]]+1130*CB81</f>
        <v>0.44260252025593655</v>
      </c>
      <c r="AE81" s="1">
        <v>0.28738000000000002</v>
      </c>
      <c r="AF81" s="1">
        <v>2.7720000000000002E-2</v>
      </c>
      <c r="AG81" s="1"/>
      <c r="AH81" s="1">
        <v>1.1878299999999999</v>
      </c>
      <c r="AI81" s="1">
        <f>'Dynamic Materials'!AG90</f>
        <v>0.97609600000000007</v>
      </c>
      <c r="AJ81" s="1">
        <v>2.256E-2</v>
      </c>
      <c r="AK81" s="1">
        <v>1.374E-2</v>
      </c>
      <c r="AL81" s="1"/>
      <c r="AM81" s="1">
        <f t="shared" si="8"/>
        <v>0</v>
      </c>
      <c r="AN81" s="1">
        <v>4.7980000000000002E-2</v>
      </c>
      <c r="AO81" s="1">
        <v>0.26418999999999998</v>
      </c>
      <c r="AP81" s="209">
        <v>7.9699999999999999E-5</v>
      </c>
      <c r="AQ81" s="1">
        <f ca="1">'Dynamic Materials'!O90</f>
        <v>2.9874777261197361E-2</v>
      </c>
      <c r="AR81" s="1">
        <f ca="1">'Dynamic Materials'!P90</f>
        <v>7.3461866045841165E-2</v>
      </c>
      <c r="AS81" s="1"/>
      <c r="AT81" s="1" cm="1">
        <f t="array" aca="1" ref="AT81" ca="1">IFERROR(INDEX(Electricity_projection,MATCH($B81&amp;$A81,INDEX(Electricity_projection,0,3),0),MATCH(YEAR(TODAY()),Timeline_elec_projec,0)+3)*INDEX(Recyc_mat_energy_input,MATCH(AT$1,'Data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3.5304532402565614E-3</v>
      </c>
      <c r="AU81" s="1" cm="1">
        <f t="array" aca="1" ref="AU81" ca="1">IFERROR(INDEX(Electricity_projection,MATCH($B81&amp;$A81,INDEX(Electricity_projection,0,3),0),MATCH(YEAR(TODAY()),Timeline_elec_projec,0)+3)*INDEX(Recyc_mat_energy_input,MATCH(AU$1,'Data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2.202868335493918E-3</v>
      </c>
      <c r="AV81" s="1" cm="1">
        <f t="array" aca="1" ref="AV81" ca="1">IFERROR(INDEX(Electricity_projection,MATCH($B81&amp;$A81,INDEX(Electricity_projection,0,3),0),MATCH(YEAR(TODAY()),Timeline_elec_projec,0)+3)*INDEX(Recyc_mat_energy_input,MATCH(AV$1,'Data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1.1512165030123582E-3</v>
      </c>
      <c r="AW81" s="1"/>
      <c r="AX81" s="1"/>
      <c r="AY81" s="1"/>
      <c r="AZ81" s="1"/>
      <c r="BA81" s="1"/>
      <c r="BB81" s="1"/>
      <c r="BC81" s="1">
        <f t="shared" si="9"/>
        <v>0</v>
      </c>
      <c r="BD81" s="1"/>
      <c r="BE81" s="1"/>
      <c r="BF81" s="1"/>
      <c r="BG81" s="1">
        <f ca="1">'Dynamic Materials'!V90</f>
        <v>2.0074249207307523E-3</v>
      </c>
      <c r="BH81" s="1"/>
      <c r="BI81" s="1" t="str" cm="1">
        <f t="array" aca="1" ref="BI81" ca="1">IFERROR(INDEX(Electricity_projection,MATCH($B81&amp;$A81,INDEX(Electricity_projection,0,3),0),MATCH(YEAR(TODAY()),Timeline_elec_projec,0)+3)*INDEX(Recyc_mat_energy_input,MATCH(BI$1,'Data Entry'!$B$91:$B$96,0),1)+Diesel_density*INDEX(Recyc_mat_energy_input,MATCH(BI$1,'Data Entry'!$B$91:$B$96,0),2)*INDEX(Indicators,ROW(),MATCH("Diesel Combustion",Materials!$1:$1,0)), "")</f>
        <v/>
      </c>
      <c r="BJ81" s="1"/>
      <c r="BK81" s="1" t="str" cm="1">
        <f t="array" aca="1" ref="BK81" ca="1">IFERROR(INDEX(Electricity_projection,MATCH($B81&amp;$A81,INDEX(Electricity_projection,0,3),0),MATCH(YEAR(TODAY()),Timeline_elec_projec,0)+3)*INDEX(Recyc_mat_energy_input,MATCH(BK$1,'Data Entry'!$B$91:$B$96,0),1)+Diesel_density*INDEX(Recyc_mat_energy_input,MATCH(BK$1,'Data Entry'!$B$91:$B$96,0),2)*INDEX(Indicators,ROW(),MATCH("Diesel Combustion",Materials!$1:$1,0)), "")</f>
        <v/>
      </c>
      <c r="BL81" s="1" t="str" cm="1">
        <f t="array" aca="1" ref="BL81" ca="1">IFERROR(INDEX(Electricity_projection,MATCH($B81&amp;$A81,INDEX(Electricity_projection,0,3),0),MATCH(YEAR(TODAY()),Timeline_elec_projec,0)+3)*INDEX(Recyc_mat_energy_input,MATCH(BL$1,'Data Entry'!$B$91:$B$96,0),1)+Diesel_density*INDEX(Recyc_mat_energy_input,MATCH(BL$1,'Data Entry'!$B$91:$B$96,0),2)*INDEX(Indicators,ROW(),MATCH("Diesel Combustion",Materials!$1:$1,0)), "")</f>
        <v/>
      </c>
      <c r="BM81" s="1"/>
      <c r="BN81" s="1">
        <f>IF(Steel_supplier="Pacific Steel",Material_Impacts[[#This Row],[Pacific Steel]],Material_Impacts[[#This Row],[Infrabuild]])</f>
        <v>0</v>
      </c>
      <c r="BO81" s="1"/>
      <c r="BP81" s="1">
        <v>2.0725999999999998E-2</v>
      </c>
      <c r="BQ81">
        <v>0.59750000000000003</v>
      </c>
      <c r="BR81">
        <v>0.46216000000000002</v>
      </c>
      <c r="BS81" s="443"/>
      <c r="BT81" s="443"/>
      <c r="BU81" s="443"/>
      <c r="BV81" s="443">
        <v>1</v>
      </c>
      <c r="BX81" s="1">
        <v>0.25900000000000001</v>
      </c>
      <c r="BY81" s="1">
        <f t="shared" si="11"/>
        <v>5.9919028340080982E-3</v>
      </c>
      <c r="BZ81">
        <v>0.41572999999999999</v>
      </c>
      <c r="CA81" s="1">
        <v>0</v>
      </c>
      <c r="CB81">
        <v>9.6399999999999992E-6</v>
      </c>
      <c r="CC81">
        <v>1.1734899999999999</v>
      </c>
      <c r="CD81" s="378">
        <f t="shared" si="10"/>
        <v>9.2926322399999997E-2</v>
      </c>
      <c r="CE81" s="208">
        <f t="shared" si="12"/>
        <v>1.2664163224</v>
      </c>
      <c r="CF81" s="208"/>
      <c r="CG81" s="208"/>
      <c r="CH81" s="208"/>
      <c r="CI81" s="208"/>
      <c r="CJ81" s="208"/>
      <c r="CK81" s="208"/>
      <c r="CL81" s="208"/>
      <c r="CM81" s="209"/>
      <c r="CN81" s="208"/>
      <c r="CP81" s="208"/>
    </row>
    <row r="82" spans="1:94" x14ac:dyDescent="0.35">
      <c r="A82" t="s">
        <v>388</v>
      </c>
      <c r="B82" t="s">
        <v>485</v>
      </c>
      <c r="C82" t="s">
        <v>768</v>
      </c>
      <c r="D82" t="str">
        <f>Material_Impacts[[#This Row],[15804 version]]&amp;Material_Impacts[[#This Row],[Methodology]]&amp;Material_Impacts[[#This Row],[Acronym]]</f>
        <v>A2ConsequentialGWP_LUC</v>
      </c>
      <c r="E82" t="s">
        <v>773</v>
      </c>
      <c r="F82" s="1" t="s">
        <v>381</v>
      </c>
      <c r="G82" s="1">
        <v>1.2E-4</v>
      </c>
      <c r="H82" s="1">
        <v>1.2E-4</v>
      </c>
      <c r="I82" s="1">
        <v>1.2999999999999999E-4</v>
      </c>
      <c r="J82" s="1">
        <v>1.2E-4</v>
      </c>
      <c r="K82" s="1">
        <v>3.1059577569685922E-9</v>
      </c>
      <c r="L82" s="1">
        <v>7.520855335693368E-9</v>
      </c>
      <c r="M82" s="1">
        <v>2.6154609552916198E-9</v>
      </c>
      <c r="N82" s="1"/>
      <c r="O82" s="443"/>
      <c r="P82" s="1">
        <v>8.0383599999999997E-6</v>
      </c>
      <c r="Q82" s="1">
        <v>0</v>
      </c>
      <c r="R82" s="1">
        <v>0</v>
      </c>
      <c r="S82" s="1">
        <v>0</v>
      </c>
      <c r="T82" s="1">
        <v>0</v>
      </c>
      <c r="U82" s="1">
        <v>0</v>
      </c>
      <c r="V82" s="1">
        <f ca="1">IFERROR('Dynamic Materials'!Q91+'Dynamic Materials'!AQ91, 0)</f>
        <v>1.3028692011124335E-4</v>
      </c>
      <c r="W82" s="1">
        <f ca="1">'Dynamic Materials'!R91</f>
        <v>1.3242768232764982E-4</v>
      </c>
      <c r="X82" s="1">
        <f ca="1">'Dynamic Materials'!T91</f>
        <v>1.3111644720056688E-4</v>
      </c>
      <c r="Y82" s="1">
        <f ca="1">IFERROR('Dynamic Materials'!U91+'Dynamic Materials'!AQ91, 0)</f>
        <v>1.2823477094062218E-4</v>
      </c>
      <c r="Z82" s="1">
        <f ca="1">IFERROR('Dynamic Materials'!S91+'Dynamic Materials'!AQ91, 0)</f>
        <v>1.2928150815793275E-4</v>
      </c>
      <c r="AA82" s="1">
        <f ca="1">'Dynamic Materials'!W91</f>
        <v>2.8809E-8</v>
      </c>
      <c r="AB82" s="1">
        <v>1.2E-4</v>
      </c>
      <c r="AC82" s="1">
        <v>4.4999999999999999E-4</v>
      </c>
      <c r="AD82" s="209">
        <f>BZ82+200*Material_Impacts[[#This Row],[Truck (32+t)]]+1130*CB82</f>
        <v>1.0481473049105834E-4</v>
      </c>
      <c r="AE82" s="1">
        <v>2.3600000000000001E-3</v>
      </c>
      <c r="AF82" s="1">
        <v>1.7000000000000001E-4</v>
      </c>
      <c r="AG82" s="1"/>
      <c r="AH82" s="1">
        <v>2.1000000000000001E-4</v>
      </c>
      <c r="AI82" s="1">
        <f>'Dynamic Materials'!AG91</f>
        <v>2.2714400000000003E-4</v>
      </c>
      <c r="AJ82" s="1">
        <v>1.7000000000000001E-4</v>
      </c>
      <c r="AK82" s="1">
        <v>1.9315300000000001E-5</v>
      </c>
      <c r="AL82" s="1"/>
      <c r="AM82" s="1">
        <f t="shared" si="8"/>
        <v>0</v>
      </c>
      <c r="AN82" s="1">
        <v>7.3999999999999999E-4</v>
      </c>
      <c r="AO82" s="1">
        <v>4.79501E-5</v>
      </c>
      <c r="AP82" s="209">
        <v>8.7299999999999994E-8</v>
      </c>
      <c r="AQ82" s="1">
        <f ca="1">'Dynamic Materials'!O91</f>
        <v>6.4214320638635001E-6</v>
      </c>
      <c r="AR82" s="1">
        <f ca="1">'Dynamic Materials'!P91</f>
        <v>2.0457608234399997E-5</v>
      </c>
      <c r="AS82" s="1"/>
      <c r="AT82" s="1" cm="1">
        <f t="array" aca="1" ref="AT82" ca="1">IFERROR(INDEX(Electricity_projection,MATCH($B82&amp;$A82,INDEX(Electricity_projection,0,3),0),MATCH(YEAR(TODAY()),Timeline_elec_projec,0)+3)*INDEX(Recyc_mat_energy_input,MATCH(AT$1,'Data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1.4100876000000002E-7</v>
      </c>
      <c r="AU82" s="1" cm="1">
        <f t="array" aca="1" ref="AU82" ca="1">IFERROR(INDEX(Electricity_projection,MATCH($B82&amp;$A82,INDEX(Electricity_projection,0,3),0),MATCH(YEAR(TODAY()),Timeline_elec_projec,0)+3)*INDEX(Recyc_mat_energy_input,MATCH(AU$1,'Data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7.2131039999999999E-8</v>
      </c>
      <c r="AV82" s="1" cm="1">
        <f t="array" aca="1" ref="AV82" ca="1">IFERROR(INDEX(Electricity_projection,MATCH($B82&amp;$A82,INDEX(Electricity_projection,0,3),0),MATCH(YEAR(TODAY()),Timeline_elec_projec,0)+3)*INDEX(Recyc_mat_energy_input,MATCH(AV$1,'Data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3.76956E-8</v>
      </c>
      <c r="AW82" s="1"/>
      <c r="AX82" s="1"/>
      <c r="AY82" s="1"/>
      <c r="AZ82" s="1"/>
      <c r="BA82" s="1"/>
      <c r="BB82" s="1"/>
      <c r="BC82" s="1">
        <f t="shared" si="9"/>
        <v>0</v>
      </c>
      <c r="BD82" s="1"/>
      <c r="BE82" s="1"/>
      <c r="BF82" s="1"/>
      <c r="BG82" s="1">
        <f ca="1">'Dynamic Materials'!V91</f>
        <v>9.1138500000000006E-8</v>
      </c>
      <c r="BH82" s="1"/>
      <c r="BI82" s="1" t="str" cm="1">
        <f t="array" aca="1" ref="BI82" ca="1">IFERROR(INDEX(Electricity_projection,MATCH($B82&amp;$A82,INDEX(Electricity_projection,0,3),0),MATCH(YEAR(TODAY()),Timeline_elec_projec,0)+3)*INDEX(Recyc_mat_energy_input,MATCH(BI$1,'Data Entry'!$B$91:$B$96,0),1)+Diesel_density*INDEX(Recyc_mat_energy_input,MATCH(BI$1,'Data Entry'!$B$91:$B$96,0),2)*INDEX(Indicators,ROW(),MATCH("Diesel Combustion",Materials!$1:$1,0)), "")</f>
        <v/>
      </c>
      <c r="BJ82" s="1"/>
      <c r="BK82" s="1" t="str" cm="1">
        <f t="array" aca="1" ref="BK82" ca="1">IFERROR(INDEX(Electricity_projection,MATCH($B82&amp;$A82,INDEX(Electricity_projection,0,3),0),MATCH(YEAR(TODAY()),Timeline_elec_projec,0)+3)*INDEX(Recyc_mat_energy_input,MATCH(BK$1,'Data Entry'!$B$91:$B$96,0),1)+Diesel_density*INDEX(Recyc_mat_energy_input,MATCH(BK$1,'Data Entry'!$B$91:$B$96,0),2)*INDEX(Indicators,ROW(),MATCH("Diesel Combustion",Materials!$1:$1,0)), "")</f>
        <v/>
      </c>
      <c r="BL82" s="1" t="str" cm="1">
        <f t="array" aca="1" ref="BL82" ca="1">IFERROR(INDEX(Electricity_projection,MATCH($B82&amp;$A82,INDEX(Electricity_projection,0,3),0),MATCH(YEAR(TODAY()),Timeline_elec_projec,0)+3)*INDEX(Recyc_mat_energy_input,MATCH(BL$1,'Data Entry'!$B$91:$B$96,0),1)+Diesel_density*INDEX(Recyc_mat_energy_input,MATCH(BL$1,'Data Entry'!$B$91:$B$96,0),2)*INDEX(Indicators,ROW(),MATCH("Diesel Combustion",Materials!$1:$1,0)), "")</f>
        <v/>
      </c>
      <c r="BM82" s="1"/>
      <c r="BN82" s="1">
        <f>IF(Steel_supplier="Pacific Steel",Material_Impacts[[#This Row],[Pacific Steel]],Material_Impacts[[#This Row],[Infrabuild]])</f>
        <v>0</v>
      </c>
      <c r="BO82" s="1"/>
      <c r="BP82" s="1">
        <v>8.1655064999999994E-6</v>
      </c>
      <c r="BQ82">
        <v>1.2999999999999999E-4</v>
      </c>
      <c r="BR82">
        <v>1.2E-4</v>
      </c>
      <c r="BS82" s="450"/>
      <c r="BT82" s="450"/>
      <c r="BU82" s="450"/>
      <c r="BV82" s="443">
        <v>1</v>
      </c>
      <c r="BX82" s="1">
        <v>3.6388199999999998E-5</v>
      </c>
      <c r="BY82" s="1">
        <f t="shared" si="11"/>
        <v>8.4183227299016775E-7</v>
      </c>
      <c r="BZ82">
        <v>1E-4</v>
      </c>
      <c r="CA82" s="1">
        <v>0</v>
      </c>
      <c r="CB82">
        <v>3.7979099999999998E-9</v>
      </c>
      <c r="CC82">
        <v>1.9000000000000001E-4</v>
      </c>
      <c r="CD82" s="378">
        <f t="shared" si="10"/>
        <v>3.6610561110599997E-5</v>
      </c>
      <c r="CE82" s="208">
        <f t="shared" si="12"/>
        <v>2.2661056111060001E-4</v>
      </c>
      <c r="CF82" s="208"/>
      <c r="CG82" s="208"/>
      <c r="CH82" s="208"/>
      <c r="CI82" s="208"/>
      <c r="CJ82" s="208"/>
      <c r="CK82" s="208"/>
      <c r="CL82" s="209"/>
      <c r="CM82" s="209"/>
      <c r="CN82" s="208"/>
      <c r="CP82" s="208"/>
    </row>
    <row r="83" spans="1:94" x14ac:dyDescent="0.35">
      <c r="A83" t="s">
        <v>382</v>
      </c>
      <c r="B83" t="s">
        <v>485</v>
      </c>
      <c r="C83" t="s">
        <v>768</v>
      </c>
      <c r="D83" t="str">
        <f>Material_Impacts[[#This Row],[15804 version]]&amp;Material_Impacts[[#This Row],[Methodology]]&amp;Material_Impacts[[#This Row],[Acronym]]</f>
        <v>A2ConsequentialGWP</v>
      </c>
      <c r="E83" t="s">
        <v>774</v>
      </c>
      <c r="F83" s="1" t="s">
        <v>381</v>
      </c>
      <c r="G83" s="1">
        <v>3.6659773310806303</v>
      </c>
      <c r="H83" s="1">
        <v>3.6836917647058902</v>
      </c>
      <c r="I83" s="1">
        <v>3.7513102908170999</v>
      </c>
      <c r="J83" s="1">
        <v>0.48693734671423017</v>
      </c>
      <c r="K83" s="1">
        <v>9.4805502135625761E-5</v>
      </c>
      <c r="L83" s="1">
        <v>2.2926208064476565E-4</v>
      </c>
      <c r="M83" s="1">
        <v>7.9922755889235873E-5</v>
      </c>
      <c r="N83" s="1"/>
      <c r="O83" s="443"/>
      <c r="P83" s="1">
        <v>8.6269999999999999E-2</v>
      </c>
      <c r="Q83" s="1">
        <v>0</v>
      </c>
      <c r="R83" s="1">
        <v>0</v>
      </c>
      <c r="S83" s="1">
        <v>0</v>
      </c>
      <c r="T83" s="1">
        <v>0</v>
      </c>
      <c r="U83" s="1">
        <v>0</v>
      </c>
      <c r="V83" s="1">
        <f ca="1">IFERROR('Dynamic Materials'!Q92+'Dynamic Materials'!AQ92, 0)</f>
        <v>6.1309903034562734E-2</v>
      </c>
      <c r="W83" s="1">
        <f ca="1">'Dynamic Materials'!R92</f>
        <v>4.3480050515584866E-2</v>
      </c>
      <c r="X83" s="1">
        <f ca="1">'Dynamic Materials'!T92</f>
        <v>3.8279474345828728E-2</v>
      </c>
      <c r="Y83" s="1">
        <f ca="1">IFERROR('Dynamic Materials'!U92+'Dynamic Materials'!AQ92, 0)</f>
        <v>5.3025548905580644E-2</v>
      </c>
      <c r="Z83" s="1">
        <f ca="1">IFERROR('Dynamic Materials'!S92+'Dynamic Materials'!AQ92, 0)</f>
        <v>5.7426341736861966E-2</v>
      </c>
      <c r="AA83" s="1">
        <f ca="1">'Dynamic Materials'!W92</f>
        <v>2.6400000000000005E-5</v>
      </c>
      <c r="AB83" s="1">
        <v>0.41369</v>
      </c>
      <c r="AC83" s="1">
        <v>5.7458400000000003</v>
      </c>
      <c r="AD83" s="209">
        <f>BZ83+200*Material_Impacts[[#This Row],[Truck (32+t)]]+1130*CB83</f>
        <v>0.4439290511778472</v>
      </c>
      <c r="AE83" s="1">
        <v>0.28688000000000002</v>
      </c>
      <c r="AF83" s="1">
        <v>2.8080000000000001E-2</v>
      </c>
      <c r="AG83" s="1"/>
      <c r="AH83" s="1">
        <v>1.1657299999999999</v>
      </c>
      <c r="AI83" s="1">
        <f>'Dynamic Materials'!AG92</f>
        <v>0.97073500000000013</v>
      </c>
      <c r="AJ83" s="1">
        <v>2.3040000000000001E-2</v>
      </c>
      <c r="AK83" s="1">
        <v>1.374E-2</v>
      </c>
      <c r="AL83" s="1"/>
      <c r="AM83" s="1">
        <f t="shared" si="8"/>
        <v>0</v>
      </c>
      <c r="AN83" s="1">
        <v>4.9160000000000002E-2</v>
      </c>
      <c r="AO83" s="1">
        <v>0.25977</v>
      </c>
      <c r="AP83" s="209">
        <v>8.0000000000000007E-5</v>
      </c>
      <c r="AQ83" s="1">
        <f ca="1">'Dynamic Materials'!O92</f>
        <v>3.025452503740236E-2</v>
      </c>
      <c r="AR83" s="1">
        <f ca="1">'Dynamic Materials'!P92</f>
        <v>7.3244431966731527E-2</v>
      </c>
      <c r="AS83" s="1"/>
      <c r="AT83" s="1" cm="1">
        <f t="array" aca="1" ref="AT83" ca="1">IFERROR(INDEX(Electricity_projection,MATCH($B83&amp;$A83,INDEX(Electricity_projection,0,3),0),MATCH(YEAR(TODAY()),Timeline_elec_projec,0)+3)*INDEX(Recyc_mat_energy_input,MATCH(AT$1,'Data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3.8497680497143918E-3</v>
      </c>
      <c r="AU83" s="1" cm="1">
        <f t="array" aca="1" ref="AU83" ca="1">IFERROR(INDEX(Electricity_projection,MATCH($B83&amp;$A83,INDEX(Electricity_projection,0,3),0),MATCH(YEAR(TODAY()),Timeline_elec_projec,0)+3)*INDEX(Recyc_mat_energy_input,MATCH(AU$1,'Data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2.5679881058863836E-3</v>
      </c>
      <c r="AV83" s="1" cm="1">
        <f t="array" aca="1" ref="AV83" ca="1">IFERROR(INDEX(Electricity_projection,MATCH($B83&amp;$A83,INDEX(Electricity_projection,0,3),0),MATCH(YEAR(TODAY()),Timeline_elec_projec,0)+3)*INDEX(Recyc_mat_energy_input,MATCH(AV$1,'Data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2.5566892157629657E-3</v>
      </c>
      <c r="AW83" s="1"/>
      <c r="AX83" s="1"/>
      <c r="AY83" s="1"/>
      <c r="AZ83" s="1"/>
      <c r="BA83" s="1"/>
      <c r="BB83" s="1"/>
      <c r="BC83" s="1">
        <f t="shared" si="9"/>
        <v>0</v>
      </c>
      <c r="BD83" s="1"/>
      <c r="BE83" s="1"/>
      <c r="BF83" s="1"/>
      <c r="BG83" s="1">
        <f ca="1">'Dynamic Materials'!V92</f>
        <v>2.448221868009789E-3</v>
      </c>
      <c r="BH83" s="1"/>
      <c r="BI83" s="1" cm="1">
        <f t="array" aca="1" ref="BI83" ca="1">IFERROR(INDEX(Electricity_projection,MATCH($B83&amp;$A83,INDEX(Electricity_projection,0,3),0),MATCH(YEAR(TODAY()),Timeline_elec_projec,0)+3)*INDEX(Recyc_mat_energy_input,MATCH(BI$1,'Data Entry'!$B$91:$B$96,0),1)+Diesel_density*INDEX(Recyc_mat_energy_input,MATCH(BI$1,'Data Entry'!$B$91:$B$96,0),2)*INDEX(Indicators,ROW(),MATCH("Diesel Combustion",Materials!$1:$1,0)), "")</f>
        <v>0</v>
      </c>
      <c r="BJ83" s="1"/>
      <c r="BK83" s="1" cm="1">
        <f t="array" aca="1" ref="BK83" ca="1">IFERROR(INDEX(Electricity_projection,MATCH($B83&amp;$A83,INDEX(Electricity_projection,0,3),0),MATCH(YEAR(TODAY()),Timeline_elec_projec,0)+3)*INDEX(Recyc_mat_energy_input,MATCH(BK$1,'Data Entry'!$B$91:$B$96,0),1)+Diesel_density*INDEX(Recyc_mat_energy_input,MATCH(BK$1,'Data Entry'!$B$91:$B$96,0),2)*INDEX(Indicators,ROW(),MATCH("Diesel Combustion",Materials!$1:$1,0)), "")</f>
        <v>1.6184556721254768E-3</v>
      </c>
      <c r="BL83" s="1" cm="1">
        <f t="array" aca="1" ref="BL83" ca="1">IFERROR(INDEX(Electricity_projection,MATCH($B83&amp;$A83,INDEX(Electricity_projection,0,3),0),MATCH(YEAR(TODAY()),Timeline_elec_projec,0)+3)*INDEX(Recyc_mat_energy_input,MATCH(BL$1,'Data Entry'!$B$91:$B$96,0),1)+Diesel_density*INDEX(Recyc_mat_energy_input,MATCH(BL$1,'Data Entry'!$B$91:$B$96,0),2)*INDEX(Indicators,ROW(),MATCH("Diesel Combustion",Materials!$1:$1,0)), "")</f>
        <v>5.2326520855791843E-3</v>
      </c>
      <c r="BM83" s="1"/>
      <c r="BN83" s="1">
        <f>IF(Steel_supplier="Pacific Steel",Material_Impacts[[#This Row],[Pacific Steel]],Material_Impacts[[#This Row],[Infrabuild]])</f>
        <v>0</v>
      </c>
      <c r="BO83" s="1"/>
      <c r="BP83" s="1">
        <v>2.0747500000000002E-2</v>
      </c>
      <c r="BQ83">
        <v>0.59870999999999996</v>
      </c>
      <c r="BR83">
        <v>0.46335999999999999</v>
      </c>
      <c r="BS83" s="450"/>
      <c r="BT83" s="450"/>
      <c r="BU83" s="450"/>
      <c r="BV83" s="443">
        <v>1</v>
      </c>
      <c r="BX83" s="1">
        <v>0.25918999999999998</v>
      </c>
      <c r="BY83" s="1">
        <f t="shared" si="11"/>
        <v>5.996298438403702E-3</v>
      </c>
      <c r="BZ83">
        <v>0.41704000000000002</v>
      </c>
      <c r="CA83" s="1">
        <v>0</v>
      </c>
      <c r="CB83">
        <v>9.6500000000000008E-6</v>
      </c>
      <c r="CC83">
        <v>1.15242</v>
      </c>
      <c r="CD83" s="378">
        <f t="shared" si="10"/>
        <v>9.3022719000000004E-2</v>
      </c>
      <c r="CE83" s="208">
        <f t="shared" si="12"/>
        <v>1.2454427189999999</v>
      </c>
      <c r="CF83" s="208"/>
      <c r="CG83" s="208"/>
      <c r="CH83" s="208"/>
      <c r="CI83" s="208"/>
      <c r="CJ83" s="208"/>
      <c r="CK83" s="208"/>
      <c r="CL83" s="208"/>
      <c r="CM83" s="209"/>
      <c r="CN83" s="208"/>
      <c r="CP83" s="208"/>
    </row>
    <row r="84" spans="1:94" x14ac:dyDescent="0.35">
      <c r="A84" t="s">
        <v>391</v>
      </c>
      <c r="B84" t="s">
        <v>485</v>
      </c>
      <c r="C84" t="s">
        <v>768</v>
      </c>
      <c r="D84" t="str">
        <f>Material_Impacts[[#This Row],[15804 version]]&amp;Material_Impacts[[#This Row],[Methodology]]&amp;Material_Impacts[[#This Row],[Acronym]]</f>
        <v>A2ConsequentialADPE</v>
      </c>
      <c r="E84" t="s">
        <v>775</v>
      </c>
      <c r="F84" s="1" t="s">
        <v>390</v>
      </c>
      <c r="G84" s="1">
        <v>4.8805899999999996E-7</v>
      </c>
      <c r="H84" s="1">
        <v>4.8805899999999996E-7</v>
      </c>
      <c r="I84" s="1">
        <v>6.1009899999999996E-7</v>
      </c>
      <c r="J84" s="1">
        <v>4.8805899999999996E-7</v>
      </c>
      <c r="K84" s="1">
        <v>1.2632421974236116E-11</v>
      </c>
      <c r="L84" s="1">
        <v>3.0588509452359745E-11</v>
      </c>
      <c r="M84" s="1">
        <v>1.0637493819822273E-11</v>
      </c>
      <c r="N84" s="1"/>
      <c r="O84" s="443"/>
      <c r="P84" s="1">
        <v>1.8527299999999999E-7</v>
      </c>
      <c r="Q84" s="1">
        <v>0</v>
      </c>
      <c r="R84" s="1">
        <v>0</v>
      </c>
      <c r="S84" s="1">
        <v>0</v>
      </c>
      <c r="T84" s="1">
        <v>0</v>
      </c>
      <c r="U84" s="1">
        <v>0</v>
      </c>
      <c r="V84" s="1">
        <f ca="1">IFERROR('Dynamic Materials'!Q93+'Dynamic Materials'!AQ93, 0)</f>
        <v>1.2289971867831452E-4</v>
      </c>
      <c r="W84" s="1">
        <f ca="1">'Dynamic Materials'!R93</f>
        <v>1.2288439215797669E-4</v>
      </c>
      <c r="X84" s="1">
        <f ca="1">'Dynamic Materials'!T93</f>
        <v>1.2288004992158557E-4</v>
      </c>
      <c r="Y84" s="1">
        <f ca="1">IFERROR('Dynamic Materials'!U93+'Dynamic Materials'!AQ93, 0)</f>
        <v>1.2289018063814172E-4</v>
      </c>
      <c r="Z84" s="1">
        <f ca="1">IFERROR('Dynamic Materials'!S93+'Dynamic Materials'!AQ93, 0)</f>
        <v>1.2289431287761397E-4</v>
      </c>
      <c r="AA84" s="1">
        <f ca="1">'Dynamic Materials'!W93</f>
        <v>6.0720000000000011E-11</v>
      </c>
      <c r="AB84" s="1">
        <v>3.8085399999999999E-6</v>
      </c>
      <c r="AC84" s="1">
        <v>4.6983700000000002E-5</v>
      </c>
      <c r="AD84" s="209">
        <f>BZ84+200*Material_Impacts[[#This Row],[Truck (32+t)]]+1130*CB84</f>
        <v>4.1478572376396445E-7</v>
      </c>
      <c r="AE84" s="1">
        <v>5.6929300000000001E-7</v>
      </c>
      <c r="AF84" s="1">
        <v>1.0261499999999999E-6</v>
      </c>
      <c r="AG84" s="1"/>
      <c r="AH84" s="1">
        <v>2.4345599999999999E-5</v>
      </c>
      <c r="AI84" s="1">
        <f>'Dynamic Materials'!AG93</f>
        <v>-1.0639999999999783E-8</v>
      </c>
      <c r="AJ84" s="1">
        <v>1.5239600000000001E-6</v>
      </c>
      <c r="AK84" s="1">
        <v>2.2673899999999998E-6</v>
      </c>
      <c r="AL84" s="1"/>
      <c r="AM84" s="1">
        <f t="shared" si="8"/>
        <v>0</v>
      </c>
      <c r="AN84" s="1">
        <v>1.27604E-6</v>
      </c>
      <c r="AO84" s="1">
        <v>6.4707700000000004E-6</v>
      </c>
      <c r="AP84" s="209">
        <v>1.8400000000000001E-10</v>
      </c>
      <c r="AQ84" s="1">
        <f ca="1">'Dynamic Materials'!O93</f>
        <v>2.6355213372773051E-8</v>
      </c>
      <c r="AR84" s="1">
        <f ca="1">'Dynamic Materials'!P93</f>
        <v>-6.4289530053064819E-8</v>
      </c>
      <c r="AS84" s="1"/>
      <c r="AT84" s="1" cm="1">
        <f t="array" aca="1" ref="AT84" ca="1">IFERROR(INDEX(Electricity_projection,MATCH($B84&amp;$A84,INDEX(Electricity_projection,0,3),0),MATCH(YEAR(TODAY()),Timeline_elec_projec,0)+3)*INDEX(Recyc_mat_energy_input,MATCH(AT$1,'Data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1.5617765392927509E-9</v>
      </c>
      <c r="AU84" s="1" cm="1">
        <f t="array" aca="1" ref="AU84" ca="1">IFERROR(INDEX(Electricity_projection,MATCH($B84&amp;$A84,INDEX(Electricity_projection,0,3),0),MATCH(YEAR(TODAY()),Timeline_elec_projec,0)+3)*INDEX(Recyc_mat_energy_input,MATCH(AU$1,'Data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1.4843554924941998E-9</v>
      </c>
      <c r="AV84" s="1" cm="1">
        <f t="array" aca="1" ref="AV84" ca="1">IFERROR(INDEX(Electricity_projection,MATCH($B84&amp;$A84,INDEX(Electricity_projection,0,3),0),MATCH(YEAR(TODAY()),Timeline_elec_projec,0)+3)*INDEX(Recyc_mat_energy_input,MATCH(AV$1,'Data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4.7456796100269564E-9</v>
      </c>
      <c r="AW84" s="1"/>
      <c r="AX84" s="1"/>
      <c r="AY84" s="1"/>
      <c r="AZ84" s="1"/>
      <c r="BA84" s="1"/>
      <c r="BB84" s="1"/>
      <c r="BC84" s="1">
        <f t="shared" si="9"/>
        <v>0</v>
      </c>
      <c r="BD84" s="1"/>
      <c r="BE84" s="1"/>
      <c r="BF84" s="1"/>
      <c r="BG84" s="1">
        <f ca="1">'Dynamic Materials'!V93</f>
        <v>1.7576241916517668E-9</v>
      </c>
      <c r="BH84" s="1"/>
      <c r="BI84" s="1" cm="1">
        <f t="array" aca="1" ref="BI84" ca="1">IFERROR(INDEX(Electricity_projection,MATCH($B84&amp;$A84,INDEX(Electricity_projection,0,3),0),MATCH(YEAR(TODAY()),Timeline_elec_projec,0)+3)*INDEX(Recyc_mat_energy_input,MATCH(BI$1,'Data Entry'!$B$91:$B$96,0),1)+Diesel_density*INDEX(Recyc_mat_energy_input,MATCH(BI$1,'Data Entry'!$B$91:$B$96,0),2)*INDEX(Indicators,ROW(),MATCH("Diesel Combustion",Materials!$1:$1,0)), "")</f>
        <v>0</v>
      </c>
      <c r="BJ84" s="1"/>
      <c r="BK84" s="1" cm="1">
        <f t="array" aca="1" ref="BK84" ca="1">IFERROR(INDEX(Electricity_projection,MATCH($B84&amp;$A84,INDEX(Electricity_projection,0,3),0),MATCH(YEAR(TODAY()),Timeline_elec_projec,0)+3)*INDEX(Recyc_mat_energy_input,MATCH(BK$1,'Data Entry'!$B$91:$B$96,0),1)+Diesel_density*INDEX(Recyc_mat_energy_input,MATCH(BK$1,'Data Entry'!$B$91:$B$96,0),2)*INDEX(Indicators,ROW(),MATCH("Diesel Combustion",Materials!$1:$1,0)), "")</f>
        <v>2.1546828732000002E-10</v>
      </c>
      <c r="BL84" s="1" cm="1">
        <f t="array" aca="1" ref="BL84" ca="1">IFERROR(INDEX(Electricity_projection,MATCH($B84&amp;$A84,INDEX(Electricity_projection,0,3),0),MATCH(YEAR(TODAY()),Timeline_elec_projec,0)+3)*INDEX(Recyc_mat_energy_input,MATCH(BL$1,'Data Entry'!$B$91:$B$96,0),1)+Diesel_density*INDEX(Recyc_mat_energy_input,MATCH(BL$1,'Data Entry'!$B$91:$B$96,0),2)*INDEX(Indicators,ROW(),MATCH("Diesel Combustion",Materials!$1:$1,0)), "")</f>
        <v>1.7102216350291477E-8</v>
      </c>
      <c r="BM84" s="1"/>
      <c r="BN84" s="1">
        <f>IF(Steel_supplier="Pacific Steel",Material_Impacts[[#This Row],[Pacific Steel]],Material_Impacts[[#This Row],[Infrabuild]])</f>
        <v>0</v>
      </c>
      <c r="BO84" s="1"/>
      <c r="BP84" s="1">
        <v>2.7052375E-8</v>
      </c>
      <c r="BQ84" s="1">
        <v>6.1009899999999996E-7</v>
      </c>
      <c r="BR84" s="1">
        <v>4.8805899999999996E-7</v>
      </c>
      <c r="BS84" s="450"/>
      <c r="BT84" s="450"/>
      <c r="BU84" s="450"/>
      <c r="BV84" s="443">
        <v>1</v>
      </c>
      <c r="BW84" s="1"/>
      <c r="BX84" s="1">
        <v>1.39118E-6</v>
      </c>
      <c r="BY84" s="1">
        <f t="shared" si="11"/>
        <v>3.2184615384615387E-8</v>
      </c>
      <c r="BZ84" s="1">
        <v>3.9844000000000001E-7</v>
      </c>
      <c r="CA84" s="1">
        <v>0</v>
      </c>
      <c r="CB84">
        <v>1.2582500000000001E-11</v>
      </c>
      <c r="CC84" s="1">
        <v>2.42671E-5</v>
      </c>
      <c r="CD84" s="378">
        <f t="shared" si="10"/>
        <v>1.2129102195000001E-7</v>
      </c>
      <c r="CE84" s="208">
        <f t="shared" si="12"/>
        <v>2.4388391021949999E-5</v>
      </c>
      <c r="CF84" s="208"/>
      <c r="CG84" s="208"/>
      <c r="CH84" s="208"/>
      <c r="CI84" s="208"/>
      <c r="CJ84" s="208"/>
      <c r="CK84" s="209"/>
      <c r="CL84" s="209"/>
      <c r="CM84" s="209"/>
      <c r="CN84" s="208"/>
      <c r="CP84" s="208"/>
    </row>
    <row r="85" spans="1:94" x14ac:dyDescent="0.35">
      <c r="A85" t="s">
        <v>776</v>
      </c>
      <c r="B85" t="s">
        <v>485</v>
      </c>
      <c r="C85" t="s">
        <v>768</v>
      </c>
      <c r="D85" t="str">
        <f>Material_Impacts[[#This Row],[15804 version]]&amp;Material_Impacts[[#This Row],[Methodology]]&amp;Material_Impacts[[#This Row],[Acronym]]</f>
        <v xml:space="preserve">A2ConsequentialADPF </v>
      </c>
      <c r="E85" t="s">
        <v>777</v>
      </c>
      <c r="F85" t="s">
        <v>665</v>
      </c>
      <c r="G85" s="1">
        <v>48.832590000000003</v>
      </c>
      <c r="H85" s="1">
        <v>48.832590000000003</v>
      </c>
      <c r="I85" s="1">
        <v>49.45532</v>
      </c>
      <c r="J85" s="1">
        <v>48.832590000000003</v>
      </c>
      <c r="K85" s="1">
        <v>1.2639330141947242E-3</v>
      </c>
      <c r="L85" s="1">
        <v>3.0605237088102218E-3</v>
      </c>
      <c r="M85" s="1">
        <v>1.0643311040897001E-3</v>
      </c>
      <c r="N85" s="1"/>
      <c r="O85" s="443"/>
      <c r="P85" s="1">
        <v>1.4358200000000001</v>
      </c>
      <c r="Q85" s="1">
        <v>0</v>
      </c>
      <c r="R85" s="1">
        <v>0</v>
      </c>
      <c r="S85" s="1">
        <v>0</v>
      </c>
      <c r="T85" s="1">
        <v>0</v>
      </c>
      <c r="U85" s="1">
        <v>0</v>
      </c>
      <c r="V85" s="1">
        <f ca="1">IFERROR('Dynamic Materials'!Q94+'Dynamic Materials'!AQ94, 0)</f>
        <v>3.2159739891206622</v>
      </c>
      <c r="W85" s="1">
        <f ca="1">'Dynamic Materials'!R94</f>
        <v>3.3014646142563482</v>
      </c>
      <c r="X85" s="1">
        <f ca="1">'Dynamic Materials'!T94</f>
        <v>2.8474806805587773</v>
      </c>
      <c r="Y85" s="1">
        <f ca="1">IFERROR('Dynamic Materials'!U94+'Dynamic Materials'!AQ94, 0)</f>
        <v>2.319712669115483</v>
      </c>
      <c r="Z85" s="1">
        <f ca="1">IFERROR('Dynamic Materials'!S94+'Dynamic Materials'!AQ94, 0)</f>
        <v>2.7742030018710464</v>
      </c>
      <c r="AA85" s="1">
        <f ca="1">'Dynamic Materials'!W94</f>
        <v>4.5540000000000001E-4</v>
      </c>
      <c r="AB85" s="1">
        <v>27.39565</v>
      </c>
      <c r="AC85" s="1">
        <v>91.395269999999996</v>
      </c>
      <c r="AD85" s="209">
        <f>BZ85+200*Material_Impacts[[#This Row],[Truck (32+t)]]+1130*CB85</f>
        <v>45.496171420817944</v>
      </c>
      <c r="AE85" s="1">
        <v>30.376169999999998</v>
      </c>
      <c r="AF85" s="1">
        <v>0.80667</v>
      </c>
      <c r="AG85" s="1"/>
      <c r="AH85" s="1">
        <v>44.485529999999997</v>
      </c>
      <c r="AI85" s="1">
        <f>'Dynamic Materials'!AG94</f>
        <v>50.381350000000005</v>
      </c>
      <c r="AJ85" s="1">
        <v>0.25507999999999997</v>
      </c>
      <c r="AK85" s="1">
        <v>0.18529000000000001</v>
      </c>
      <c r="AL85" s="1"/>
      <c r="AM85" s="1">
        <f t="shared" si="8"/>
        <v>0</v>
      </c>
      <c r="AN85" s="1">
        <v>0.33395000000000002</v>
      </c>
      <c r="AO85" s="1">
        <v>9.8012300000000003</v>
      </c>
      <c r="AP85" s="209">
        <v>1.3799999999999999E-3</v>
      </c>
      <c r="AQ85" s="1">
        <f ca="1">'Dynamic Materials'!O94</f>
        <v>2.7740801417949523</v>
      </c>
      <c r="AR85" s="1">
        <f ca="1">'Dynamic Materials'!P94</f>
        <v>3.1338496565458756</v>
      </c>
      <c r="AS85" s="1"/>
      <c r="AT85" s="1" cm="1">
        <f t="array" aca="1" ref="AT85" ca="1">IFERROR(INDEX(Electricity_projection,MATCH($B85&amp;$A85,INDEX(Electricity_projection,0,3),0),MATCH(YEAR(TODAY()),Timeline_elec_projec,0)+3)*INDEX(Recyc_mat_energy_input,MATCH(AT$1,'Data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4.7138145261570001E-2</v>
      </c>
      <c r="AU85" s="1" cm="1">
        <f t="array" aca="1" ref="AU85" ca="1">IFERROR(INDEX(Electricity_projection,MATCH($B85&amp;$A85,INDEX(Electricity_projection,0,3),0),MATCH(YEAR(TODAY()),Timeline_elec_projec,0)+3)*INDEX(Recyc_mat_energy_input,MATCH(AU$1,'Data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2.9352879188280001E-2</v>
      </c>
      <c r="AV85" s="1" cm="1">
        <f t="array" aca="1" ref="AV85" ca="1">IFERROR(INDEX(Electricity_projection,MATCH($B85&amp;$A85,INDEX(Electricity_projection,0,3),0),MATCH(YEAR(TODAY()),Timeline_elec_projec,0)+3)*INDEX(Recyc_mat_energy_input,MATCH(AV$1,'Data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1.5339781496699999E-2</v>
      </c>
      <c r="AW85" s="1"/>
      <c r="AX85" s="1"/>
      <c r="AY85" s="1"/>
      <c r="AZ85" s="1"/>
      <c r="BA85" s="1"/>
      <c r="BB85" s="1"/>
      <c r="BC85" s="1">
        <f t="shared" si="9"/>
        <v>0</v>
      </c>
      <c r="BD85" s="1"/>
      <c r="BE85" s="1"/>
      <c r="BF85" s="1"/>
      <c r="BG85" s="1">
        <f ca="1">'Dynamic Materials'!V94</f>
        <v>2.6844028930125E-2</v>
      </c>
      <c r="BH85" s="1"/>
      <c r="BI85" s="1" t="str" cm="1">
        <f t="array" aca="1" ref="BI85" ca="1">IFERROR(INDEX(Electricity_projection,MATCH($B85&amp;$A85,INDEX(Electricity_projection,0,3),0),MATCH(YEAR(TODAY()),Timeline_elec_projec,0)+3)*INDEX(Recyc_mat_energy_input,MATCH(BI$1,'Data Entry'!$B$91:$B$96,0),1)+Diesel_density*INDEX(Recyc_mat_energy_input,MATCH(BI$1,'Data Entry'!$B$91:$B$96,0),2)*INDEX(Indicators,ROW(),MATCH("Diesel Combustion",Materials!$1:$1,0)), "")</f>
        <v/>
      </c>
      <c r="BJ85" s="1"/>
      <c r="BK85" s="1" t="str" cm="1">
        <f t="array" aca="1" ref="BK85" ca="1">IFERROR(INDEX(Electricity_projection,MATCH($B85&amp;$A85,INDEX(Electricity_projection,0,3),0),MATCH(YEAR(TODAY()),Timeline_elec_projec,0)+3)*INDEX(Recyc_mat_energy_input,MATCH(BK$1,'Data Entry'!$B$91:$B$96,0),1)+Diesel_density*INDEX(Recyc_mat_energy_input,MATCH(BK$1,'Data Entry'!$B$91:$B$96,0),2)*INDEX(Indicators,ROW(),MATCH("Diesel Combustion",Materials!$1:$1,0)), "")</f>
        <v/>
      </c>
      <c r="BL85" s="1" t="str" cm="1">
        <f t="array" aca="1" ref="BL85" ca="1">IFERROR(INDEX(Electricity_projection,MATCH($B85&amp;$A85,INDEX(Electricity_projection,0,3),0),MATCH(YEAR(TODAY()),Timeline_elec_projec,0)+3)*INDEX(Recyc_mat_energy_input,MATCH(BL$1,'Data Entry'!$B$91:$B$96,0),1)+Diesel_density*INDEX(Recyc_mat_energy_input,MATCH(BL$1,'Data Entry'!$B$91:$B$96,0),2)*INDEX(Indicators,ROW(),MATCH("Diesel Combustion",Materials!$1:$1,0)), "")</f>
        <v/>
      </c>
      <c r="BM85" s="1"/>
      <c r="BN85" s="1">
        <f>IF(Steel_supplier="Pacific Steel",Material_Impacts[[#This Row],[Pacific Steel]],Material_Impacts[[#This Row],[Infrabuild]])</f>
        <v>0</v>
      </c>
      <c r="BO85" s="1"/>
      <c r="BP85" s="1">
        <v>0.26238599999999995</v>
      </c>
      <c r="BQ85">
        <v>49.45532</v>
      </c>
      <c r="BR85">
        <v>48.832590000000003</v>
      </c>
      <c r="BS85" s="443"/>
      <c r="BT85" s="443"/>
      <c r="BU85" s="443"/>
      <c r="BV85" s="443">
        <v>1</v>
      </c>
      <c r="BX85" s="1">
        <v>3.4202300000000001</v>
      </c>
      <c r="BY85" s="1">
        <f t="shared" si="11"/>
        <v>7.9126200115673812E-2</v>
      </c>
      <c r="BZ85">
        <v>45.145400000000002</v>
      </c>
      <c r="CA85" s="1">
        <v>0</v>
      </c>
      <c r="CB85">
        <v>1.2203999999999999E-4</v>
      </c>
      <c r="CC85">
        <v>44.146239999999999</v>
      </c>
      <c r="CD85" s="378">
        <f t="shared" si="10"/>
        <v>1.1764241063999998</v>
      </c>
      <c r="CE85" s="208">
        <f t="shared" si="12"/>
        <v>45.322664106399998</v>
      </c>
      <c r="CF85" s="208"/>
      <c r="CG85" s="208"/>
      <c r="CH85" s="208"/>
      <c r="CI85" s="208"/>
      <c r="CJ85" s="208"/>
      <c r="CK85" s="208"/>
      <c r="CL85" s="208"/>
      <c r="CM85" s="208"/>
      <c r="CN85" s="208"/>
      <c r="CP85" s="208"/>
    </row>
    <row r="86" spans="1:94" x14ac:dyDescent="0.35">
      <c r="A86" t="s">
        <v>394</v>
      </c>
      <c r="B86" t="s">
        <v>485</v>
      </c>
      <c r="C86" t="s">
        <v>768</v>
      </c>
      <c r="D86" t="str">
        <f>Material_Impacts[[#This Row],[15804 version]]&amp;Material_Impacts[[#This Row],[Methodology]]&amp;Material_Impacts[[#This Row],[Acronym]]</f>
        <v>A2ConsequentialEP_fw</v>
      </c>
      <c r="E86" t="s">
        <v>778</v>
      </c>
      <c r="F86" t="s">
        <v>393</v>
      </c>
      <c r="G86" s="1">
        <v>6.9804700000000006E-5</v>
      </c>
      <c r="H86" s="1">
        <v>6.9804700000000006E-5</v>
      </c>
      <c r="I86" s="1">
        <v>7.9834700000000003E-5</v>
      </c>
      <c r="J86" s="1">
        <v>6.9804700000000006E-5</v>
      </c>
      <c r="K86" s="1">
        <v>1.8067537453155456E-9</v>
      </c>
      <c r="L86" s="1">
        <v>4.3749254204289578E-9</v>
      </c>
      <c r="M86" s="1">
        <v>1.521428894548708E-9</v>
      </c>
      <c r="N86" s="1"/>
      <c r="O86" s="443"/>
      <c r="P86" s="1">
        <v>5.5824000000000001E-6</v>
      </c>
      <c r="Q86" s="1">
        <v>0</v>
      </c>
      <c r="R86" s="1">
        <v>0</v>
      </c>
      <c r="S86" s="1">
        <v>0</v>
      </c>
      <c r="T86" s="1">
        <v>0</v>
      </c>
      <c r="U86" s="1">
        <v>0</v>
      </c>
      <c r="V86" s="1">
        <f ca="1">IFERROR('Dynamic Materials'!Q95+'Dynamic Materials'!AQ95, 0)</f>
        <v>1.2690389597276542E-4</v>
      </c>
      <c r="W86" s="1">
        <f ca="1">'Dynamic Materials'!R95</f>
        <v>1.2165646289150951E-4</v>
      </c>
      <c r="X86" s="1">
        <f ca="1">'Dynamic Materials'!T95</f>
        <v>1.218546480237902E-4</v>
      </c>
      <c r="Y86" s="1">
        <f ca="1">IFERROR('Dynamic Materials'!U95+'Dynamic Materials'!AQ95, 0)</f>
        <v>1.2578196964585942E-4</v>
      </c>
      <c r="Z86" s="1">
        <f ca="1">IFERROR('Dynamic Materials'!S95+'Dynamic Materials'!AQ95, 0)</f>
        <v>1.2635244780772386E-4</v>
      </c>
      <c r="AA86" s="1">
        <f ca="1">'Dynamic Materials'!W95</f>
        <v>2.9832000000000002E-9</v>
      </c>
      <c r="AB86" s="1">
        <v>8.5566200000000001E-5</v>
      </c>
      <c r="AC86" s="1">
        <v>6.3000000000000003E-4</v>
      </c>
      <c r="AD86" s="209">
        <f>BZ86+200*Material_Impacts[[#This Row],[Truck (32+t)]]+1130*CB86</f>
        <v>5.7117318928909739E-5</v>
      </c>
      <c r="AE86" s="1">
        <v>4.3963800000000001E-5</v>
      </c>
      <c r="AF86" s="1">
        <v>7.4782699999999996E-6</v>
      </c>
      <c r="AG86" s="1"/>
      <c r="AH86" s="1">
        <v>4.4999999999999999E-4</v>
      </c>
      <c r="AI86" s="1">
        <f>'Dynamic Materials'!AG95</f>
        <v>-2.4273599999999996E-4</v>
      </c>
      <c r="AJ86" s="1">
        <v>7.6011500000000001E-6</v>
      </c>
      <c r="AK86" s="1">
        <v>6.9272000000000004E-6</v>
      </c>
      <c r="AL86" s="1"/>
      <c r="AM86" s="1">
        <f t="shared" si="8"/>
        <v>0</v>
      </c>
      <c r="AN86" s="1">
        <v>1.1529799999999999E-5</v>
      </c>
      <c r="AO86" s="1">
        <v>1E-4</v>
      </c>
      <c r="AP86" s="209">
        <v>9.0400000000000002E-9</v>
      </c>
      <c r="AQ86" s="1">
        <f ca="1">'Dynamic Materials'!O95</f>
        <v>3.4923717136545985E-6</v>
      </c>
      <c r="AR86" s="1">
        <f ca="1">'Dynamic Materials'!P95</f>
        <v>-2.2053307422079984E-5</v>
      </c>
      <c r="AS86" s="1"/>
      <c r="AT86" s="1" cm="1">
        <f t="array" aca="1" ref="AT86" ca="1">IFERROR(INDEX(Electricity_projection,MATCH($B86&amp;$A86,INDEX(Electricity_projection,0,3),0),MATCH(YEAR(TODAY()),Timeline_elec_projec,0)+3)*INDEX(Recyc_mat_energy_input,MATCH(AT$1,'Data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6.9502742468100014E-8</v>
      </c>
      <c r="AU86" s="1" cm="1">
        <f t="array" aca="1" ref="AU86" ca="1">IFERROR(INDEX(Electricity_projection,MATCH($B86&amp;$A86,INDEX(Electricity_projection,0,3),0),MATCH(YEAR(TODAY()),Timeline_elec_projec,0)+3)*INDEX(Recyc_mat_energy_input,MATCH(AU$1,'Data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4.1959046732400002E-8</v>
      </c>
      <c r="AV86" s="1" cm="1">
        <f t="array" aca="1" ref="AV86" ca="1">IFERROR(INDEX(Electricity_projection,MATCH($B86&amp;$A86,INDEX(Electricity_projection,0,3),0),MATCH(YEAR(TODAY()),Timeline_elec_projec,0)+3)*INDEX(Recyc_mat_energy_input,MATCH(AV$1,'Data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2.1927750410999999E-8</v>
      </c>
      <c r="AW86" s="1"/>
      <c r="AX86" s="1"/>
      <c r="AY86" s="1"/>
      <c r="AZ86" s="1"/>
      <c r="BA86" s="1"/>
      <c r="BB86" s="1"/>
      <c r="BC86" s="1">
        <f t="shared" si="9"/>
        <v>0</v>
      </c>
      <c r="BD86" s="1"/>
      <c r="BE86" s="1"/>
      <c r="BF86" s="1"/>
      <c r="BG86" s="1">
        <f ca="1">'Dynamic Materials'!V95</f>
        <v>4.049292131625001E-8</v>
      </c>
      <c r="BH86" s="1"/>
      <c r="BI86" s="1" t="str" cm="1">
        <f t="array" aca="1" ref="BI86" ca="1">IFERROR(INDEX(Electricity_projection,MATCH($B86&amp;$A86,INDEX(Electricity_projection,0,3),0),MATCH(YEAR(TODAY()),Timeline_elec_projec,0)+3)*INDEX(Recyc_mat_energy_input,MATCH(BI$1,'Data Entry'!$B$91:$B$96,0),1)+Diesel_density*INDEX(Recyc_mat_energy_input,MATCH(BI$1,'Data Entry'!$B$91:$B$96,0),2)*INDEX(Indicators,ROW(),MATCH("Diesel Combustion",Materials!$1:$1,0)), "")</f>
        <v/>
      </c>
      <c r="BJ86" s="1"/>
      <c r="BK86" s="1" t="str" cm="1">
        <f t="array" aca="1" ref="BK86" ca="1">IFERROR(INDEX(Electricity_projection,MATCH($B86&amp;$A86,INDEX(Electricity_projection,0,3),0),MATCH(YEAR(TODAY()),Timeline_elec_projec,0)+3)*INDEX(Recyc_mat_energy_input,MATCH(BK$1,'Data Entry'!$B$91:$B$96,0),1)+Diesel_density*INDEX(Recyc_mat_energy_input,MATCH(BK$1,'Data Entry'!$B$91:$B$96,0),2)*INDEX(Indicators,ROW(),MATCH("Diesel Combustion",Materials!$1:$1,0)), "")</f>
        <v/>
      </c>
      <c r="BL86" s="1" t="str" cm="1">
        <f t="array" aca="1" ref="BL86" ca="1">IFERROR(INDEX(Electricity_projection,MATCH($B86&amp;$A86,INDEX(Electricity_projection,0,3),0),MATCH(YEAR(TODAY()),Timeline_elec_projec,0)+3)*INDEX(Recyc_mat_energy_input,MATCH(BL$1,'Data Entry'!$B$91:$B$96,0),1)+Diesel_density*INDEX(Recyc_mat_energy_input,MATCH(BL$1,'Data Entry'!$B$91:$B$96,0),2)*INDEX(Indicators,ROW(),MATCH("Diesel Combustion",Materials!$1:$1,0)), "")</f>
        <v/>
      </c>
      <c r="BM86" s="1"/>
      <c r="BN86" s="1">
        <f>IF(Steel_supplier="Pacific Steel",Material_Impacts[[#This Row],[Pacific Steel]],Material_Impacts[[#This Row],[Infrabuild]])</f>
        <v>0</v>
      </c>
      <c r="BO86" s="1"/>
      <c r="BP86" s="1">
        <v>1.1110232500000001E-6</v>
      </c>
      <c r="BQ86" s="1">
        <v>7.9834700000000003E-5</v>
      </c>
      <c r="BR86" s="1">
        <v>6.9804700000000006E-5</v>
      </c>
      <c r="BS86" s="443"/>
      <c r="BT86" s="443"/>
      <c r="BU86" s="443"/>
      <c r="BV86" s="443">
        <v>1</v>
      </c>
      <c r="BW86" s="1"/>
      <c r="BX86" s="1">
        <v>8.7534600000000007E-6</v>
      </c>
      <c r="BY86" s="1">
        <f t="shared" si="11"/>
        <v>2.0250919606709083E-7</v>
      </c>
      <c r="BZ86" s="1">
        <v>5.62291E-5</v>
      </c>
      <c r="CA86" s="1">
        <v>0</v>
      </c>
      <c r="CB86">
        <v>5.1675500000000004E-10</v>
      </c>
      <c r="CC86">
        <v>4.4000000000000002E-4</v>
      </c>
      <c r="CD86" s="378">
        <f t="shared" si="10"/>
        <v>4.9813425033000002E-6</v>
      </c>
      <c r="CE86" s="208">
        <f t="shared" si="12"/>
        <v>4.4498134250330003E-4</v>
      </c>
      <c r="CF86" s="208"/>
      <c r="CG86" s="208"/>
      <c r="CH86" s="208"/>
      <c r="CI86" s="208"/>
      <c r="CJ86" s="208"/>
      <c r="CK86" s="209"/>
      <c r="CL86" s="209"/>
      <c r="CM86" s="209"/>
      <c r="CN86" s="208"/>
      <c r="CP86" s="208"/>
    </row>
    <row r="87" spans="1:94" x14ac:dyDescent="0.35">
      <c r="A87" t="s">
        <v>397</v>
      </c>
      <c r="B87" t="s">
        <v>485</v>
      </c>
      <c r="C87" t="s">
        <v>768</v>
      </c>
      <c r="D87" t="str">
        <f>Material_Impacts[[#This Row],[15804 version]]&amp;Material_Impacts[[#This Row],[Methodology]]&amp;Material_Impacts[[#This Row],[Acronym]]</f>
        <v>A2ConsequentialEP_marine</v>
      </c>
      <c r="E87" t="s">
        <v>779</v>
      </c>
      <c r="F87" t="s">
        <v>396</v>
      </c>
      <c r="G87" s="1">
        <v>5.9316813627530995E-3</v>
      </c>
      <c r="H87" s="1">
        <v>8.6425490196078512E-3</v>
      </c>
      <c r="I87" s="1">
        <v>1.2908010377422172E-3</v>
      </c>
      <c r="J87" s="1">
        <v>5.9316813627530995E-3</v>
      </c>
      <c r="K87" s="1">
        <v>2.7872391585258685E-7</v>
      </c>
      <c r="L87" s="1">
        <v>5.9020667533921811E-7</v>
      </c>
      <c r="M87" s="1">
        <v>2.3384410464141908E-7</v>
      </c>
      <c r="N87" s="1"/>
      <c r="O87" s="443"/>
      <c r="P87" s="1">
        <v>2.1375100000000001E-5</v>
      </c>
      <c r="Q87" s="1">
        <v>0</v>
      </c>
      <c r="R87" s="1">
        <v>0</v>
      </c>
      <c r="S87" s="1">
        <v>0</v>
      </c>
      <c r="T87" s="1">
        <v>0</v>
      </c>
      <c r="U87" s="1">
        <v>0</v>
      </c>
      <c r="V87" s="1">
        <f ca="1">IFERROR('Dynamic Materials'!Q96+'Dynamic Materials'!AQ96, 0)</f>
        <v>1.7996173287861513E-4</v>
      </c>
      <c r="W87" s="1">
        <f ca="1">'Dynamic Materials'!R96</f>
        <v>1.7346900392737016E-4</v>
      </c>
      <c r="X87" s="1">
        <f ca="1">'Dynamic Materials'!T96</f>
        <v>1.6836375643300232E-4</v>
      </c>
      <c r="Y87" s="1">
        <f ca="1">IFERROR('Dynamic Materials'!U96+'Dynamic Materials'!AQ96, 0)</f>
        <v>1.6636571643920928E-4</v>
      </c>
      <c r="Z87" s="1">
        <f ca="1">IFERROR('Dynamic Materials'!S96+'Dynamic Materials'!AQ96, 0)</f>
        <v>1.7392895267692656E-4</v>
      </c>
      <c r="AA87" s="1">
        <f ca="1">'Dynamic Materials'!W96</f>
        <v>1.5279000000000001E-8</v>
      </c>
      <c r="AB87" s="1">
        <v>4.6999999999999999E-4</v>
      </c>
      <c r="AC87" s="1">
        <v>9.2599999999999991E-3</v>
      </c>
      <c r="AD87" s="209">
        <f>BZ87+200*Material_Impacts[[#This Row],[Truck (32+t)]]+1130*CB87</f>
        <v>7.6201308292828378E-4</v>
      </c>
      <c r="AE87" s="1">
        <v>4.4999999999999999E-4</v>
      </c>
      <c r="AF87" s="1">
        <v>3.5649499999999998E-5</v>
      </c>
      <c r="AG87" s="1"/>
      <c r="AH87" s="1">
        <v>1.1100000000000001E-3</v>
      </c>
      <c r="AI87" s="1">
        <f>'Dynamic Materials'!AG96</f>
        <v>3.9099999999999996E-4</v>
      </c>
      <c r="AJ87" s="1">
        <v>3.66888E-5</v>
      </c>
      <c r="AK87" s="1">
        <v>2.8008899999999999E-5</v>
      </c>
      <c r="AL87" s="1"/>
      <c r="AM87" s="1">
        <f t="shared" si="8"/>
        <v>0</v>
      </c>
      <c r="AN87" s="1">
        <v>4.1198800000000003E-5</v>
      </c>
      <c r="AO87" s="1">
        <v>2.5000000000000001E-4</v>
      </c>
      <c r="AP87" s="209">
        <v>4.6299999999999998E-8</v>
      </c>
      <c r="AQ87" s="1">
        <f ca="1">'Dynamic Materials'!O96</f>
        <v>5.1068876582857319E-5</v>
      </c>
      <c r="AR87" s="1">
        <f ca="1">'Dynamic Materials'!P96</f>
        <v>2.1038091607160294E-5</v>
      </c>
      <c r="AS87" s="1"/>
      <c r="AT87" s="1" cm="1">
        <f t="array" aca="1" ref="AT87" ca="1">IFERROR(INDEX(Electricity_projection,MATCH($B87&amp;$A87,INDEX(Electricity_projection,0,3),0),MATCH(YEAR(TODAY()),Timeline_elec_projec,0)+3)*INDEX(Recyc_mat_energy_input,MATCH(AT$1,'Data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5.6894591565535089E-6</v>
      </c>
      <c r="AU87" s="1" cm="1">
        <f t="array" aca="1" ref="AU87" ca="1">IFERROR(INDEX(Electricity_projection,MATCH($B87&amp;$A87,INDEX(Electricity_projection,0,3),0),MATCH(YEAR(TODAY()),Timeline_elec_projec,0)+3)*INDEX(Recyc_mat_energy_input,MATCH(AU$1,'Data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3.5654862136999862E-6</v>
      </c>
      <c r="AV87" s="1" cm="1">
        <f t="array" aca="1" ref="AV87" ca="1">IFERROR(INDEX(Electricity_projection,MATCH($B87&amp;$A87,INDEX(Electricity_projection,0,3),0),MATCH(YEAR(TODAY()),Timeline_elec_projec,0)+3)*INDEX(Recyc_mat_energy_input,MATCH(AV$1,'Data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1.8633190664816309E-6</v>
      </c>
      <c r="AW87" s="1"/>
      <c r="AX87" s="1"/>
      <c r="AY87" s="1"/>
      <c r="AZ87" s="1"/>
      <c r="BA87" s="1"/>
      <c r="BB87" s="1"/>
      <c r="BC87" s="1">
        <f t="shared" si="9"/>
        <v>0</v>
      </c>
      <c r="BD87" s="1"/>
      <c r="BE87" s="1"/>
      <c r="BF87" s="1"/>
      <c r="BG87" s="1">
        <f ca="1">'Dynamic Materials'!V96</f>
        <v>3.2243383915730807E-6</v>
      </c>
      <c r="BH87" s="1"/>
      <c r="BI87" s="1" t="str" cm="1">
        <f t="array" aca="1" ref="BI87" ca="1">IFERROR(INDEX(Electricity_projection,MATCH($B87&amp;$A87,INDEX(Electricity_projection,0,3),0),MATCH(YEAR(TODAY()),Timeline_elec_projec,0)+3)*INDEX(Recyc_mat_energy_input,MATCH(BI$1,'Data Entry'!$B$91:$B$96,0),1)+Diesel_density*INDEX(Recyc_mat_energy_input,MATCH(BI$1,'Data Entry'!$B$91:$B$96,0),2)*INDEX(Indicators,ROW(),MATCH("Diesel Combustion",Materials!$1:$1,0)), "")</f>
        <v/>
      </c>
      <c r="BJ87" s="1"/>
      <c r="BK87" s="1" t="str" cm="1">
        <f t="array" aca="1" ref="BK87" ca="1">IFERROR(INDEX(Electricity_projection,MATCH($B87&amp;$A87,INDEX(Electricity_projection,0,3),0),MATCH(YEAR(TODAY()),Timeline_elec_projec,0)+3)*INDEX(Recyc_mat_energy_input,MATCH(BK$1,'Data Entry'!$B$91:$B$96,0),1)+Diesel_density*INDEX(Recyc_mat_energy_input,MATCH(BK$1,'Data Entry'!$B$91:$B$96,0),2)*INDEX(Indicators,ROW(),MATCH("Diesel Combustion",Materials!$1:$1,0)), "")</f>
        <v/>
      </c>
      <c r="BL87" s="1" t="str" cm="1">
        <f t="array" aca="1" ref="BL87" ca="1">IFERROR(INDEX(Electricity_projection,MATCH($B87&amp;$A87,INDEX(Electricity_projection,0,3),0),MATCH(YEAR(TODAY()),Timeline_elec_projec,0)+3)*INDEX(Recyc_mat_energy_input,MATCH(BL$1,'Data Entry'!$B$91:$B$96,0),1)+Diesel_density*INDEX(Recyc_mat_energy_input,MATCH(BL$1,'Data Entry'!$B$91:$B$96,0),2)*INDEX(Indicators,ROW(),MATCH("Diesel Combustion",Materials!$1:$1,0)), "")</f>
        <v/>
      </c>
      <c r="BM87" s="1"/>
      <c r="BN87" s="1">
        <f>IF(Steel_supplier="Pacific Steel",Material_Impacts[[#This Row],[Pacific Steel]],Material_Impacts[[#This Row],[Infrabuild]])</f>
        <v>0</v>
      </c>
      <c r="BO87" s="1"/>
      <c r="BP87" s="1">
        <v>1.6219041000000001E-4</v>
      </c>
      <c r="BQ87">
        <v>8.0000000000000004E-4</v>
      </c>
      <c r="BR87">
        <v>7.1000000000000002E-4</v>
      </c>
      <c r="BS87" s="443"/>
      <c r="BT87" s="443"/>
      <c r="BU87" s="443"/>
      <c r="BV87" s="443">
        <v>1</v>
      </c>
      <c r="BX87" s="1">
        <v>1.5900000000000001E-3</v>
      </c>
      <c r="BY87" s="1">
        <f t="shared" si="11"/>
        <v>3.6784268363215736E-5</v>
      </c>
      <c r="BZ87">
        <v>6.3000000000000003E-4</v>
      </c>
      <c r="CA87" s="1">
        <v>0</v>
      </c>
      <c r="CB87">
        <v>7.5437399999999998E-8</v>
      </c>
      <c r="CC87">
        <v>1.1000000000000001E-3</v>
      </c>
      <c r="CD87" s="378">
        <f t="shared" si="10"/>
        <v>7.2719088728399992E-4</v>
      </c>
      <c r="CE87" s="208">
        <f t="shared" si="12"/>
        <v>1.827190887284E-3</v>
      </c>
      <c r="CF87" s="208"/>
      <c r="CG87" s="208"/>
      <c r="CH87" s="208"/>
      <c r="CI87" s="208"/>
      <c r="CJ87" s="208"/>
      <c r="CK87" s="208"/>
      <c r="CL87" s="208"/>
      <c r="CM87" s="209"/>
      <c r="CN87" s="208"/>
      <c r="CP87" s="208"/>
    </row>
    <row r="88" spans="1:94" x14ac:dyDescent="0.35">
      <c r="A88" t="s">
        <v>400</v>
      </c>
      <c r="B88" t="s">
        <v>485</v>
      </c>
      <c r="C88" t="s">
        <v>768</v>
      </c>
      <c r="D88" t="str">
        <f>Material_Impacts[[#This Row],[15804 version]]&amp;Material_Impacts[[#This Row],[Methodology]]&amp;Material_Impacts[[#This Row],[Acronym]]</f>
        <v>A2ConsequentialEP_terr</v>
      </c>
      <c r="E88" t="s">
        <v>780</v>
      </c>
      <c r="F88" t="s">
        <v>399</v>
      </c>
      <c r="G88" s="1">
        <v>6.5133979634415307E-2</v>
      </c>
      <c r="H88" s="1">
        <v>9.4590588235294107E-2</v>
      </c>
      <c r="I88" s="1">
        <v>2.0703104864282798E-2</v>
      </c>
      <c r="J88" s="1">
        <v>6.5133979634415307E-2</v>
      </c>
      <c r="K88" s="1">
        <v>3.0571417961174728E-6</v>
      </c>
      <c r="L88" s="1">
        <v>6.4789203164179501E-6</v>
      </c>
      <c r="M88" s="1">
        <v>2.564280484496804E-6</v>
      </c>
      <c r="N88" s="1"/>
      <c r="O88" s="443"/>
      <c r="P88" s="1">
        <v>2.3000000000000001E-4</v>
      </c>
      <c r="Q88" s="1">
        <v>0</v>
      </c>
      <c r="R88" s="1">
        <v>0</v>
      </c>
      <c r="S88" s="1">
        <v>0</v>
      </c>
      <c r="T88" s="1">
        <v>0</v>
      </c>
      <c r="U88" s="1">
        <v>0</v>
      </c>
      <c r="V88" s="1">
        <f ca="1">IFERROR('Dynamic Materials'!Q97+'Dynamic Materials'!AQ97, 0)</f>
        <v>7.3830886627779041E-4</v>
      </c>
      <c r="W88" s="1">
        <f ca="1">'Dynamic Materials'!R97</f>
        <v>6.1103038458205157E-4</v>
      </c>
      <c r="X88" s="1">
        <f ca="1">'Dynamic Materials'!T97</f>
        <v>5.646298828625362E-4</v>
      </c>
      <c r="Y88" s="1">
        <f ca="1">IFERROR('Dynamic Materials'!U97+'Dynamic Materials'!AQ97, 0)</f>
        <v>5.9233008124499051E-4</v>
      </c>
      <c r="Z88" s="1">
        <f ca="1">IFERROR('Dynamic Materials'!S97+'Dynamic Materials'!AQ97, 0)</f>
        <v>6.7372572431602655E-4</v>
      </c>
      <c r="AA88" s="1">
        <f ca="1">'Dynamic Materials'!W97</f>
        <v>1.8711000000000001E-7</v>
      </c>
      <c r="AB88" s="1">
        <v>5.0600000000000003E-3</v>
      </c>
      <c r="AC88" s="1">
        <v>5.0930000000000003E-2</v>
      </c>
      <c r="AD88" s="209">
        <f>BZ88+200*Material_Impacts[[#This Row],[Truck (32+t)]]+1130*CB88</f>
        <v>8.202056096899361E-3</v>
      </c>
      <c r="AE88" s="1">
        <v>4.7499999999999999E-3</v>
      </c>
      <c r="AF88" s="1">
        <v>4.0000000000000002E-4</v>
      </c>
      <c r="AG88" s="1"/>
      <c r="AH88" s="1">
        <v>1.17E-2</v>
      </c>
      <c r="AI88" s="1">
        <f>'Dynamic Materials'!AG97</f>
        <v>9.2900000000000014E-4</v>
      </c>
      <c r="AJ88" s="1">
        <v>4.2000000000000002E-4</v>
      </c>
      <c r="AK88" s="1">
        <v>3.4000000000000002E-4</v>
      </c>
      <c r="AL88" s="1"/>
      <c r="AM88" s="1">
        <f t="shared" si="8"/>
        <v>0</v>
      </c>
      <c r="AN88" s="1">
        <v>4.6999999999999999E-4</v>
      </c>
      <c r="AO88" s="1">
        <v>2.64E-3</v>
      </c>
      <c r="AP88" s="209">
        <v>5.6700000000000003E-7</v>
      </c>
      <c r="AQ88" s="1">
        <f ca="1">'Dynamic Materials'!O97</f>
        <v>5.5086564822195733E-4</v>
      </c>
      <c r="AR88" s="1">
        <f ca="1">'Dynamic Materials'!P97</f>
        <v>-7.0047717592004185E-5</v>
      </c>
      <c r="AS88" s="1"/>
      <c r="AT88" s="1" cm="1">
        <f t="array" aca="1" ref="AT88" ca="1">IFERROR(INDEX(Electricity_projection,MATCH($B88&amp;$A88,INDEX(Electricity_projection,0,3),0),MATCH(YEAR(TODAY()),Timeline_elec_projec,0)+3)*INDEX(Recyc_mat_energy_input,MATCH(AT$1,'Data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6.2491789795740156E-5</v>
      </c>
      <c r="AU88" s="1" cm="1">
        <f t="array" aca="1" ref="AU88" ca="1">IFERROR(INDEX(Electricity_projection,MATCH($B88&amp;$A88,INDEX(Electricity_projection,0,3),0),MATCH(YEAR(TODAY()),Timeline_elec_projec,0)+3)*INDEX(Recyc_mat_energy_input,MATCH(AU$1,'Data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3.9151514086409969E-5</v>
      </c>
      <c r="AV88" s="1" cm="1">
        <f t="array" aca="1" ref="AV88" ca="1">IFERROR(INDEX(Electricity_projection,MATCH($B88&amp;$A88,INDEX(Electricity_projection,0,3),0),MATCH(YEAR(TODAY()),Timeline_elec_projec,0)+3)*INDEX(Recyc_mat_energy_input,MATCH(AV$1,'Data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2.0460537022558879E-5</v>
      </c>
      <c r="AW88" s="1"/>
      <c r="AX88" s="1"/>
      <c r="AY88" s="1"/>
      <c r="AZ88" s="1"/>
      <c r="BA88" s="1"/>
      <c r="BB88" s="1"/>
      <c r="BC88" s="1">
        <f t="shared" si="9"/>
        <v>0</v>
      </c>
      <c r="BD88" s="1"/>
      <c r="BE88" s="1"/>
      <c r="BF88" s="1"/>
      <c r="BG88" s="1">
        <f ca="1">'Dynamic Materials'!V97</f>
        <v>3.5423052302381857E-5</v>
      </c>
      <c r="BH88" s="1"/>
      <c r="BI88" s="1" t="str" cm="1">
        <f t="array" aca="1" ref="BI88" ca="1">IFERROR(INDEX(Electricity_projection,MATCH($B88&amp;$A88,INDEX(Electricity_projection,0,3),0),MATCH(YEAR(TODAY()),Timeline_elec_projec,0)+3)*INDEX(Recyc_mat_energy_input,MATCH(BI$1,'Data Entry'!$B$91:$B$96,0),1)+Diesel_density*INDEX(Recyc_mat_energy_input,MATCH(BI$1,'Data Entry'!$B$91:$B$96,0),2)*INDEX(Indicators,ROW(),MATCH("Diesel Combustion",Materials!$1:$1,0)), "")</f>
        <v/>
      </c>
      <c r="BJ88" s="1"/>
      <c r="BK88" s="1" t="str" cm="1">
        <f t="array" aca="1" ref="BK88" ca="1">IFERROR(INDEX(Electricity_projection,MATCH($B88&amp;$A88,INDEX(Electricity_projection,0,3),0),MATCH(YEAR(TODAY()),Timeline_elec_projec,0)+3)*INDEX(Recyc_mat_energy_input,MATCH(BK$1,'Data Entry'!$B$91:$B$96,0),1)+Diesel_density*INDEX(Recyc_mat_energy_input,MATCH(BK$1,'Data Entry'!$B$91:$B$96,0),2)*INDEX(Indicators,ROW(),MATCH("Diesel Combustion",Materials!$1:$1,0)), "")</f>
        <v/>
      </c>
      <c r="BL88" s="1" t="str" cm="1">
        <f t="array" aca="1" ref="BL88" ca="1">IFERROR(INDEX(Electricity_projection,MATCH($B88&amp;$A88,INDEX(Electricity_projection,0,3),0),MATCH(YEAR(TODAY()),Timeline_elec_projec,0)+3)*INDEX(Recyc_mat_energy_input,MATCH(BL$1,'Data Entry'!$B$91:$B$96,0),1)+Diesel_density*INDEX(Recyc_mat_energy_input,MATCH(BL$1,'Data Entry'!$B$91:$B$96,0),2)*INDEX(Indicators,ROW(),MATCH("Diesel Combustion",Materials!$1:$1,0)), "")</f>
        <v/>
      </c>
      <c r="BM88" s="1"/>
      <c r="BN88" s="1">
        <f>IF(Steel_supplier="Pacific Steel",Material_Impacts[[#This Row],[Pacific Steel]],Material_Impacts[[#This Row],[Infrabuild]])</f>
        <v>0</v>
      </c>
      <c r="BO88" s="1"/>
      <c r="BP88" s="1">
        <v>1.8060000000000001E-3</v>
      </c>
      <c r="BQ88">
        <v>8.8299999999999993E-3</v>
      </c>
      <c r="BR88">
        <v>7.7200000000000003E-3</v>
      </c>
      <c r="BS88" s="443"/>
      <c r="BT88" s="443"/>
      <c r="BU88" s="443"/>
      <c r="BV88" s="443">
        <v>1</v>
      </c>
      <c r="BX88" s="1">
        <v>1.7420000000000001E-2</v>
      </c>
      <c r="BY88" s="1">
        <f t="shared" si="11"/>
        <v>4.0300751879699255E-4</v>
      </c>
      <c r="BZ88">
        <v>6.7400000000000003E-3</v>
      </c>
      <c r="CA88" s="1">
        <v>0</v>
      </c>
      <c r="CB88">
        <v>8.4E-7</v>
      </c>
      <c r="CC88">
        <v>1.149E-2</v>
      </c>
      <c r="CD88" s="378">
        <f t="shared" si="10"/>
        <v>8.0973143999999997E-3</v>
      </c>
      <c r="CE88" s="208">
        <f t="shared" si="12"/>
        <v>1.95873144E-2</v>
      </c>
      <c r="CF88" s="208"/>
      <c r="CG88" s="208"/>
      <c r="CH88" s="208"/>
      <c r="CI88" s="208"/>
      <c r="CJ88" s="208"/>
      <c r="CK88" s="208"/>
      <c r="CL88" s="208"/>
      <c r="CM88" s="209"/>
      <c r="CN88" s="208"/>
      <c r="CP88" s="208"/>
    </row>
    <row r="89" spans="1:94" x14ac:dyDescent="0.35">
      <c r="A89" t="s">
        <v>403</v>
      </c>
      <c r="B89" t="s">
        <v>485</v>
      </c>
      <c r="C89" t="s">
        <v>768</v>
      </c>
      <c r="D89" t="str">
        <f>Material_Impacts[[#This Row],[15804 version]]&amp;Material_Impacts[[#This Row],[Methodology]]&amp;Material_Impacts[[#This Row],[Acronym]]</f>
        <v>A2ConsequentialODP</v>
      </c>
      <c r="E89" t="s">
        <v>781</v>
      </c>
      <c r="F89" t="s">
        <v>402</v>
      </c>
      <c r="G89" s="1">
        <v>8.12191E-7</v>
      </c>
      <c r="H89" s="1">
        <v>8.12191E-7</v>
      </c>
      <c r="I89" s="1">
        <v>8.2098300000000001E-7</v>
      </c>
      <c r="J89" s="1">
        <v>8.12191E-7</v>
      </c>
      <c r="K89" s="1">
        <v>2.1021924471583979E-11</v>
      </c>
      <c r="L89" s="1">
        <v>5.0903091799601106E-11</v>
      </c>
      <c r="M89" s="1">
        <v>1.7702115406160467E-11</v>
      </c>
      <c r="N89" s="1"/>
      <c r="O89" s="443"/>
      <c r="P89" s="1">
        <v>1.21631E-8</v>
      </c>
      <c r="Q89" s="1">
        <v>0</v>
      </c>
      <c r="R89" s="1">
        <v>0</v>
      </c>
      <c r="S89" s="1">
        <v>0</v>
      </c>
      <c r="T89" s="1">
        <v>0</v>
      </c>
      <c r="U89" s="1">
        <v>0</v>
      </c>
      <c r="V89" s="1">
        <f ca="1">IFERROR('Dynamic Materials'!Q98+'Dynamic Materials'!AQ98, 0)</f>
        <v>1.2291926518940958E-4</v>
      </c>
      <c r="W89" s="1">
        <f ca="1">'Dynamic Materials'!R98</f>
        <v>1.2291213081081184E-4</v>
      </c>
      <c r="X89" s="1">
        <f ca="1">'Dynamic Materials'!T98</f>
        <v>1.2290498451083859E-4</v>
      </c>
      <c r="Y89" s="1">
        <f ca="1">IFERROR('Dynamic Materials'!U98+'Dynamic Materials'!AQ98, 0)</f>
        <v>1.2290434578088197E-4</v>
      </c>
      <c r="Z89" s="1">
        <f ca="1">IFERROR('Dynamic Materials'!S98+'Dynamic Materials'!AQ98, 0)</f>
        <v>1.229119095023034E-4</v>
      </c>
      <c r="AA89" s="1">
        <f ca="1">'Dynamic Materials'!W98</f>
        <v>4.026E-12</v>
      </c>
      <c r="AB89" s="1">
        <v>3.9741299999999999E-7</v>
      </c>
      <c r="AC89" s="1">
        <v>3.4008100000000001E-8</v>
      </c>
      <c r="AD89" s="209">
        <f>BZ89+200*Material_Impacts[[#This Row],[Truck (32+t)]]+1130*CB89</f>
        <v>7.5715455318123204E-7</v>
      </c>
      <c r="AE89" s="1">
        <v>5.0469300000000003E-7</v>
      </c>
      <c r="AF89" s="1">
        <v>1.0080999999999999E-8</v>
      </c>
      <c r="AG89" s="1"/>
      <c r="AH89" s="1">
        <v>5.10062E-7</v>
      </c>
      <c r="AI89" s="1">
        <f>'Dynamic Materials'!AG98</f>
        <v>6.7339970000000006E-7</v>
      </c>
      <c r="AJ89" s="1">
        <v>2.1284100000000001E-9</v>
      </c>
      <c r="AK89" s="1">
        <v>1.6166399999999999E-9</v>
      </c>
      <c r="AL89" s="1"/>
      <c r="AM89" s="1">
        <f t="shared" si="8"/>
        <v>0</v>
      </c>
      <c r="AN89" s="1">
        <v>2.0647899999999999E-9</v>
      </c>
      <c r="AO89" s="1">
        <v>1.1245199999999999E-7</v>
      </c>
      <c r="AP89" s="209">
        <v>1.2200000000000001E-11</v>
      </c>
      <c r="AQ89" s="1">
        <f ca="1">'Dynamic Materials'!O98</f>
        <v>4.6164739567059755E-8</v>
      </c>
      <c r="AR89" s="1">
        <f ca="1">'Dynamic Materials'!P98</f>
        <v>3.7761439376185835E-8</v>
      </c>
      <c r="AS89" s="1"/>
      <c r="AT89" s="1" cm="1">
        <f t="array" aca="1" ref="AT89" ca="1">IFERROR(INDEX(Electricity_projection,MATCH($B89&amp;$A89,INDEX(Electricity_projection,0,3),0),MATCH(YEAR(TODAY()),Timeline_elec_projec,0)+3)*INDEX(Recyc_mat_energy_input,MATCH(AT$1,'Data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7.824110384955703E-10</v>
      </c>
      <c r="AU89" s="1" cm="1">
        <f t="array" aca="1" ref="AU89" ca="1">IFERROR(INDEX(Electricity_projection,MATCH($B89&amp;$A89,INDEX(Electricity_projection,0,3),0),MATCH(YEAR(TODAY()),Timeline_elec_projec,0)+3)*INDEX(Recyc_mat_energy_input,MATCH(AU$1,'Data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4.9006661060795442E-10</v>
      </c>
      <c r="AV89" s="1" cm="1">
        <f t="array" aca="1" ref="AV89" ca="1">IFERROR(INDEX(Electricity_projection,MATCH($B89&amp;$A89,INDEX(Electricity_projection,0,3),0),MATCH(YEAR(TODAY()),Timeline_elec_projec,0)+3)*INDEX(Recyc_mat_energy_input,MATCH(AV$1,'Data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2.6232525040931585E-10</v>
      </c>
      <c r="AW89" s="1"/>
      <c r="AX89" s="1"/>
      <c r="AY89" s="1"/>
      <c r="AZ89" s="1"/>
      <c r="BA89" s="1"/>
      <c r="BB89" s="1"/>
      <c r="BC89" s="1">
        <f t="shared" si="9"/>
        <v>0</v>
      </c>
      <c r="BD89" s="1"/>
      <c r="BE89" s="1"/>
      <c r="BF89" s="1"/>
      <c r="BG89" s="1">
        <f ca="1">'Dynamic Materials'!V98</f>
        <v>4.455005693296483E-10</v>
      </c>
      <c r="BH89" s="1"/>
      <c r="BI89" s="1" cm="1">
        <f t="array" aca="1" ref="BI89" ca="1">IFERROR(INDEX(Electricity_projection,MATCH($B89&amp;$A89,INDEX(Electricity_projection,0,3),0),MATCH(YEAR(TODAY()),Timeline_elec_projec,0)+3)*INDEX(Recyc_mat_energy_input,MATCH(BI$1,'Data Entry'!$B$91:$B$96,0),1)+Diesel_density*INDEX(Recyc_mat_energy_input,MATCH(BI$1,'Data Entry'!$B$91:$B$96,0),2)*INDEX(Indicators,ROW(),MATCH("Diesel Combustion",Materials!$1:$1,0)), "")</f>
        <v>0</v>
      </c>
      <c r="BJ89" s="1"/>
      <c r="BK89" s="1" cm="1">
        <f t="array" aca="1" ref="BK89" ca="1">IFERROR(INDEX(Electricity_projection,MATCH($B89&amp;$A89,INDEX(Electricity_projection,0,3),0),MATCH(YEAR(TODAY()),Timeline_elec_projec,0)+3)*INDEX(Recyc_mat_energy_input,MATCH(BK$1,'Data Entry'!$B$91:$B$96,0),1)+Diesel_density*INDEX(Recyc_mat_energy_input,MATCH(BK$1,'Data Entry'!$B$91:$B$96,0),2)*INDEX(Indicators,ROW(),MATCH("Diesel Combustion",Materials!$1:$1,0)), "")</f>
        <v>3.5856608268000004E-10</v>
      </c>
      <c r="BL89" s="1" cm="1">
        <f t="array" aca="1" ref="BL89" ca="1">IFERROR(INDEX(Electricity_projection,MATCH($B89&amp;$A89,INDEX(Electricity_projection,0,3),0),MATCH(YEAR(TODAY()),Timeline_elec_projec,0)+3)*INDEX(Recyc_mat_energy_input,MATCH(BL$1,'Data Entry'!$B$91:$B$96,0),1)+Diesel_density*INDEX(Recyc_mat_energy_input,MATCH(BL$1,'Data Entry'!$B$91:$B$96,0),2)*INDEX(Indicators,ROW(),MATCH("Diesel Combustion",Materials!$1:$1,0)), "")</f>
        <v>2.6782245808196976E-11</v>
      </c>
      <c r="BM89" s="1"/>
      <c r="BN89" s="1">
        <f>IF(Steel_supplier="Pacific Steel",Material_Impacts[[#This Row],[Pacific Steel]],Material_Impacts[[#This Row],[Infrabuild]])</f>
        <v>0</v>
      </c>
      <c r="BO89" s="1"/>
      <c r="BP89" s="1">
        <v>4.0909554999999999E-9</v>
      </c>
      <c r="BQ89" s="1">
        <v>8.2098300000000001E-7</v>
      </c>
      <c r="BR89" s="1">
        <v>8.12191E-7</v>
      </c>
      <c r="BS89" s="443"/>
      <c r="BT89" s="443"/>
      <c r="BU89" s="443"/>
      <c r="BV89" s="443">
        <v>1</v>
      </c>
      <c r="BW89" s="1"/>
      <c r="BX89" s="1">
        <v>5.5145799999999999E-8</v>
      </c>
      <c r="BY89" s="1">
        <f t="shared" si="11"/>
        <v>1.2757848467322151E-9</v>
      </c>
      <c r="BZ89" s="1">
        <v>7.5146399999999998E-7</v>
      </c>
      <c r="CA89" s="1">
        <v>0</v>
      </c>
      <c r="CB89">
        <v>1.90277E-12</v>
      </c>
      <c r="CC89" s="1">
        <v>5.0882800000000003E-7</v>
      </c>
      <c r="CD89" s="378">
        <f t="shared" si="10"/>
        <v>1.8342055858199999E-8</v>
      </c>
      <c r="CE89" s="208">
        <f t="shared" si="12"/>
        <v>5.2717005585820003E-7</v>
      </c>
      <c r="CF89" s="208"/>
      <c r="CG89" s="208"/>
      <c r="CH89" s="208"/>
      <c r="CI89" s="208"/>
      <c r="CJ89" s="208"/>
      <c r="CK89" s="209"/>
      <c r="CL89" s="209"/>
      <c r="CM89" s="209"/>
      <c r="CN89" s="208"/>
      <c r="CP89" s="208"/>
    </row>
    <row r="90" spans="1:94" x14ac:dyDescent="0.35">
      <c r="A90" t="s">
        <v>531</v>
      </c>
      <c r="B90" t="s">
        <v>485</v>
      </c>
      <c r="C90" t="s">
        <v>768</v>
      </c>
      <c r="D90" t="str">
        <f>Material_Impacts[[#This Row],[15804 version]]&amp;Material_Impacts[[#This Row],[Methodology]]&amp;Material_Impacts[[#This Row],[Acronym]]</f>
        <v>A2ConsequentialPOFP</v>
      </c>
      <c r="E90" t="s">
        <v>782</v>
      </c>
      <c r="F90" t="s">
        <v>783</v>
      </c>
      <c r="G90" s="1">
        <v>1.3933457541732199E-2</v>
      </c>
      <c r="H90" s="1">
        <v>2.4959984352941198E-2</v>
      </c>
      <c r="I90" s="1">
        <v>4.7833488322554796E-3</v>
      </c>
      <c r="J90" s="1">
        <v>1.3933457541732199E-2</v>
      </c>
      <c r="K90" s="1">
        <v>5.6078141308622924E-7</v>
      </c>
      <c r="L90" s="1">
        <v>1.2036047994435221E-6</v>
      </c>
      <c r="M90" s="1">
        <v>4.7046793127977664E-7</v>
      </c>
      <c r="N90" s="1"/>
      <c r="O90" s="443"/>
      <c r="P90" s="1">
        <v>8.3188099999999997E-5</v>
      </c>
      <c r="Q90" s="1">
        <v>0</v>
      </c>
      <c r="R90" s="1">
        <v>0</v>
      </c>
      <c r="S90" s="1">
        <v>0</v>
      </c>
      <c r="T90" s="1">
        <v>0</v>
      </c>
      <c r="U90" s="1">
        <v>0</v>
      </c>
      <c r="V90" s="1">
        <f ca="1">IFERROR('Dynamic Materials'!Q99+'Dynamic Materials'!AQ99, 0)</f>
        <v>3.5518992084110986E-4</v>
      </c>
      <c r="W90" s="1">
        <f ca="1">'Dynamic Materials'!R99</f>
        <v>3.9164778308163064E-4</v>
      </c>
      <c r="X90" s="1">
        <f ca="1">'Dynamic Materials'!T99</f>
        <v>3.5824693896231285E-4</v>
      </c>
      <c r="Y90" s="1">
        <f ca="1">IFERROR('Dynamic Materials'!U99+'Dynamic Materials'!AQ99, 0)</f>
        <v>2.9520419042004722E-4</v>
      </c>
      <c r="Z90" s="1">
        <f ca="1">IFERROR('Dynamic Materials'!S99+'Dynamic Materials'!AQ99, 0)</f>
        <v>3.2699734275615222E-4</v>
      </c>
      <c r="AA90" s="1">
        <f ca="1">'Dynamic Materials'!W99</f>
        <v>5.1150000000000005E-8</v>
      </c>
      <c r="AB90" s="1">
        <v>3.6119999999999999E-2</v>
      </c>
      <c r="AC90" s="1">
        <v>1.7080000000000001E-2</v>
      </c>
      <c r="AD90" s="209">
        <f>BZ90+200*Material_Impacts[[#This Row],[Truck (32+t)]]+1130*CB90</f>
        <v>3.1926935862559552E-3</v>
      </c>
      <c r="AE90" s="1">
        <v>1.9400000000000001E-3</v>
      </c>
      <c r="AF90" s="1">
        <v>1.2099999999999999E-3</v>
      </c>
      <c r="AG90" s="1"/>
      <c r="AH90" s="1">
        <v>4.2300000000000003E-3</v>
      </c>
      <c r="AI90" s="1">
        <f>'Dynamic Materials'!AG99</f>
        <v>5.2759999999999994E-3</v>
      </c>
      <c r="AJ90" s="1">
        <v>1.1E-4</v>
      </c>
      <c r="AK90" s="1">
        <v>9.0274700000000005E-5</v>
      </c>
      <c r="AL90" s="1"/>
      <c r="AM90" s="1">
        <f t="shared" si="8"/>
        <v>0</v>
      </c>
      <c r="AN90" s="1">
        <v>1.2999999999999999E-4</v>
      </c>
      <c r="AO90" s="1">
        <v>9.5E-4</v>
      </c>
      <c r="AP90" s="209">
        <v>1.55E-7</v>
      </c>
      <c r="AQ90" s="1">
        <f ca="1">'Dynamic Materials'!O99</f>
        <v>2.0413726666208295E-4</v>
      </c>
      <c r="AR90" s="1">
        <f ca="1">'Dynamic Materials'!P99</f>
        <v>3.5121565148672561E-4</v>
      </c>
      <c r="AS90" s="1"/>
      <c r="AT90" s="1" cm="1">
        <f t="array" aca="1" ref="AT90" ca="1">IFERROR(INDEX(Electricity_projection,MATCH($B90&amp;$A90,INDEX(Electricity_projection,0,3),0),MATCH(YEAR(TODAY()),Timeline_elec_projec,0)+3)*INDEX(Recyc_mat_energy_input,MATCH(AT$1,'Data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1.3378352645452827E-5</v>
      </c>
      <c r="AU90" s="1" cm="1">
        <f t="array" aca="1" ref="AU90" ca="1">IFERROR(INDEX(Electricity_projection,MATCH($B90&amp;$A90,INDEX(Electricity_projection,0,3),0),MATCH(YEAR(TODAY()),Timeline_elec_projec,0)+3)*INDEX(Recyc_mat_energy_input,MATCH(AU$1,'Data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8.3752898606748914E-6</v>
      </c>
      <c r="AV90" s="1" cm="1">
        <f t="array" aca="1" ref="AV90" ca="1">IFERROR(INDEX(Electricity_projection,MATCH($B90&amp;$A90,INDEX(Electricity_projection,0,3),0),MATCH(YEAR(TODAY()),Timeline_elec_projec,0)+3)*INDEX(Recyc_mat_energy_input,MATCH(AV$1,'Data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4.3769170175843356E-6</v>
      </c>
      <c r="AW90" s="1"/>
      <c r="AX90" s="1"/>
      <c r="AY90" s="1"/>
      <c r="AZ90" s="1"/>
      <c r="BA90" s="1"/>
      <c r="BB90" s="1"/>
      <c r="BC90" s="1">
        <f t="shared" si="9"/>
        <v>0</v>
      </c>
      <c r="BD90" s="1"/>
      <c r="BE90" s="1"/>
      <c r="BF90" s="1"/>
      <c r="BG90" s="1">
        <f ca="1">'Dynamic Materials'!V99</f>
        <v>7.5878097262432809E-6</v>
      </c>
      <c r="BH90" s="1"/>
      <c r="BI90" s="1" t="str" cm="1">
        <f t="array" aca="1" ref="BI90" ca="1">IFERROR(INDEX(Electricity_projection,MATCH($B90&amp;$A90,INDEX(Electricity_projection,0,3),0),MATCH(YEAR(TODAY()),Timeline_elec_projec,0)+3)*INDEX(Recyc_mat_energy_input,MATCH(BI$1,'Data Entry'!$B$91:$B$96,0),1)+Diesel_density*INDEX(Recyc_mat_energy_input,MATCH(BI$1,'Data Entry'!$B$91:$B$96,0),2)*INDEX(Indicators,ROW(),MATCH("Diesel Combustion",Materials!$1:$1,0)), "")</f>
        <v/>
      </c>
      <c r="BJ90" s="1"/>
      <c r="BK90" s="1" t="str" cm="1">
        <f t="array" aca="1" ref="BK90" ca="1">IFERROR(INDEX(Electricity_projection,MATCH($B90&amp;$A90,INDEX(Electricity_projection,0,3),0),MATCH(YEAR(TODAY()),Timeline_elec_projec,0)+3)*INDEX(Recyc_mat_energy_input,MATCH(BK$1,'Data Entry'!$B$91:$B$96,0),1)+Diesel_density*INDEX(Recyc_mat_energy_input,MATCH(BK$1,'Data Entry'!$B$91:$B$96,0),2)*INDEX(Indicators,ROW(),MATCH("Diesel Combustion",Materials!$1:$1,0)), "")</f>
        <v/>
      </c>
      <c r="BL90" s="1" t="str" cm="1">
        <f t="array" aca="1" ref="BL90" ca="1">IFERROR(INDEX(Electricity_projection,MATCH($B90&amp;$A90,INDEX(Electricity_projection,0,3),0),MATCH(YEAR(TODAY()),Timeline_elec_projec,0)+3)*INDEX(Recyc_mat_energy_input,MATCH(BL$1,'Data Entry'!$B$91:$B$96,0),1)+Diesel_density*INDEX(Recyc_mat_energy_input,MATCH(BL$1,'Data Entry'!$B$91:$B$96,0),2)*INDEX(Indicators,ROW(),MATCH("Diesel Combustion",Materials!$1:$1,0)), "")</f>
        <v/>
      </c>
      <c r="BM90" s="1"/>
      <c r="BN90" s="1">
        <f>IF(Steel_supplier="Pacific Steel",Material_Impacts[[#This Row],[Pacific Steel]],Material_Impacts[[#This Row],[Infrabuild]])</f>
        <v>0</v>
      </c>
      <c r="BO90" s="1"/>
      <c r="BP90" s="1">
        <v>4.73E-4</v>
      </c>
      <c r="BQ90">
        <v>3.46E-3</v>
      </c>
      <c r="BR90">
        <v>3.16E-3</v>
      </c>
      <c r="BS90" s="443"/>
      <c r="BT90" s="443"/>
      <c r="BU90" s="443"/>
      <c r="BV90" s="443">
        <v>1</v>
      </c>
      <c r="BX90" s="1">
        <v>4.47E-3</v>
      </c>
      <c r="BY90" s="1">
        <f t="shared" si="11"/>
        <v>1.0341237709658762E-4</v>
      </c>
      <c r="BZ90">
        <v>2.8500000000000001E-3</v>
      </c>
      <c r="CA90" s="1">
        <v>0</v>
      </c>
      <c r="CB90">
        <v>2.2000000000000001E-7</v>
      </c>
      <c r="CC90">
        <v>4.1700000000000001E-3</v>
      </c>
      <c r="CD90" s="378">
        <f t="shared" si="10"/>
        <v>2.1207252E-3</v>
      </c>
      <c r="CE90" s="208">
        <f t="shared" si="12"/>
        <v>6.2907251999999997E-3</v>
      </c>
      <c r="CF90" s="208"/>
      <c r="CG90" s="208"/>
      <c r="CH90" s="208"/>
      <c r="CI90" s="208"/>
      <c r="CJ90" s="208"/>
      <c r="CK90" s="208"/>
      <c r="CL90" s="208"/>
      <c r="CM90" s="209"/>
      <c r="CN90" s="208"/>
      <c r="CP90" s="208"/>
    </row>
    <row r="91" spans="1:94" x14ac:dyDescent="0.35">
      <c r="A91" t="s">
        <v>406</v>
      </c>
      <c r="B91" t="s">
        <v>485</v>
      </c>
      <c r="C91" t="s">
        <v>768</v>
      </c>
      <c r="D91" t="str">
        <f>Material_Impacts[[#This Row],[15804 version]]&amp;Material_Impacts[[#This Row],[Methodology]]&amp;Material_Impacts[[#This Row],[Acronym]]</f>
        <v>A2ConsequentialWS</v>
      </c>
      <c r="E91" t="s">
        <v>784</v>
      </c>
      <c r="F91" t="s">
        <v>405</v>
      </c>
      <c r="G91" s="1">
        <v>2.9590000000000002E-2</v>
      </c>
      <c r="H91" s="1">
        <v>2.9590000000000002E-2</v>
      </c>
      <c r="I91" s="1">
        <v>3.3739999999999999E-2</v>
      </c>
      <c r="J91" s="1">
        <v>2.9590000000000002E-2</v>
      </c>
      <c r="K91" s="1">
        <v>7.6587741690583871E-7</v>
      </c>
      <c r="L91" s="1">
        <v>1.8545175781930564E-6</v>
      </c>
      <c r="M91" s="1">
        <v>6.4492908055899197E-7</v>
      </c>
      <c r="N91" s="1"/>
      <c r="O91" s="443"/>
      <c r="P91" s="1">
        <v>1.8400000000000001E-3</v>
      </c>
      <c r="Q91" s="1">
        <v>0</v>
      </c>
      <c r="R91" s="1">
        <v>0</v>
      </c>
      <c r="S91" s="1">
        <v>0</v>
      </c>
      <c r="T91" s="1">
        <v>0</v>
      </c>
      <c r="U91" s="1">
        <v>0</v>
      </c>
      <c r="V91" s="1">
        <f ca="1">IFERROR('Dynamic Materials'!Q100+'Dynamic Materials'!AQ100, 0)</f>
        <v>8.5910106939639953E-3</v>
      </c>
      <c r="W91" s="1">
        <f ca="1">'Dynamic Materials'!R100</f>
        <v>2.7314614421820385E-3</v>
      </c>
      <c r="X91" s="1">
        <f ca="1">'Dynamic Materials'!T100</f>
        <v>8.6438260868348989E-3</v>
      </c>
      <c r="Y91" s="1">
        <f ca="1">IFERROR('Dynamic Materials'!U100+'Dynamic Materials'!AQ100, 0)</f>
        <v>1.3566776139841159E-2</v>
      </c>
      <c r="Z91" s="1">
        <f ca="1">IFERROR('Dynamic Materials'!S100+'Dynamic Materials'!AQ100, 0)</f>
        <v>1.3666296874076576E-2</v>
      </c>
      <c r="AA91" s="1">
        <f ca="1">'Dynamic Materials'!W100</f>
        <v>1.4209800000000002E-2</v>
      </c>
      <c r="AB91" s="1">
        <v>0.14224000000000001</v>
      </c>
      <c r="AC91" s="1">
        <v>5.2462999999999997</v>
      </c>
      <c r="AD91" s="209">
        <f>BZ91+200*Material_Impacts[[#This Row],[Truck (32+t)]]+1130*CB91</f>
        <v>2.2898385816111796E-2</v>
      </c>
      <c r="AE91" s="1">
        <v>4.6690000000000002E-2</v>
      </c>
      <c r="AF91" s="1">
        <v>1.357E-2</v>
      </c>
      <c r="AG91" s="1"/>
      <c r="AH91" s="1">
        <v>0.96031</v>
      </c>
      <c r="AI91" s="1">
        <f>'Dynamic Materials'!AG100</f>
        <v>-0.31193300000000002</v>
      </c>
      <c r="AJ91" s="1">
        <v>1.545E-2</v>
      </c>
      <c r="AK91" s="1">
        <v>5.4200000000000003E-3</v>
      </c>
      <c r="AL91" s="1"/>
      <c r="AM91" s="1">
        <f t="shared" si="8"/>
        <v>0</v>
      </c>
      <c r="AN91" s="1">
        <v>1.8259999999999998E-2</v>
      </c>
      <c r="AO91" s="1">
        <v>0.21862000000000001</v>
      </c>
      <c r="AP91" s="209">
        <v>4.3060000000000001E-2</v>
      </c>
      <c r="AQ91" s="1">
        <f ca="1">'Dynamic Materials'!O100</f>
        <v>1.3543436797982507E-2</v>
      </c>
      <c r="AR91" s="1">
        <f ca="1">'Dynamic Materials'!P100</f>
        <v>-1.7030636350984191E-2</v>
      </c>
      <c r="AS91" s="1"/>
      <c r="AT91" s="1" cm="1">
        <f t="array" aca="1" ref="AT91" ca="1">IFERROR(INDEX(Electricity_projection,MATCH($B91&amp;$A91,INDEX(Electricity_projection,0,3),0),MATCH(YEAR(TODAY()),Timeline_elec_projec,0)+3)*INDEX(Recyc_mat_energy_input,MATCH(AT$1,'Data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1.2946312392570001E-2</v>
      </c>
      <c r="AU91" s="1" cm="1">
        <f t="array" aca="1" ref="AU91" ca="1">IFERROR(INDEX(Electricity_projection,MATCH($B91&amp;$A91,INDEX(Electricity_projection,0,3),0),MATCH(YEAR(TODAY()),Timeline_elec_projec,0)+3)*INDEX(Recyc_mat_energy_input,MATCH(AU$1,'Data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1.7786312280000001E-5</v>
      </c>
      <c r="AV91" s="1" cm="1">
        <f t="array" aca="1" ref="AV91" ca="1">IFERROR(INDEX(Electricity_projection,MATCH($B91&amp;$A91,INDEX(Electricity_projection,0,3),0),MATCH(YEAR(TODAY()),Timeline_elec_projec,0)+3)*INDEX(Recyc_mat_energy_input,MATCH(AV$1,'Data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9.2951066999999995E-6</v>
      </c>
      <c r="AW91" s="1"/>
      <c r="AX91" s="1"/>
      <c r="AY91" s="1"/>
      <c r="AZ91" s="1"/>
      <c r="BA91" s="1"/>
      <c r="BB91" s="1"/>
      <c r="BC91" s="1">
        <f t="shared" si="9"/>
        <v>0</v>
      </c>
      <c r="BD91" s="1"/>
      <c r="BE91" s="1"/>
      <c r="BF91" s="1"/>
      <c r="BG91" s="1">
        <f ca="1">'Dynamic Materials'!V100</f>
        <v>1.2934015217625001E-2</v>
      </c>
      <c r="BH91" s="1"/>
      <c r="BI91" s="1" t="str" cm="1">
        <f t="array" aca="1" ref="BI91" ca="1">IFERROR(INDEX(Electricity_projection,MATCH($B91&amp;$A91,INDEX(Electricity_projection,0,3),0),MATCH(YEAR(TODAY()),Timeline_elec_projec,0)+3)*INDEX(Recyc_mat_energy_input,MATCH(BI$1,'Data Entry'!$B$91:$B$96,0),1)+Diesel_density*INDEX(Recyc_mat_energy_input,MATCH(BI$1,'Data Entry'!$B$91:$B$96,0),2)*INDEX(Indicators,ROW(),MATCH("Diesel Combustion",Materials!$1:$1,0)), "")</f>
        <v/>
      </c>
      <c r="BJ91" s="1"/>
      <c r="BK91" s="1" t="str" cm="1">
        <f t="array" aca="1" ref="BK91" ca="1">IFERROR(INDEX(Electricity_projection,MATCH($B91&amp;$A91,INDEX(Electricity_projection,0,3),0),MATCH(YEAR(TODAY()),Timeline_elec_projec,0)+3)*INDEX(Recyc_mat_energy_input,MATCH(BK$1,'Data Entry'!$B$91:$B$96,0),1)+Diesel_density*INDEX(Recyc_mat_energy_input,MATCH(BK$1,'Data Entry'!$B$91:$B$96,0),2)*INDEX(Indicators,ROW(),MATCH("Diesel Combustion",Materials!$1:$1,0)), "")</f>
        <v/>
      </c>
      <c r="BL91" s="1" t="str" cm="1">
        <f t="array" aca="1" ref="BL91" ca="1">IFERROR(INDEX(Electricity_projection,MATCH($B91&amp;$A91,INDEX(Electricity_projection,0,3),0),MATCH(YEAR(TODAY()),Timeline_elec_projec,0)+3)*INDEX(Recyc_mat_energy_input,MATCH(BL$1,'Data Entry'!$B$91:$B$96,0),1)+Diesel_density*INDEX(Recyc_mat_energy_input,MATCH(BL$1,'Data Entry'!$B$91:$B$96,0),2)*INDEX(Indicators,ROW(),MATCH("Diesel Combustion",Materials!$1:$1,0)), "")</f>
        <v/>
      </c>
      <c r="BM91" s="1"/>
      <c r="BN91" s="1">
        <f>IF(Steel_supplier="Pacific Steel",Material_Impacts[[#This Row],[Pacific Steel]],Material_Impacts[[#This Row],[Infrabuild]])</f>
        <v>0</v>
      </c>
      <c r="BO91" s="1"/>
      <c r="BP91" s="1">
        <v>8.1700000000000002E-4</v>
      </c>
      <c r="BQ91">
        <v>3.3739999999999999E-2</v>
      </c>
      <c r="BR91">
        <v>2.9590000000000002E-2</v>
      </c>
      <c r="BS91" s="443"/>
      <c r="BT91" s="443"/>
      <c r="BU91" s="443"/>
      <c r="BV91" s="443">
        <v>1</v>
      </c>
      <c r="BX91" s="1">
        <v>6.5399999999999998E-3</v>
      </c>
      <c r="BY91" s="1">
        <f t="shared" si="11"/>
        <v>1.5130133024869867E-4</v>
      </c>
      <c r="BZ91">
        <v>2.2339999999999999E-2</v>
      </c>
      <c r="CA91" s="1">
        <v>0</v>
      </c>
      <c r="CB91">
        <v>3.8000000000000001E-7</v>
      </c>
      <c r="CC91">
        <v>0.94186999999999999</v>
      </c>
      <c r="CD91" s="378">
        <f t="shared" si="10"/>
        <v>3.6630707999999999E-3</v>
      </c>
      <c r="CE91" s="208">
        <f t="shared" si="12"/>
        <v>0.94553307079999993</v>
      </c>
      <c r="CF91" s="208"/>
      <c r="CG91" s="208"/>
      <c r="CH91" s="208"/>
      <c r="CI91" s="208"/>
      <c r="CJ91" s="208"/>
      <c r="CK91" s="208"/>
      <c r="CL91" s="208"/>
      <c r="CM91" s="208"/>
      <c r="CN91" s="208"/>
      <c r="CP91" s="208"/>
    </row>
    <row r="92" spans="1:94" x14ac:dyDescent="0.35">
      <c r="A92" t="s">
        <v>534</v>
      </c>
      <c r="B92" t="s">
        <v>485</v>
      </c>
      <c r="C92" t="s">
        <v>768</v>
      </c>
      <c r="D92" t="str">
        <f>Material_Impacts[[#This Row],[15804 version]]&amp;Material_Impacts[[#This Row],[Methodology]]&amp;Material_Impacts[[#This Row],[Acronym]]</f>
        <v>A2ConsequentialCRU</v>
      </c>
      <c r="E92" t="s">
        <v>745</v>
      </c>
      <c r="F92" t="s">
        <v>746</v>
      </c>
      <c r="G92" s="1">
        <v>0</v>
      </c>
      <c r="H92" s="1">
        <v>0</v>
      </c>
      <c r="I92" s="1">
        <v>0</v>
      </c>
      <c r="J92" s="1">
        <v>0</v>
      </c>
      <c r="K92" s="1">
        <v>0</v>
      </c>
      <c r="L92" s="1">
        <v>0</v>
      </c>
      <c r="M92" s="1">
        <v>0</v>
      </c>
      <c r="N92" s="1"/>
      <c r="O92" s="443"/>
      <c r="P92" s="1">
        <v>0</v>
      </c>
      <c r="Q92" s="1">
        <v>0</v>
      </c>
      <c r="R92" s="1">
        <v>0</v>
      </c>
      <c r="S92" s="1">
        <v>0</v>
      </c>
      <c r="T92" s="1">
        <v>0</v>
      </c>
      <c r="U92" s="1">
        <v>0</v>
      </c>
      <c r="V92" s="1">
        <f ca="1">IFERROR('Dynamic Materials'!Q101+'Dynamic Materials'!AQ101, 0)</f>
        <v>1.2286007609406925E-4</v>
      </c>
      <c r="W92" s="1">
        <f ca="1">'Dynamic Materials'!R101</f>
        <v>1.2286007609406925E-4</v>
      </c>
      <c r="X92" s="1">
        <f ca="1">'Dynamic Materials'!T101</f>
        <v>1.2286007609406925E-4</v>
      </c>
      <c r="Y92" s="1">
        <f ca="1">IFERROR('Dynamic Materials'!U101+'Dynamic Materials'!AQ101, 0)</f>
        <v>1.2286007609406925E-4</v>
      </c>
      <c r="Z92" s="1">
        <f ca="1">IFERROR('Dynamic Materials'!S101+'Dynamic Materials'!AQ101, 0)</f>
        <v>1.2286007609406925E-4</v>
      </c>
      <c r="AA92" s="1">
        <f ca="1">'Dynamic Materials'!W101</f>
        <v>0</v>
      </c>
      <c r="AB92" s="1">
        <v>0</v>
      </c>
      <c r="AC92" s="1">
        <v>0</v>
      </c>
      <c r="AD92" s="209">
        <f>BZ92+200*Material_Impacts[[#This Row],[Truck (32+t)]]+1130*CB92</f>
        <v>0</v>
      </c>
      <c r="AE92" s="1">
        <v>0</v>
      </c>
      <c r="AF92" s="1">
        <v>0</v>
      </c>
      <c r="AG92" s="1"/>
      <c r="AH92" s="1">
        <v>0</v>
      </c>
      <c r="AI92" s="1">
        <f>'Dynamic Materials'!AG101</f>
        <v>0</v>
      </c>
      <c r="AJ92" s="1">
        <v>0</v>
      </c>
      <c r="AK92" s="1">
        <v>0</v>
      </c>
      <c r="AL92" s="1"/>
      <c r="AM92" s="1">
        <f t="shared" si="8"/>
        <v>0</v>
      </c>
      <c r="AN92" s="1">
        <v>0</v>
      </c>
      <c r="AO92" s="1">
        <v>0</v>
      </c>
      <c r="AP92" s="209">
        <v>0</v>
      </c>
      <c r="AQ92" s="1">
        <f ca="1">'Dynamic Materials'!O101</f>
        <v>0</v>
      </c>
      <c r="AR92" s="1">
        <f ca="1">'Dynamic Materials'!P101</f>
        <v>0</v>
      </c>
      <c r="AS92" s="1"/>
      <c r="AT92" s="1" cm="1">
        <f t="array" aca="1" ref="AT92" ca="1">IFERROR(INDEX(Electricity_projection,MATCH($B92&amp;$A92,INDEX(Electricity_projection,0,3),0),MATCH(YEAR(TODAY()),Timeline_elec_projec,0)+3)*INDEX(Recyc_mat_energy_input,MATCH(AT$1,'Data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92" s="1" cm="1">
        <f t="array" aca="1" ref="AU92" ca="1">IFERROR(INDEX(Electricity_projection,MATCH($B92&amp;$A92,INDEX(Electricity_projection,0,3),0),MATCH(YEAR(TODAY()),Timeline_elec_projec,0)+3)*INDEX(Recyc_mat_energy_input,MATCH(AU$1,'Data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92" s="1" cm="1">
        <f t="array" aca="1" ref="AV92" ca="1">IFERROR(INDEX(Electricity_projection,MATCH($B92&amp;$A92,INDEX(Electricity_projection,0,3),0),MATCH(YEAR(TODAY()),Timeline_elec_projec,0)+3)*INDEX(Recyc_mat_energy_input,MATCH(AV$1,'Data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92" s="1"/>
      <c r="AX92" s="1"/>
      <c r="AY92" s="1"/>
      <c r="AZ92" s="1"/>
      <c r="BA92" s="1"/>
      <c r="BB92" s="1"/>
      <c r="BC92" s="1">
        <f t="shared" si="9"/>
        <v>0</v>
      </c>
      <c r="BD92" s="1"/>
      <c r="BE92" s="1"/>
      <c r="BF92" s="1"/>
      <c r="BG92" s="1">
        <f ca="1">'Dynamic Materials'!V101</f>
        <v>0</v>
      </c>
      <c r="BH92" s="1"/>
      <c r="BI92" s="1" t="str" cm="1">
        <f t="array" aca="1" ref="BI92" ca="1">IFERROR(INDEX(Electricity_projection,MATCH($B92&amp;$A92,INDEX(Electricity_projection,0,3),0),MATCH(YEAR(TODAY()),Timeline_elec_projec,0)+3)*INDEX(Recyc_mat_energy_input,MATCH(BI$1,'Data Entry'!$B$91:$B$96,0),1)+Diesel_density*INDEX(Recyc_mat_energy_input,MATCH(BI$1,'Data Entry'!$B$91:$B$96,0),2)*INDEX(Indicators,ROW(),MATCH("Diesel Combustion",Materials!$1:$1,0)), "")</f>
        <v/>
      </c>
      <c r="BJ92" s="1"/>
      <c r="BK92" s="1" t="str" cm="1">
        <f t="array" aca="1" ref="BK92" ca="1">IFERROR(INDEX(Electricity_projection,MATCH($B92&amp;$A92,INDEX(Electricity_projection,0,3),0),MATCH(YEAR(TODAY()),Timeline_elec_projec,0)+3)*INDEX(Recyc_mat_energy_input,MATCH(BK$1,'Data Entry'!$B$91:$B$96,0),1)+Diesel_density*INDEX(Recyc_mat_energy_input,MATCH(BK$1,'Data Entry'!$B$91:$B$96,0),2)*INDEX(Indicators,ROW(),MATCH("Diesel Combustion",Materials!$1:$1,0)), "")</f>
        <v/>
      </c>
      <c r="BL92" s="1" t="str" cm="1">
        <f t="array" aca="1" ref="BL92" ca="1">IFERROR(INDEX(Electricity_projection,MATCH($B92&amp;$A92,INDEX(Electricity_projection,0,3),0),MATCH(YEAR(TODAY()),Timeline_elec_projec,0)+3)*INDEX(Recyc_mat_energy_input,MATCH(BL$1,'Data Entry'!$B$91:$B$96,0),1)+Diesel_density*INDEX(Recyc_mat_energy_input,MATCH(BL$1,'Data Entry'!$B$91:$B$96,0),2)*INDEX(Indicators,ROW(),MATCH("Diesel Combustion",Materials!$1:$1,0)), "")</f>
        <v/>
      </c>
      <c r="BM92" s="1"/>
      <c r="BN92" s="1">
        <f>IF(Steel_supplier="Pacific Steel",Material_Impacts[[#This Row],[Pacific Steel]],Material_Impacts[[#This Row],[Infrabuild]])</f>
        <v>0</v>
      </c>
      <c r="BO92" s="1"/>
      <c r="BP92" s="1">
        <v>0</v>
      </c>
      <c r="BQ92">
        <v>0</v>
      </c>
      <c r="BR92">
        <v>0</v>
      </c>
      <c r="BS92" s="443"/>
      <c r="BT92" s="443"/>
      <c r="BU92" s="443"/>
      <c r="BV92" s="443">
        <v>1</v>
      </c>
      <c r="BX92" s="1">
        <v>0</v>
      </c>
      <c r="BY92" s="1">
        <f t="shared" si="11"/>
        <v>0</v>
      </c>
      <c r="BZ92">
        <v>0</v>
      </c>
      <c r="CA92" s="1">
        <v>0</v>
      </c>
      <c r="CB92">
        <v>0</v>
      </c>
      <c r="CC92">
        <v>0</v>
      </c>
      <c r="CD92" s="378">
        <f t="shared" si="10"/>
        <v>0</v>
      </c>
      <c r="CE92" s="208">
        <f t="shared" si="12"/>
        <v>0</v>
      </c>
      <c r="CF92" s="208"/>
      <c r="CG92" s="208"/>
      <c r="CH92" s="208"/>
      <c r="CI92" s="208"/>
      <c r="CJ92" s="208"/>
      <c r="CK92" s="208"/>
      <c r="CL92" s="208"/>
      <c r="CM92" s="208"/>
      <c r="CN92" s="208"/>
      <c r="CP92" s="208"/>
    </row>
    <row r="93" spans="1:94" x14ac:dyDescent="0.35">
      <c r="A93" t="s">
        <v>499</v>
      </c>
      <c r="B93" t="s">
        <v>485</v>
      </c>
      <c r="C93" t="s">
        <v>768</v>
      </c>
      <c r="D93" t="str">
        <f>Material_Impacts[[#This Row],[15804 version]]&amp;Material_Impacts[[#This Row],[Methodology]]&amp;Material_Impacts[[#This Row],[Acronym]]</f>
        <v>A2ConsequentialEE</v>
      </c>
      <c r="E93" t="s">
        <v>747</v>
      </c>
      <c r="F93" t="s">
        <v>748</v>
      </c>
      <c r="G93" s="1">
        <v>0</v>
      </c>
      <c r="H93" s="1">
        <v>0</v>
      </c>
      <c r="I93" s="1">
        <v>0</v>
      </c>
      <c r="J93" s="1">
        <v>0</v>
      </c>
      <c r="K93" s="1">
        <v>0</v>
      </c>
      <c r="L93" s="1">
        <v>0</v>
      </c>
      <c r="M93" s="1">
        <v>0</v>
      </c>
      <c r="N93" s="1"/>
      <c r="O93" s="443"/>
      <c r="P93" s="1">
        <v>0</v>
      </c>
      <c r="Q93" s="1">
        <v>0</v>
      </c>
      <c r="R93" s="1">
        <v>0</v>
      </c>
      <c r="S93" s="1">
        <v>0</v>
      </c>
      <c r="T93" s="1">
        <v>0</v>
      </c>
      <c r="U93" s="1">
        <v>0</v>
      </c>
      <c r="V93" s="1">
        <f ca="1">IFERROR('Dynamic Materials'!Q102+'Dynamic Materials'!AQ102, 0)</f>
        <v>1.2286007609406925E-4</v>
      </c>
      <c r="W93" s="1">
        <f ca="1">'Dynamic Materials'!R102</f>
        <v>1.2286007609406925E-4</v>
      </c>
      <c r="X93" s="1">
        <f ca="1">'Dynamic Materials'!T102</f>
        <v>1.2286007609406925E-4</v>
      </c>
      <c r="Y93" s="1">
        <f ca="1">IFERROR('Dynamic Materials'!U102+'Dynamic Materials'!AQ102, 0)</f>
        <v>1.2286007609406925E-4</v>
      </c>
      <c r="Z93" s="1">
        <f ca="1">IFERROR('Dynamic Materials'!S102+'Dynamic Materials'!AQ102, 0)</f>
        <v>1.2286007609406925E-4</v>
      </c>
      <c r="AA93" s="1">
        <f ca="1">'Dynamic Materials'!W102</f>
        <v>0</v>
      </c>
      <c r="AB93" s="1">
        <v>0</v>
      </c>
      <c r="AC93" s="1">
        <v>0</v>
      </c>
      <c r="AD93" s="209">
        <f>BZ93+200*Material_Impacts[[#This Row],[Truck (32+t)]]+1130*CB93</f>
        <v>0</v>
      </c>
      <c r="AE93" s="1">
        <v>0</v>
      </c>
      <c r="AF93" s="1">
        <v>0</v>
      </c>
      <c r="AG93" s="1"/>
      <c r="AH93" s="1">
        <v>0</v>
      </c>
      <c r="AI93" s="1">
        <f>'Dynamic Materials'!AG102</f>
        <v>0</v>
      </c>
      <c r="AJ93" s="1">
        <v>0</v>
      </c>
      <c r="AK93" s="1">
        <v>0</v>
      </c>
      <c r="AL93" s="1"/>
      <c r="AM93" s="1">
        <f t="shared" si="8"/>
        <v>0</v>
      </c>
      <c r="AN93" s="1">
        <v>0</v>
      </c>
      <c r="AO93" s="1">
        <v>0</v>
      </c>
      <c r="AP93" s="209">
        <v>0</v>
      </c>
      <c r="AQ93" s="1">
        <f ca="1">'Dynamic Materials'!O102</f>
        <v>0</v>
      </c>
      <c r="AR93" s="1">
        <f ca="1">'Dynamic Materials'!P102</f>
        <v>0</v>
      </c>
      <c r="AS93" s="1"/>
      <c r="AT93" s="1" cm="1">
        <f t="array" aca="1" ref="AT93" ca="1">IFERROR(INDEX(Electricity_projection,MATCH($B93&amp;$A93,INDEX(Electricity_projection,0,3),0),MATCH(YEAR(TODAY()),Timeline_elec_projec,0)+3)*INDEX(Recyc_mat_energy_input,MATCH(AT$1,'Data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93" s="1" cm="1">
        <f t="array" aca="1" ref="AU93" ca="1">IFERROR(INDEX(Electricity_projection,MATCH($B93&amp;$A93,INDEX(Electricity_projection,0,3),0),MATCH(YEAR(TODAY()),Timeline_elec_projec,0)+3)*INDEX(Recyc_mat_energy_input,MATCH(AU$1,'Data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93" s="1" cm="1">
        <f t="array" aca="1" ref="AV93" ca="1">IFERROR(INDEX(Electricity_projection,MATCH($B93&amp;$A93,INDEX(Electricity_projection,0,3),0),MATCH(YEAR(TODAY()),Timeline_elec_projec,0)+3)*INDEX(Recyc_mat_energy_input,MATCH(AV$1,'Data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93" s="1"/>
      <c r="AX93" s="1"/>
      <c r="AY93" s="1"/>
      <c r="AZ93" s="1"/>
      <c r="BA93" s="1"/>
      <c r="BB93" s="1"/>
      <c r="BC93" s="1">
        <f t="shared" si="9"/>
        <v>0</v>
      </c>
      <c r="BD93" s="1"/>
      <c r="BE93" s="1"/>
      <c r="BF93" s="1"/>
      <c r="BG93" s="1">
        <f ca="1">'Dynamic Materials'!V102</f>
        <v>0</v>
      </c>
      <c r="BH93" s="1"/>
      <c r="BI93" s="1" t="str" cm="1">
        <f t="array" aca="1" ref="BI93" ca="1">IFERROR(INDEX(Electricity_projection,MATCH($B93&amp;$A93,INDEX(Electricity_projection,0,3),0),MATCH(YEAR(TODAY()),Timeline_elec_projec,0)+3)*INDEX(Recyc_mat_energy_input,MATCH(BI$1,'Data Entry'!$B$91:$B$96,0),1)+Diesel_density*INDEX(Recyc_mat_energy_input,MATCH(BI$1,'Data Entry'!$B$91:$B$96,0),2)*INDEX(Indicators,ROW(),MATCH("Diesel Combustion",Materials!$1:$1,0)), "")</f>
        <v/>
      </c>
      <c r="BJ93" s="1"/>
      <c r="BK93" s="1" t="str" cm="1">
        <f t="array" aca="1" ref="BK93" ca="1">IFERROR(INDEX(Electricity_projection,MATCH($B93&amp;$A93,INDEX(Electricity_projection,0,3),0),MATCH(YEAR(TODAY()),Timeline_elec_projec,0)+3)*INDEX(Recyc_mat_energy_input,MATCH(BK$1,'Data Entry'!$B$91:$B$96,0),1)+Diesel_density*INDEX(Recyc_mat_energy_input,MATCH(BK$1,'Data Entry'!$B$91:$B$96,0),2)*INDEX(Indicators,ROW(),MATCH("Diesel Combustion",Materials!$1:$1,0)), "")</f>
        <v/>
      </c>
      <c r="BL93" s="1" t="str" cm="1">
        <f t="array" aca="1" ref="BL93" ca="1">IFERROR(INDEX(Electricity_projection,MATCH($B93&amp;$A93,INDEX(Electricity_projection,0,3),0),MATCH(YEAR(TODAY()),Timeline_elec_projec,0)+3)*INDEX(Recyc_mat_energy_input,MATCH(BL$1,'Data Entry'!$B$91:$B$96,0),1)+Diesel_density*INDEX(Recyc_mat_energy_input,MATCH(BL$1,'Data Entry'!$B$91:$B$96,0),2)*INDEX(Indicators,ROW(),MATCH("Diesel Combustion",Materials!$1:$1,0)), "")</f>
        <v/>
      </c>
      <c r="BM93" s="1"/>
      <c r="BN93" s="1">
        <f>IF(Steel_supplier="Pacific Steel",Material_Impacts[[#This Row],[Pacific Steel]],Material_Impacts[[#This Row],[Infrabuild]])</f>
        <v>0</v>
      </c>
      <c r="BO93" s="1"/>
      <c r="BP93" s="1">
        <v>0</v>
      </c>
      <c r="BQ93">
        <v>0</v>
      </c>
      <c r="BR93">
        <v>0</v>
      </c>
      <c r="BS93" s="443"/>
      <c r="BT93" s="443"/>
      <c r="BU93" s="443"/>
      <c r="BV93" s="443">
        <v>1</v>
      </c>
      <c r="BX93" s="1">
        <v>0</v>
      </c>
      <c r="BY93" s="1">
        <f t="shared" si="11"/>
        <v>0</v>
      </c>
      <c r="BZ93">
        <v>0</v>
      </c>
      <c r="CA93" s="1">
        <v>0</v>
      </c>
      <c r="CB93">
        <v>0</v>
      </c>
      <c r="CC93">
        <v>0</v>
      </c>
      <c r="CD93" s="378">
        <f t="shared" si="10"/>
        <v>0</v>
      </c>
      <c r="CE93" s="208">
        <f t="shared" si="12"/>
        <v>0</v>
      </c>
      <c r="CF93" s="208"/>
      <c r="CG93" s="208"/>
      <c r="CH93" s="208"/>
      <c r="CI93" s="208"/>
      <c r="CJ93" s="208"/>
      <c r="CK93" s="208"/>
      <c r="CL93" s="208"/>
      <c r="CM93" s="208"/>
      <c r="CN93" s="208"/>
      <c r="CP93" s="208"/>
    </row>
    <row r="94" spans="1:94" x14ac:dyDescent="0.35">
      <c r="A94" t="s">
        <v>501</v>
      </c>
      <c r="B94" t="s">
        <v>485</v>
      </c>
      <c r="C94" t="s">
        <v>768</v>
      </c>
      <c r="D94" t="str">
        <f>Material_Impacts[[#This Row],[15804 version]]&amp;Material_Impacts[[#This Row],[Methodology]]&amp;Material_Impacts[[#This Row],[Acronym]]</f>
        <v>A2ConsequentialMER</v>
      </c>
      <c r="E94" t="s">
        <v>749</v>
      </c>
      <c r="F94" t="s">
        <v>750</v>
      </c>
      <c r="G94" s="1">
        <v>0</v>
      </c>
      <c r="H94" s="1">
        <v>0</v>
      </c>
      <c r="I94" s="1">
        <v>0</v>
      </c>
      <c r="J94" s="1">
        <v>0</v>
      </c>
      <c r="K94" s="1">
        <v>0</v>
      </c>
      <c r="L94" s="1">
        <v>0</v>
      </c>
      <c r="M94" s="1">
        <v>0</v>
      </c>
      <c r="N94" s="1"/>
      <c r="O94" s="443"/>
      <c r="P94" s="1">
        <v>0</v>
      </c>
      <c r="Q94" s="1">
        <v>0</v>
      </c>
      <c r="R94" s="1">
        <v>0</v>
      </c>
      <c r="S94" s="1">
        <v>0</v>
      </c>
      <c r="T94" s="1">
        <v>0</v>
      </c>
      <c r="U94" s="1">
        <v>0</v>
      </c>
      <c r="V94" s="1">
        <f ca="1">IFERROR('Dynamic Materials'!Q103+'Dynamic Materials'!AQ103, 0)</f>
        <v>1.2286007609406925E-4</v>
      </c>
      <c r="W94" s="1">
        <f ca="1">'Dynamic Materials'!R103</f>
        <v>1.2286007609406925E-4</v>
      </c>
      <c r="X94" s="1">
        <f ca="1">'Dynamic Materials'!T103</f>
        <v>1.2286007609406925E-4</v>
      </c>
      <c r="Y94" s="1">
        <f ca="1">IFERROR('Dynamic Materials'!U103+'Dynamic Materials'!AQ103, 0)</f>
        <v>1.2286007609406925E-4</v>
      </c>
      <c r="Z94" s="1">
        <f ca="1">IFERROR('Dynamic Materials'!S103+'Dynamic Materials'!AQ103, 0)</f>
        <v>1.2286007609406925E-4</v>
      </c>
      <c r="AA94" s="1">
        <f ca="1">'Dynamic Materials'!W103</f>
        <v>0</v>
      </c>
      <c r="AB94" s="1">
        <v>0</v>
      </c>
      <c r="AC94" s="1">
        <v>0</v>
      </c>
      <c r="AD94" s="209">
        <f>BZ94+200*Material_Impacts[[#This Row],[Truck (32+t)]]+1130*CB94</f>
        <v>0</v>
      </c>
      <c r="AE94" s="1">
        <v>0</v>
      </c>
      <c r="AF94" s="1">
        <v>0</v>
      </c>
      <c r="AG94" s="1"/>
      <c r="AH94" s="1">
        <v>0</v>
      </c>
      <c r="AI94" s="1">
        <f>'Dynamic Materials'!AG103</f>
        <v>0</v>
      </c>
      <c r="AJ94" s="1">
        <v>0</v>
      </c>
      <c r="AK94" s="1">
        <v>0</v>
      </c>
      <c r="AL94" s="1"/>
      <c r="AM94" s="1">
        <f t="shared" si="8"/>
        <v>0</v>
      </c>
      <c r="AN94" s="1">
        <v>0</v>
      </c>
      <c r="AO94" s="1">
        <v>0</v>
      </c>
      <c r="AP94" s="209">
        <v>0</v>
      </c>
      <c r="AQ94" s="1">
        <f ca="1">'Dynamic Materials'!O103</f>
        <v>0</v>
      </c>
      <c r="AR94" s="1">
        <f ca="1">'Dynamic Materials'!P103</f>
        <v>0</v>
      </c>
      <c r="AS94" s="1"/>
      <c r="AT94" s="1" cm="1">
        <f t="array" aca="1" ref="AT94" ca="1">IFERROR(INDEX(Electricity_projection,MATCH($B94&amp;$A94,INDEX(Electricity_projection,0,3),0),MATCH(YEAR(TODAY()),Timeline_elec_projec,0)+3)*INDEX(Recyc_mat_energy_input,MATCH(AT$1,'Data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94" s="1" cm="1">
        <f t="array" aca="1" ref="AU94" ca="1">IFERROR(INDEX(Electricity_projection,MATCH($B94&amp;$A94,INDEX(Electricity_projection,0,3),0),MATCH(YEAR(TODAY()),Timeline_elec_projec,0)+3)*INDEX(Recyc_mat_energy_input,MATCH(AU$1,'Data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94" s="1" cm="1">
        <f t="array" aca="1" ref="AV94" ca="1">IFERROR(INDEX(Electricity_projection,MATCH($B94&amp;$A94,INDEX(Electricity_projection,0,3),0),MATCH(YEAR(TODAY()),Timeline_elec_projec,0)+3)*INDEX(Recyc_mat_energy_input,MATCH(AV$1,'Data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94" s="1"/>
      <c r="AX94" s="1"/>
      <c r="AY94" s="1"/>
      <c r="AZ94" s="1"/>
      <c r="BA94" s="1"/>
      <c r="BB94" s="1"/>
      <c r="BC94" s="1">
        <f t="shared" si="9"/>
        <v>0</v>
      </c>
      <c r="BD94" s="1"/>
      <c r="BE94" s="1"/>
      <c r="BF94" s="1"/>
      <c r="BG94" s="1">
        <f ca="1">'Dynamic Materials'!V103</f>
        <v>0</v>
      </c>
      <c r="BH94" s="1"/>
      <c r="BI94" s="1" t="str" cm="1">
        <f t="array" aca="1" ref="BI94" ca="1">IFERROR(INDEX(Electricity_projection,MATCH($B94&amp;$A94,INDEX(Electricity_projection,0,3),0),MATCH(YEAR(TODAY()),Timeline_elec_projec,0)+3)*INDEX(Recyc_mat_energy_input,MATCH(BI$1,'Data Entry'!$B$91:$B$96,0),1)+Diesel_density*INDEX(Recyc_mat_energy_input,MATCH(BI$1,'Data Entry'!$B$91:$B$96,0),2)*INDEX(Indicators,ROW(),MATCH("Diesel Combustion",Materials!$1:$1,0)), "")</f>
        <v/>
      </c>
      <c r="BJ94" s="1"/>
      <c r="BK94" s="1" t="str" cm="1">
        <f t="array" aca="1" ref="BK94" ca="1">IFERROR(INDEX(Electricity_projection,MATCH($B94&amp;$A94,INDEX(Electricity_projection,0,3),0),MATCH(YEAR(TODAY()),Timeline_elec_projec,0)+3)*INDEX(Recyc_mat_energy_input,MATCH(BK$1,'Data Entry'!$B$91:$B$96,0),1)+Diesel_density*INDEX(Recyc_mat_energy_input,MATCH(BK$1,'Data Entry'!$B$91:$B$96,0),2)*INDEX(Indicators,ROW(),MATCH("Diesel Combustion",Materials!$1:$1,0)), "")</f>
        <v/>
      </c>
      <c r="BL94" s="1" t="str" cm="1">
        <f t="array" aca="1" ref="BL94" ca="1">IFERROR(INDEX(Electricity_projection,MATCH($B94&amp;$A94,INDEX(Electricity_projection,0,3),0),MATCH(YEAR(TODAY()),Timeline_elec_projec,0)+3)*INDEX(Recyc_mat_energy_input,MATCH(BL$1,'Data Entry'!$B$91:$B$96,0),1)+Diesel_density*INDEX(Recyc_mat_energy_input,MATCH(BL$1,'Data Entry'!$B$91:$B$96,0),2)*INDEX(Indicators,ROW(),MATCH("Diesel Combustion",Materials!$1:$1,0)), "")</f>
        <v/>
      </c>
      <c r="BM94" s="1"/>
      <c r="BN94" s="1">
        <f>IF(Steel_supplier="Pacific Steel",Material_Impacts[[#This Row],[Pacific Steel]],Material_Impacts[[#This Row],[Infrabuild]])</f>
        <v>0</v>
      </c>
      <c r="BO94" s="1"/>
      <c r="BP94" s="1">
        <v>0</v>
      </c>
      <c r="BQ94">
        <v>0</v>
      </c>
      <c r="BR94">
        <v>0</v>
      </c>
      <c r="BS94" s="443"/>
      <c r="BT94" s="443"/>
      <c r="BU94" s="443"/>
      <c r="BV94" s="443">
        <v>1</v>
      </c>
      <c r="BX94" s="1">
        <v>0</v>
      </c>
      <c r="BY94" s="1">
        <f t="shared" si="11"/>
        <v>0</v>
      </c>
      <c r="BZ94">
        <v>0</v>
      </c>
      <c r="CA94" s="1">
        <v>0</v>
      </c>
      <c r="CB94">
        <v>0</v>
      </c>
      <c r="CC94">
        <v>0</v>
      </c>
      <c r="CD94" s="378">
        <f t="shared" si="10"/>
        <v>0</v>
      </c>
      <c r="CE94" s="208">
        <f t="shared" si="12"/>
        <v>0</v>
      </c>
      <c r="CF94" s="208"/>
      <c r="CG94" s="208"/>
      <c r="CH94" s="208"/>
      <c r="CI94" s="208"/>
      <c r="CJ94" s="208"/>
      <c r="CK94" s="208"/>
      <c r="CL94" s="208"/>
      <c r="CM94" s="208"/>
      <c r="CN94" s="208"/>
      <c r="CP94" s="208"/>
    </row>
    <row r="95" spans="1:94" x14ac:dyDescent="0.35">
      <c r="A95" t="s">
        <v>503</v>
      </c>
      <c r="B95" t="s">
        <v>485</v>
      </c>
      <c r="C95" t="s">
        <v>768</v>
      </c>
      <c r="D95" t="str">
        <f>Material_Impacts[[#This Row],[15804 version]]&amp;Material_Impacts[[#This Row],[Methodology]]&amp;Material_Impacts[[#This Row],[Acronym]]</f>
        <v>A2ConsequentialMFR</v>
      </c>
      <c r="E95" t="s">
        <v>751</v>
      </c>
      <c r="F95" t="s">
        <v>752</v>
      </c>
      <c r="G95" s="1">
        <v>0</v>
      </c>
      <c r="H95" s="1">
        <v>0</v>
      </c>
      <c r="I95" s="1">
        <v>0</v>
      </c>
      <c r="J95" s="1">
        <v>0</v>
      </c>
      <c r="K95" s="1">
        <v>0</v>
      </c>
      <c r="L95" s="1">
        <v>0</v>
      </c>
      <c r="M95" s="1">
        <v>0</v>
      </c>
      <c r="N95" s="1"/>
      <c r="O95" s="443"/>
      <c r="P95" s="1">
        <v>0</v>
      </c>
      <c r="Q95" s="1">
        <v>0</v>
      </c>
      <c r="R95" s="1">
        <v>0</v>
      </c>
      <c r="S95" s="1">
        <v>0</v>
      </c>
      <c r="T95" s="1">
        <v>0</v>
      </c>
      <c r="U95" s="1">
        <v>0</v>
      </c>
      <c r="V95" s="1">
        <f ca="1">IFERROR('Dynamic Materials'!Q104+'Dynamic Materials'!AQ104, 0)</f>
        <v>1.2286007609406925E-4</v>
      </c>
      <c r="W95" s="1">
        <f ca="1">'Dynamic Materials'!R104</f>
        <v>1.2286007609406925E-4</v>
      </c>
      <c r="X95" s="1">
        <f ca="1">'Dynamic Materials'!T104</f>
        <v>1.2286007609406925E-4</v>
      </c>
      <c r="Y95" s="1">
        <f ca="1">IFERROR('Dynamic Materials'!U104+'Dynamic Materials'!AQ104, 0)</f>
        <v>1.2286007609406925E-4</v>
      </c>
      <c r="Z95" s="1">
        <f ca="1">IFERROR('Dynamic Materials'!S104+'Dynamic Materials'!AQ104, 0)</f>
        <v>1.2286007609406925E-4</v>
      </c>
      <c r="AA95" s="1">
        <f ca="1">'Dynamic Materials'!W104</f>
        <v>0</v>
      </c>
      <c r="AB95" s="1">
        <v>0</v>
      </c>
      <c r="AC95" s="1">
        <v>0</v>
      </c>
      <c r="AD95" s="209">
        <f>BZ95+200*Material_Impacts[[#This Row],[Truck (32+t)]]+1130*CB95</f>
        <v>0</v>
      </c>
      <c r="AE95" s="1">
        <v>0</v>
      </c>
      <c r="AF95" s="1">
        <v>0</v>
      </c>
      <c r="AG95" s="1"/>
      <c r="AH95" s="1">
        <v>0</v>
      </c>
      <c r="AI95" s="1">
        <f>'Dynamic Materials'!AG104</f>
        <v>0</v>
      </c>
      <c r="AJ95" s="1">
        <v>0</v>
      </c>
      <c r="AK95" s="1">
        <v>0</v>
      </c>
      <c r="AL95" s="1"/>
      <c r="AM95" s="1">
        <f t="shared" si="8"/>
        <v>0</v>
      </c>
      <c r="AN95" s="1">
        <v>0</v>
      </c>
      <c r="AO95" s="1">
        <v>0</v>
      </c>
      <c r="AP95" s="209">
        <v>0</v>
      </c>
      <c r="AQ95" s="1">
        <f ca="1">'Dynamic Materials'!O104</f>
        <v>0</v>
      </c>
      <c r="AR95" s="1">
        <f ca="1">'Dynamic Materials'!P104</f>
        <v>0</v>
      </c>
      <c r="AS95" s="1"/>
      <c r="AT95" s="1" cm="1">
        <f t="array" aca="1" ref="AT95" ca="1">IFERROR(INDEX(Electricity_projection,MATCH($B95&amp;$A95,INDEX(Electricity_projection,0,3),0),MATCH(YEAR(TODAY()),Timeline_elec_projec,0)+3)*INDEX(Recyc_mat_energy_input,MATCH(AT$1,'Data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95" s="1" cm="1">
        <f t="array" aca="1" ref="AU95" ca="1">IFERROR(INDEX(Electricity_projection,MATCH($B95&amp;$A95,INDEX(Electricity_projection,0,3),0),MATCH(YEAR(TODAY()),Timeline_elec_projec,0)+3)*INDEX(Recyc_mat_energy_input,MATCH(AU$1,'Data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95" s="1" cm="1">
        <f t="array" aca="1" ref="AV95" ca="1">IFERROR(INDEX(Electricity_projection,MATCH($B95&amp;$A95,INDEX(Electricity_projection,0,3),0),MATCH(YEAR(TODAY()),Timeline_elec_projec,0)+3)*INDEX(Recyc_mat_energy_input,MATCH(AV$1,'Data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95" s="1"/>
      <c r="AX95" s="1"/>
      <c r="AY95" s="1"/>
      <c r="AZ95" s="1"/>
      <c r="BA95" s="1"/>
      <c r="BB95" s="1"/>
      <c r="BC95" s="1">
        <f t="shared" si="9"/>
        <v>0</v>
      </c>
      <c r="BD95" s="1"/>
      <c r="BE95" s="1"/>
      <c r="BF95" s="1"/>
      <c r="BG95" s="1">
        <f ca="1">'Dynamic Materials'!V104</f>
        <v>0</v>
      </c>
      <c r="BH95" s="1"/>
      <c r="BI95" s="1" t="str" cm="1">
        <f t="array" aca="1" ref="BI95" ca="1">IFERROR(INDEX(Electricity_projection,MATCH($B95&amp;$A95,INDEX(Electricity_projection,0,3),0),MATCH(YEAR(TODAY()),Timeline_elec_projec,0)+3)*INDEX(Recyc_mat_energy_input,MATCH(BI$1,'Data Entry'!$B$91:$B$96,0),1)+Diesel_density*INDEX(Recyc_mat_energy_input,MATCH(BI$1,'Data Entry'!$B$91:$B$96,0),2)*INDEX(Indicators,ROW(),MATCH("Diesel Combustion",Materials!$1:$1,0)), "")</f>
        <v/>
      </c>
      <c r="BJ95" s="1"/>
      <c r="BK95" s="1" t="str" cm="1">
        <f t="array" aca="1" ref="BK95" ca="1">IFERROR(INDEX(Electricity_projection,MATCH($B95&amp;$A95,INDEX(Electricity_projection,0,3),0),MATCH(YEAR(TODAY()),Timeline_elec_projec,0)+3)*INDEX(Recyc_mat_energy_input,MATCH(BK$1,'Data Entry'!$B$91:$B$96,0),1)+Diesel_density*INDEX(Recyc_mat_energy_input,MATCH(BK$1,'Data Entry'!$B$91:$B$96,0),2)*INDEX(Indicators,ROW(),MATCH("Diesel Combustion",Materials!$1:$1,0)), "")</f>
        <v/>
      </c>
      <c r="BL95" s="1" t="str" cm="1">
        <f t="array" aca="1" ref="BL95" ca="1">IFERROR(INDEX(Electricity_projection,MATCH($B95&amp;$A95,INDEX(Electricity_projection,0,3),0),MATCH(YEAR(TODAY()),Timeline_elec_projec,0)+3)*INDEX(Recyc_mat_energy_input,MATCH(BL$1,'Data Entry'!$B$91:$B$96,0),1)+Diesel_density*INDEX(Recyc_mat_energy_input,MATCH(BL$1,'Data Entry'!$B$91:$B$96,0),2)*INDEX(Indicators,ROW(),MATCH("Diesel Combustion",Materials!$1:$1,0)), "")</f>
        <v/>
      </c>
      <c r="BM95" s="1"/>
      <c r="BN95" s="1">
        <f>IF(Steel_supplier="Pacific Steel",Material_Impacts[[#This Row],[Pacific Steel]],Material_Impacts[[#This Row],[Infrabuild]])</f>
        <v>0</v>
      </c>
      <c r="BO95" s="1"/>
      <c r="BP95" s="1">
        <v>0</v>
      </c>
      <c r="BQ95">
        <v>0</v>
      </c>
      <c r="BR95">
        <v>0</v>
      </c>
      <c r="BS95" s="443"/>
      <c r="BT95" s="443"/>
      <c r="BU95" s="443"/>
      <c r="BV95" s="443">
        <v>1</v>
      </c>
      <c r="BX95" s="1">
        <v>0</v>
      </c>
      <c r="BY95" s="1">
        <f t="shared" si="11"/>
        <v>0</v>
      </c>
      <c r="BZ95">
        <v>0</v>
      </c>
      <c r="CA95" s="1">
        <v>0</v>
      </c>
      <c r="CB95">
        <v>0</v>
      </c>
      <c r="CC95">
        <v>0</v>
      </c>
      <c r="CD95" s="378">
        <f t="shared" si="10"/>
        <v>0</v>
      </c>
      <c r="CE95" s="208">
        <f t="shared" si="12"/>
        <v>0</v>
      </c>
      <c r="CF95" s="208"/>
      <c r="CG95" s="208"/>
      <c r="CH95" s="208"/>
      <c r="CI95" s="208"/>
      <c r="CJ95" s="208"/>
      <c r="CK95" s="208"/>
      <c r="CL95" s="208"/>
      <c r="CM95" s="208"/>
      <c r="CN95" s="208"/>
      <c r="CP95" s="208"/>
    </row>
    <row r="96" spans="1:94" x14ac:dyDescent="0.35">
      <c r="A96" t="s">
        <v>409</v>
      </c>
      <c r="B96" t="s">
        <v>485</v>
      </c>
      <c r="C96" t="s">
        <v>768</v>
      </c>
      <c r="D96" t="str">
        <f>Material_Impacts[[#This Row],[15804 version]]&amp;Material_Impacts[[#This Row],[Methodology]]&amp;Material_Impacts[[#This Row],[Acronym]]</f>
        <v>A2ConsequentialPENRT</v>
      </c>
      <c r="E96" t="s">
        <v>753</v>
      </c>
      <c r="F96" t="s">
        <v>408</v>
      </c>
      <c r="G96" s="1">
        <v>48.850259999999999</v>
      </c>
      <c r="H96" s="1">
        <v>48.850259999999999</v>
      </c>
      <c r="I96" s="1">
        <v>49.47054</v>
      </c>
      <c r="J96" s="1">
        <v>48.850259999999999</v>
      </c>
      <c r="K96" s="1">
        <v>1.2643903664744376E-3</v>
      </c>
      <c r="L96" s="1">
        <v>3.0616311547584027E-3</v>
      </c>
      <c r="M96" s="1">
        <v>1.0647162307153668E-3</v>
      </c>
      <c r="N96" s="1"/>
      <c r="O96" s="443"/>
      <c r="P96" s="1">
        <v>1.44868</v>
      </c>
      <c r="Q96" s="1">
        <v>0</v>
      </c>
      <c r="R96" s="1">
        <v>0</v>
      </c>
      <c r="S96" s="1">
        <v>0</v>
      </c>
      <c r="T96" s="1">
        <v>0</v>
      </c>
      <c r="U96" s="1">
        <v>0</v>
      </c>
      <c r="V96" s="1">
        <f ca="1">IFERROR('Dynamic Materials'!Q105+'Dynamic Materials'!AQ105, 0)</f>
        <v>3.5823524455838576</v>
      </c>
      <c r="W96" s="1">
        <f ca="1">'Dynamic Materials'!R105</f>
        <v>3.3297445406110793</v>
      </c>
      <c r="X96" s="1">
        <f ca="1">'Dynamic Materials'!T105</f>
        <v>2.8678493533185128</v>
      </c>
      <c r="Y96" s="1">
        <f ca="1">IFERROR('Dynamic Materials'!U105+'Dynamic Materials'!AQ105, 0)</f>
        <v>2.6807497804503106</v>
      </c>
      <c r="Z96" s="1">
        <f ca="1">IFERROR('Dynamic Materials'!S105+'Dynamic Materials'!AQ105, 0)</f>
        <v>3.1353370689259328</v>
      </c>
      <c r="AA96" s="1">
        <f ca="1">'Dynamic Materials'!W105</f>
        <v>4.5540000000000001E-4</v>
      </c>
      <c r="AB96" s="1">
        <v>27.617830000000001</v>
      </c>
      <c r="AC96" s="1">
        <v>104.48059000000001</v>
      </c>
      <c r="AD96" s="209">
        <f>BZ96+200*Material_Impacts[[#This Row],[Truck (32+t)]]+1130*CB96</f>
        <v>45.509652746143075</v>
      </c>
      <c r="AE96" s="1">
        <v>30.380240000000001</v>
      </c>
      <c r="AF96" s="1">
        <v>0.82079000000000002</v>
      </c>
      <c r="AG96" s="1"/>
      <c r="AH96" s="1">
        <v>44.723390000000002</v>
      </c>
      <c r="AI96" s="1">
        <f>'Dynamic Materials'!AG105</f>
        <v>51.461576999999998</v>
      </c>
      <c r="AJ96" s="1">
        <v>0.26678000000000002</v>
      </c>
      <c r="AK96" s="1">
        <v>0.18365999999999999</v>
      </c>
      <c r="AL96" s="1"/>
      <c r="AM96" s="1">
        <f t="shared" si="8"/>
        <v>0</v>
      </c>
      <c r="AN96" s="1">
        <v>0.34598000000000001</v>
      </c>
      <c r="AO96" s="1">
        <v>9.8441200000000002</v>
      </c>
      <c r="AP96" s="209">
        <v>1.3799999999999999E-3</v>
      </c>
      <c r="AQ96" s="1">
        <f ca="1">'Dynamic Materials'!O105</f>
        <v>2.7784476294345644</v>
      </c>
      <c r="AR96" s="1">
        <f ca="1">'Dynamic Materials'!P105</f>
        <v>3.2458891946659798</v>
      </c>
      <c r="AS96" s="1"/>
      <c r="AT96" s="1" cm="1">
        <f t="array" aca="1" ref="AT96" ca="1">IFERROR(INDEX(Electricity_projection,MATCH($B96&amp;$A96,INDEX(Electricity_projection,0,3),0),MATCH(YEAR(TODAY()),Timeline_elec_projec,0)+3)*INDEX(Recyc_mat_energy_input,MATCH(AT$1,'Data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5.0923898580829872E-2</v>
      </c>
      <c r="AU96" s="1" cm="1">
        <f t="array" aca="1" ref="AU96" ca="1">IFERROR(INDEX(Electricity_projection,MATCH($B96&amp;$A96,INDEX(Electricity_projection,0,3),0),MATCH(YEAR(TODAY()),Timeline_elec_projec,0)+3)*INDEX(Recyc_mat_energy_input,MATCH(AU$1,'Data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3.3681207846136353E-2</v>
      </c>
      <c r="AV96" s="1" cm="1">
        <f t="array" aca="1" ref="AV96" ca="1">IFERROR(INDEX(Electricity_projection,MATCH($B96&amp;$A96,INDEX(Electricity_projection,0,3),0),MATCH(YEAR(TODAY()),Timeline_elec_projec,0)+3)*INDEX(Recyc_mat_energy_input,MATCH(AV$1,'Data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3.1994119036583404E-2</v>
      </c>
      <c r="AW96" s="1"/>
      <c r="AX96" s="1"/>
      <c r="AY96" s="1"/>
      <c r="AZ96" s="1"/>
      <c r="BA96" s="1"/>
      <c r="BB96" s="1"/>
      <c r="BC96" s="1">
        <f t="shared" si="9"/>
        <v>0</v>
      </c>
      <c r="BD96" s="1"/>
      <c r="BE96" s="1"/>
      <c r="BF96" s="1"/>
      <c r="BG96" s="1">
        <f ca="1">'Dynamic Materials'!V105</f>
        <v>3.2067773097731615E-2</v>
      </c>
      <c r="BH96" s="1"/>
      <c r="BI96" s="1" cm="1">
        <f t="array" aca="1" ref="BI96" ca="1">IFERROR(INDEX(Electricity_projection,MATCH($B96&amp;$A96,INDEX(Electricity_projection,0,3),0),MATCH(YEAR(TODAY()),Timeline_elec_projec,0)+3)*INDEX(Recyc_mat_energy_input,MATCH(BI$1,'Data Entry'!$B$91:$B$96,0),1)+Diesel_density*INDEX(Recyc_mat_energy_input,MATCH(BI$1,'Data Entry'!$B$91:$B$96,0),2)*INDEX(Indicators,ROW(),MATCH("Diesel Combustion",Materials!$1:$1,0)), "")</f>
        <v>0</v>
      </c>
      <c r="BJ96" s="1"/>
      <c r="BK96" s="1" cm="1">
        <f t="array" aca="1" ref="BK96" ca="1">IFERROR(INDEX(Electricity_projection,MATCH($B96&amp;$A96,INDEX(Electricity_projection,0,3),0),MATCH(YEAR(TODAY()),Timeline_elec_projec,0)+3)*INDEX(Recyc_mat_energy_input,MATCH(BK$1,'Data Entry'!$B$91:$B$96,0),1)+Diesel_density*INDEX(Recyc_mat_energy_input,MATCH(BK$1,'Data Entry'!$B$91:$B$96,0),2)*INDEX(Indicators,ROW(),MATCH("Diesel Combustion",Materials!$1:$1,0)), "")</f>
        <v>2.1566412784800003E-2</v>
      </c>
      <c r="BL96" s="1" cm="1">
        <f t="array" aca="1" ref="BL96" ca="1">IFERROR(INDEX(Electricity_projection,MATCH($B96&amp;$A96,INDEX(Electricity_projection,0,3),0),MATCH(YEAR(TODAY()),Timeline_elec_projec,0)+3)*INDEX(Recyc_mat_energy_input,MATCH(BL$1,'Data Entry'!$B$91:$B$96,0),1)+Diesel_density*INDEX(Recyc_mat_energy_input,MATCH(BL$1,'Data Entry'!$B$91:$B$96,0),2)*INDEX(Indicators,ROW(),MATCH("Diesel Combustion",Materials!$1:$1,0)), "")</f>
        <v>6.2000976717325275E-2</v>
      </c>
      <c r="BM96" s="1"/>
      <c r="BN96" s="1">
        <f>IF(Steel_supplier="Pacific Steel",Material_Impacts[[#This Row],[Pacific Steel]],Material_Impacts[[#This Row],[Infrabuild]])</f>
        <v>0</v>
      </c>
      <c r="BO96" s="1"/>
      <c r="BP96" s="1">
        <v>0.26262249999999998</v>
      </c>
      <c r="BQ96">
        <v>49.47054</v>
      </c>
      <c r="BR96">
        <v>48.850259999999999</v>
      </c>
      <c r="BS96" s="443"/>
      <c r="BT96" s="443"/>
      <c r="BU96" s="443"/>
      <c r="BV96" s="443">
        <v>1</v>
      </c>
      <c r="BX96" s="1">
        <v>3.4374600000000002</v>
      </c>
      <c r="BY96" s="1">
        <f t="shared" si="11"/>
        <v>7.9524812030075193E-2</v>
      </c>
      <c r="BZ96">
        <v>45.158679999999997</v>
      </c>
      <c r="CA96" s="1">
        <v>0</v>
      </c>
      <c r="CB96">
        <v>1.2214999999999999E-4</v>
      </c>
      <c r="CC96">
        <v>44.305869999999999</v>
      </c>
      <c r="CD96" s="378">
        <f t="shared" si="10"/>
        <v>1.1774844689999999</v>
      </c>
      <c r="CE96" s="208">
        <f t="shared" si="12"/>
        <v>45.483354468999998</v>
      </c>
      <c r="CF96" s="208"/>
      <c r="CG96" s="208"/>
      <c r="CH96" s="208"/>
      <c r="CI96" s="208"/>
      <c r="CJ96" s="208"/>
      <c r="CK96" s="208"/>
      <c r="CL96" s="208"/>
      <c r="CM96" s="208"/>
      <c r="CN96" s="208"/>
      <c r="CP96" s="208"/>
    </row>
    <row r="97" spans="1:98" x14ac:dyDescent="0.35">
      <c r="A97" t="s">
        <v>411</v>
      </c>
      <c r="B97" t="s">
        <v>485</v>
      </c>
      <c r="C97" t="s">
        <v>768</v>
      </c>
      <c r="D97" t="str">
        <f>Material_Impacts[[#This Row],[15804 version]]&amp;Material_Impacts[[#This Row],[Methodology]]&amp;Material_Impacts[[#This Row],[Acronym]]</f>
        <v>A2ConsequentialPERT</v>
      </c>
      <c r="E97" t="s">
        <v>754</v>
      </c>
      <c r="F97" t="s">
        <v>408</v>
      </c>
      <c r="G97" s="1">
        <v>0.25233</v>
      </c>
      <c r="H97" s="1">
        <v>0.25233</v>
      </c>
      <c r="I97" s="1">
        <v>0.25145000000000001</v>
      </c>
      <c r="J97" s="1">
        <v>0.25233</v>
      </c>
      <c r="K97" s="1">
        <v>6.531052673465707E-6</v>
      </c>
      <c r="L97" s="1">
        <v>1.5814478557129228E-5</v>
      </c>
      <c r="M97" s="1">
        <v>5.4996605237394539E-6</v>
      </c>
      <c r="N97" s="1"/>
      <c r="O97" s="443"/>
      <c r="P97" s="1">
        <v>1.4109999999999999E-2</v>
      </c>
      <c r="Q97" s="1">
        <v>0</v>
      </c>
      <c r="R97" s="1">
        <v>0</v>
      </c>
      <c r="S97" s="1">
        <v>0</v>
      </c>
      <c r="T97" s="1">
        <v>0</v>
      </c>
      <c r="U97" s="1">
        <v>0</v>
      </c>
      <c r="V97" s="1">
        <f ca="1">IFERROR('Dynamic Materials'!Q106+'Dynamic Materials'!AQ106, 0)</f>
        <v>5.5699659889691569E-2</v>
      </c>
      <c r="W97" s="1">
        <f ca="1">'Dynamic Materials'!R106</f>
        <v>-8.3746250829935549E-3</v>
      </c>
      <c r="X97" s="1">
        <f ca="1">'Dynamic Materials'!T106</f>
        <v>-1.2615181872882948E-2</v>
      </c>
      <c r="Y97" s="1">
        <f ca="1">IFERROR('Dynamic Materials'!U106+'Dynamic Materials'!AQ106, 0)</f>
        <v>4.3648160151751422E-2</v>
      </c>
      <c r="Z97" s="1">
        <f ca="1">IFERROR('Dynamic Materials'!S106+'Dynamic Materials'!AQ106, 0)</f>
        <v>4.5978753519540297E-2</v>
      </c>
      <c r="AA97" s="1">
        <f ca="1">'Dynamic Materials'!W106</f>
        <v>3.9599999999999998E-4</v>
      </c>
      <c r="AB97" s="1">
        <v>0.27244000000000002</v>
      </c>
      <c r="AC97" s="1">
        <v>4.0032399999999999</v>
      </c>
      <c r="AD97" s="209">
        <f>BZ97+200*Material_Impacts[[#This Row],[Truck (32+t)]]+1130*CB97</f>
        <v>0.2392198321047479</v>
      </c>
      <c r="AE97" s="1">
        <v>0.19597000000000001</v>
      </c>
      <c r="AF97" s="1">
        <v>2.3529999999999999E-2</v>
      </c>
      <c r="AG97" s="1"/>
      <c r="AH97" s="1">
        <v>2.09314</v>
      </c>
      <c r="AI97" s="1">
        <f>'Dynamic Materials'!AG106</f>
        <v>-1.9529200000000002</v>
      </c>
      <c r="AJ97" s="1">
        <v>2.5080000000000002E-2</v>
      </c>
      <c r="AK97" s="1">
        <v>1.2409999999999999E-2</v>
      </c>
      <c r="AL97" s="1"/>
      <c r="AM97" s="1">
        <f t="shared" si="8"/>
        <v>0</v>
      </c>
      <c r="AN97" s="1">
        <v>3.1390000000000001E-2</v>
      </c>
      <c r="AO97" s="1">
        <v>0.48581000000000002</v>
      </c>
      <c r="AP97" s="209">
        <v>1.1999999999999999E-3</v>
      </c>
      <c r="AQ97" s="1">
        <f ca="1">'Dynamic Materials'!O106</f>
        <v>2.0144055532594206E-2</v>
      </c>
      <c r="AR97" s="1">
        <f ca="1">'Dynamic Materials'!P106</f>
        <v>-0.14215023439369062</v>
      </c>
      <c r="AS97" s="1"/>
      <c r="AT97" s="1" cm="1">
        <f t="array" aca="1" ref="AT97" ca="1">IFERROR(INDEX(Electricity_projection,MATCH($B97&amp;$A97,INDEX(Electricity_projection,0,3),0),MATCH(YEAR(TODAY()),Timeline_elec_projec,0)+3)*INDEX(Recyc_mat_energy_input,MATCH(AT$1,'Data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6.1604953258609894E-3</v>
      </c>
      <c r="AU97" s="1" cm="1">
        <f t="array" aca="1" ref="AU97" ca="1">IFERROR(INDEX(Electricity_projection,MATCH($B97&amp;$A97,INDEX(Electricity_projection,0,3),0),MATCH(YEAR(TODAY()),Timeline_elec_projec,0)+3)*INDEX(Recyc_mat_energy_input,MATCH(AU$1,'Data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6.5203055932529777E-3</v>
      </c>
      <c r="AV97" s="1" cm="1">
        <f t="array" aca="1" ref="AV97" ca="1">IFERROR(INDEX(Electricity_projection,MATCH($B97&amp;$A97,INDEX(Electricity_projection,0,3),0),MATCH(YEAR(TODAY()),Timeline_elec_projec,0)+3)*INDEX(Recyc_mat_energy_input,MATCH(AV$1,'Data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2.4636277831766987E-2</v>
      </c>
      <c r="AW97" s="1"/>
      <c r="AX97" s="1"/>
      <c r="AY97" s="1"/>
      <c r="AZ97" s="1"/>
      <c r="BA97" s="1"/>
      <c r="BB97" s="1"/>
      <c r="BC97" s="1">
        <f t="shared" si="9"/>
        <v>0</v>
      </c>
      <c r="BD97" s="1"/>
      <c r="BE97" s="1"/>
      <c r="BF97" s="1"/>
      <c r="BG97" s="1">
        <f ca="1">'Dynamic Materials'!V106</f>
        <v>8.1875032292838927E-3</v>
      </c>
      <c r="BH97" s="1"/>
      <c r="BI97" s="1" cm="1">
        <f t="array" aca="1" ref="BI97" ca="1">IFERROR(INDEX(Electricity_projection,MATCH($B97&amp;$A97,INDEX(Electricity_projection,0,3),0),MATCH(YEAR(TODAY()),Timeline_elec_projec,0)+3)*INDEX(Recyc_mat_energy_input,MATCH(BI$1,'Data Entry'!$B$91:$B$96,0),1)+Diesel_density*INDEX(Recyc_mat_energy_input,MATCH(BI$1,'Data Entry'!$B$91:$B$96,0),2)*INDEX(Indicators,ROW(),MATCH("Diesel Combustion",Materials!$1:$1,0)), "")</f>
        <v>0</v>
      </c>
      <c r="BJ97" s="1"/>
      <c r="BK97" s="1" cm="1">
        <f t="array" aca="1" ref="BK97" ca="1">IFERROR(INDEX(Electricity_projection,MATCH($B97&amp;$A97,INDEX(Electricity_projection,0,3),0),MATCH(YEAR(TODAY()),Timeline_elec_projec,0)+3)*INDEX(Recyc_mat_energy_input,MATCH(BK$1,'Data Entry'!$B$91:$B$96,0),1)+Diesel_density*INDEX(Recyc_mat_energy_input,MATCH(BK$1,'Data Entry'!$B$91:$B$96,0),2)*INDEX(Indicators,ROW(),MATCH("Diesel Combustion",Materials!$1:$1,0)), "")</f>
        <v>1.1139864840000001E-4</v>
      </c>
      <c r="BL97" s="1" cm="1">
        <f t="array" aca="1" ref="BL97" ca="1">IFERROR(INDEX(Electricity_projection,MATCH($B97&amp;$A97,INDEX(Electricity_projection,0,3),0),MATCH(YEAR(TODAY()),Timeline_elec_projec,0)+3)*INDEX(Recyc_mat_energy_input,MATCH(BL$1,'Data Entry'!$B$91:$B$96,0),1)+Diesel_density*INDEX(Recyc_mat_energy_input,MATCH(BL$1,'Data Entry'!$B$91:$B$96,0),2)*INDEX(Indicators,ROW(),MATCH("Diesel Combustion",Materials!$1:$1,0)), "")</f>
        <v>9.145163723692834E-2</v>
      </c>
      <c r="BM97" s="1"/>
      <c r="BN97" s="1">
        <f>IF(Steel_supplier="Pacific Steel",Material_Impacts[[#This Row],[Pacific Steel]],Material_Impacts[[#This Row],[Infrabuild]])</f>
        <v>0</v>
      </c>
      <c r="BO97" s="1"/>
      <c r="BP97" s="1">
        <v>2.6444999999999997E-3</v>
      </c>
      <c r="BQ97">
        <v>0.25145000000000001</v>
      </c>
      <c r="BR97">
        <v>0.25233</v>
      </c>
      <c r="BS97" s="443"/>
      <c r="BT97" s="443"/>
      <c r="BU97" s="443"/>
      <c r="BV97" s="443">
        <v>1</v>
      </c>
      <c r="BX97" s="1">
        <v>1.9900000000000001E-2</v>
      </c>
      <c r="BY97" s="1">
        <f t="shared" si="11"/>
        <v>4.6038172353961835E-4</v>
      </c>
      <c r="BZ97">
        <v>0.23673</v>
      </c>
      <c r="CA97" s="1">
        <v>0</v>
      </c>
      <c r="CB97">
        <v>1.2299999999999999E-6</v>
      </c>
      <c r="CC97">
        <v>2.1391</v>
      </c>
      <c r="CD97" s="378">
        <f t="shared" si="10"/>
        <v>1.1856781799999999E-2</v>
      </c>
      <c r="CE97" s="208">
        <f t="shared" si="12"/>
        <v>2.1509567818000002</v>
      </c>
      <c r="CF97" s="208"/>
      <c r="CG97" s="208"/>
      <c r="CH97" s="208"/>
      <c r="CI97" s="208"/>
      <c r="CJ97" s="208"/>
      <c r="CK97" s="208"/>
      <c r="CL97" s="208"/>
      <c r="CM97" s="208"/>
      <c r="CN97" s="208"/>
      <c r="CP97" s="208"/>
    </row>
    <row r="98" spans="1:98" x14ac:dyDescent="0.35">
      <c r="A98" t="s">
        <v>413</v>
      </c>
      <c r="B98" t="s">
        <v>485</v>
      </c>
      <c r="C98" t="s">
        <v>768</v>
      </c>
      <c r="D98" t="str">
        <f>Material_Impacts[[#This Row],[15804 version]]&amp;Material_Impacts[[#This Row],[Methodology]]&amp;Material_Impacts[[#This Row],[Acronym]]</f>
        <v>A2ConsequentialFW</v>
      </c>
      <c r="E98" t="s">
        <v>755</v>
      </c>
      <c r="F98" t="s">
        <v>756</v>
      </c>
      <c r="G98" s="1">
        <v>7.1000000000000002E-4</v>
      </c>
      <c r="H98" s="1">
        <v>7.1000000000000002E-4</v>
      </c>
      <c r="I98" s="1">
        <v>8.1999999999999998E-4</v>
      </c>
      <c r="J98" s="1">
        <v>7.1000000000000002E-4</v>
      </c>
      <c r="K98" s="1">
        <v>1.8376916728730836E-8</v>
      </c>
      <c r="L98" s="1">
        <v>4.4498394069519097E-8</v>
      </c>
      <c r="M98" s="1">
        <v>1.5474810652142085E-8</v>
      </c>
      <c r="N98" s="1"/>
      <c r="O98" s="443"/>
      <c r="P98" s="1">
        <v>4.3863799999999998E-5</v>
      </c>
      <c r="Q98" s="1">
        <v>0</v>
      </c>
      <c r="R98" s="1">
        <v>0</v>
      </c>
      <c r="S98" s="1">
        <v>0</v>
      </c>
      <c r="T98" s="1">
        <v>0</v>
      </c>
      <c r="U98" s="1">
        <v>0</v>
      </c>
      <c r="V98" s="1">
        <f ca="1">IFERROR('Dynamic Materials'!Q107+'Dynamic Materials'!AQ107, 0)</f>
        <v>3.2035501717209928E-4</v>
      </c>
      <c r="W98" s="1">
        <f ca="1">'Dynamic Materials'!R107</f>
        <v>1.8431859825631671E-4</v>
      </c>
      <c r="X98" s="1">
        <f ca="1">'Dynamic Materials'!T107</f>
        <v>3.2150659411913848E-4</v>
      </c>
      <c r="Y98" s="1">
        <f ca="1">IFERROR('Dynamic Materials'!U107+'Dynamic Materials'!AQ107, 0)</f>
        <v>4.3568093582409067E-4</v>
      </c>
      <c r="Z98" s="1">
        <f ca="1">IFERROR('Dynamic Materials'!S107+'Dynamic Materials'!AQ107, 0)</f>
        <v>4.3810923890409497E-4</v>
      </c>
      <c r="AA98" s="1">
        <f ca="1">'Dynamic Materials'!W107</f>
        <v>3.3E-4</v>
      </c>
      <c r="AB98" s="1">
        <v>3.3300000000000001E-3</v>
      </c>
      <c r="AC98" s="1">
        <v>0.12218999999999999</v>
      </c>
      <c r="AD98" s="209">
        <f>BZ98+200*Material_Impacts[[#This Row],[Truck (32+t)]]+1130*CB98</f>
        <v>5.4350965233042835E-4</v>
      </c>
      <c r="AE98" s="1">
        <v>1.5100000000000001E-3</v>
      </c>
      <c r="AF98" s="1">
        <v>3.3E-4</v>
      </c>
      <c r="AG98" s="1"/>
      <c r="AH98" s="1">
        <v>2.2450000000000001E-2</v>
      </c>
      <c r="AI98" s="1">
        <f>'Dynamic Materials'!AG107</f>
        <v>-7.2300000000000003E-3</v>
      </c>
      <c r="AJ98" s="1">
        <v>3.6999999999999999E-4</v>
      </c>
      <c r="AK98" s="1">
        <v>1.2999999999999999E-4</v>
      </c>
      <c r="AL98" s="1"/>
      <c r="AM98" s="1">
        <f t="shared" si="8"/>
        <v>0</v>
      </c>
      <c r="AN98" s="1">
        <v>6.3000000000000003E-4</v>
      </c>
      <c r="AO98" s="1">
        <v>5.1200000000000004E-3</v>
      </c>
      <c r="AP98" s="209">
        <v>1E-3</v>
      </c>
      <c r="AQ98" s="1">
        <f ca="1">'Dynamic Materials'!O107</f>
        <v>3.1524916281002569E-4</v>
      </c>
      <c r="AR98" s="1">
        <f ca="1">'Dynamic Materials'!P107</f>
        <v>-3.9446141632980004E-4</v>
      </c>
      <c r="AS98" s="1"/>
      <c r="AT98" s="1" cm="1">
        <f t="array" aca="1" ref="AT98" ca="1">IFERROR(INDEX(Electricity_projection,MATCH($B98&amp;$A98,INDEX(Electricity_projection,0,3),0),MATCH(YEAR(TODAY()),Timeline_elec_projec,0)+3)*INDEX(Recyc_mat_energy_input,MATCH(AT$1,'Data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3.0067934432999999E-4</v>
      </c>
      <c r="AU98" s="1" cm="1">
        <f t="array" aca="1" ref="AU98" ca="1">IFERROR(INDEX(Electricity_projection,MATCH($B98&amp;$A98,INDEX(Electricity_projection,0,3),0),MATCH(YEAR(TODAY()),Timeline_elec_projec,0)+3)*INDEX(Recyc_mat_energy_input,MATCH(AU$1,'Data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4.2677532000000003E-7</v>
      </c>
      <c r="AV98" s="1" cm="1">
        <f t="array" aca="1" ref="AV98" ca="1">IFERROR(INDEX(Electricity_projection,MATCH($B98&amp;$A98,INDEX(Electricity_projection,0,3),0),MATCH(YEAR(TODAY()),Timeline_elec_projec,0)+3)*INDEX(Recyc_mat_energy_input,MATCH(AV$1,'Data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2.2303229999999998E-7</v>
      </c>
      <c r="AW98" s="1"/>
      <c r="AX98" s="1"/>
      <c r="AY98" s="1"/>
      <c r="AZ98" s="1"/>
      <c r="BA98" s="1"/>
      <c r="BB98" s="1"/>
      <c r="BC98" s="1">
        <f t="shared" si="9"/>
        <v>0</v>
      </c>
      <c r="BD98" s="1"/>
      <c r="BE98" s="1"/>
      <c r="BF98" s="1"/>
      <c r="BG98" s="1">
        <f ca="1">'Dynamic Materials'!V107</f>
        <v>3.0038427862499997E-4</v>
      </c>
      <c r="BH98" s="1"/>
      <c r="BI98" s="1" t="str" cm="1">
        <f t="array" aca="1" ref="BI98" ca="1">IFERROR(INDEX(Electricity_projection,MATCH($B98&amp;$A98,INDEX(Electricity_projection,0,3),0),MATCH(YEAR(TODAY()),Timeline_elec_projec,0)+3)*INDEX(Recyc_mat_energy_input,MATCH(BI$1,'Data Entry'!$B$91:$B$96,0),1)+Diesel_density*INDEX(Recyc_mat_energy_input,MATCH(BI$1,'Data Entry'!$B$91:$B$96,0),2)*INDEX(Indicators,ROW(),MATCH("Diesel Combustion",Materials!$1:$1,0)), "")</f>
        <v/>
      </c>
      <c r="BJ98" s="1"/>
      <c r="BK98" s="1" t="str" cm="1">
        <f t="array" aca="1" ref="BK98" ca="1">IFERROR(INDEX(Electricity_projection,MATCH($B98&amp;$A98,INDEX(Electricity_projection,0,3),0),MATCH(YEAR(TODAY()),Timeline_elec_projec,0)+3)*INDEX(Recyc_mat_energy_input,MATCH(BK$1,'Data Entry'!$B$91:$B$96,0),1)+Diesel_density*INDEX(Recyc_mat_energy_input,MATCH(BK$1,'Data Entry'!$B$91:$B$96,0),2)*INDEX(Indicators,ROW(),MATCH("Diesel Combustion",Materials!$1:$1,0)), "")</f>
        <v/>
      </c>
      <c r="BL98" s="1" t="str" cm="1">
        <f t="array" aca="1" ref="BL98" ca="1">IFERROR(INDEX(Electricity_projection,MATCH($B98&amp;$A98,INDEX(Electricity_projection,0,3),0),MATCH(YEAR(TODAY()),Timeline_elec_projec,0)+3)*INDEX(Recyc_mat_energy_input,MATCH(BL$1,'Data Entry'!$B$91:$B$96,0),1)+Diesel_density*INDEX(Recyc_mat_energy_input,MATCH(BL$1,'Data Entry'!$B$91:$B$96,0),2)*INDEX(Indicators,ROW(),MATCH("Diesel Combustion",Materials!$1:$1,0)), "")</f>
        <v/>
      </c>
      <c r="BM98" s="1"/>
      <c r="BN98" s="1">
        <f>IF(Steel_supplier="Pacific Steel",Material_Impacts[[#This Row],[Pacific Steel]],Material_Impacts[[#This Row],[Infrabuild]])</f>
        <v>0</v>
      </c>
      <c r="BO98" s="1"/>
      <c r="BP98" s="1">
        <v>1.9815561E-5</v>
      </c>
      <c r="BQ98">
        <v>8.1999999999999998E-4</v>
      </c>
      <c r="BR98">
        <v>7.1000000000000002E-4</v>
      </c>
      <c r="BS98" s="443"/>
      <c r="BT98" s="443"/>
      <c r="BU98" s="443"/>
      <c r="BV98" s="443">
        <v>1</v>
      </c>
      <c r="BX98" s="1">
        <v>1.7000000000000001E-4</v>
      </c>
      <c r="BY98" s="1">
        <f t="shared" si="11"/>
        <v>3.9329091960670918E-6</v>
      </c>
      <c r="BZ98">
        <v>5.2999999999999998E-4</v>
      </c>
      <c r="CA98" s="1">
        <v>0</v>
      </c>
      <c r="CB98">
        <v>9.2165399999999997E-9</v>
      </c>
      <c r="CC98">
        <v>2.2020000000000001E-2</v>
      </c>
      <c r="CD98" s="378">
        <f t="shared" si="10"/>
        <v>8.88443119764E-5</v>
      </c>
      <c r="CE98" s="208">
        <f t="shared" si="12"/>
        <v>2.2108844311976402E-2</v>
      </c>
      <c r="CF98" s="208"/>
      <c r="CG98" s="208"/>
      <c r="CH98" s="208"/>
      <c r="CI98" s="208"/>
      <c r="CJ98" s="208"/>
      <c r="CK98" s="208"/>
      <c r="CL98" s="208"/>
      <c r="CM98" s="208"/>
      <c r="CN98" s="208"/>
      <c r="CP98" s="208"/>
    </row>
    <row r="99" spans="1:98" x14ac:dyDescent="0.35">
      <c r="A99" t="s">
        <v>508</v>
      </c>
      <c r="B99" t="s">
        <v>485</v>
      </c>
      <c r="C99" t="s">
        <v>768</v>
      </c>
      <c r="D99" t="str">
        <f>Material_Impacts[[#This Row],[15804 version]]&amp;Material_Impacts[[#This Row],[Methodology]]&amp;Material_Impacts[[#This Row],[Acronym]]</f>
        <v>A2ConsequentialSM</v>
      </c>
      <c r="E99" t="s">
        <v>757</v>
      </c>
      <c r="F99" t="s">
        <v>758</v>
      </c>
      <c r="G99" s="1">
        <v>0</v>
      </c>
      <c r="H99" s="1">
        <v>0</v>
      </c>
      <c r="I99" s="1">
        <v>0</v>
      </c>
      <c r="J99" s="1">
        <v>0</v>
      </c>
      <c r="K99" s="1">
        <v>0</v>
      </c>
      <c r="L99" s="1">
        <v>0</v>
      </c>
      <c r="M99" s="1">
        <v>0</v>
      </c>
      <c r="N99" s="1"/>
      <c r="O99" s="443"/>
      <c r="P99" s="1">
        <v>0</v>
      </c>
      <c r="Q99" s="1">
        <v>0</v>
      </c>
      <c r="R99" s="1">
        <v>0</v>
      </c>
      <c r="S99" s="1">
        <v>0</v>
      </c>
      <c r="T99" s="1">
        <v>0</v>
      </c>
      <c r="U99" s="1">
        <v>0</v>
      </c>
      <c r="V99" s="1">
        <f ca="1">IFERROR('Dynamic Materials'!Q108+'Dynamic Materials'!AQ108, 0)</f>
        <v>1.2286007609406925E-4</v>
      </c>
      <c r="W99" s="1">
        <f ca="1">'Dynamic Materials'!R108</f>
        <v>1.2286007609406925E-4</v>
      </c>
      <c r="X99" s="1">
        <f ca="1">'Dynamic Materials'!T108</f>
        <v>1.2286007609406925E-4</v>
      </c>
      <c r="Y99" s="1">
        <f ca="1">IFERROR('Dynamic Materials'!U108+'Dynamic Materials'!AQ108, 0)</f>
        <v>1.2286007609406925E-4</v>
      </c>
      <c r="Z99" s="1">
        <f ca="1">IFERROR('Dynamic Materials'!S108+'Dynamic Materials'!AQ108, 0)</f>
        <v>1.2286007609406925E-4</v>
      </c>
      <c r="AA99" s="1">
        <f ca="1">'Dynamic Materials'!W108</f>
        <v>0</v>
      </c>
      <c r="AB99" s="1">
        <v>0</v>
      </c>
      <c r="AC99" s="1">
        <v>0</v>
      </c>
      <c r="AD99" s="209">
        <f>BZ99+200*Material_Impacts[[#This Row],[Truck (32+t)]]+1130*CB99</f>
        <v>0</v>
      </c>
      <c r="AE99" s="1">
        <v>0</v>
      </c>
      <c r="AF99" s="1">
        <v>0</v>
      </c>
      <c r="AG99" s="1"/>
      <c r="AH99" s="1">
        <v>0</v>
      </c>
      <c r="AI99" s="1">
        <f>'Dynamic Materials'!AG108</f>
        <v>0</v>
      </c>
      <c r="AJ99" s="1">
        <v>0</v>
      </c>
      <c r="AK99" s="1">
        <v>0</v>
      </c>
      <c r="AL99" s="1"/>
      <c r="AM99" s="1">
        <f t="shared" si="8"/>
        <v>0</v>
      </c>
      <c r="AN99" s="1">
        <v>0</v>
      </c>
      <c r="AO99" s="1">
        <v>0</v>
      </c>
      <c r="AP99" s="209">
        <v>0</v>
      </c>
      <c r="AQ99" s="1">
        <f ca="1">'Dynamic Materials'!O108</f>
        <v>0</v>
      </c>
      <c r="AR99" s="1">
        <f ca="1">'Dynamic Materials'!P108</f>
        <v>0</v>
      </c>
      <c r="AS99" s="1"/>
      <c r="AT99" s="1" cm="1">
        <f t="array" aca="1" ref="AT99" ca="1">IFERROR(INDEX(Electricity_projection,MATCH($B99&amp;$A99,INDEX(Electricity_projection,0,3),0),MATCH(YEAR(TODAY()),Timeline_elec_projec,0)+3)*INDEX(Recyc_mat_energy_input,MATCH(AT$1,'Data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99" s="1" cm="1">
        <f t="array" aca="1" ref="AU99" ca="1">IFERROR(INDEX(Electricity_projection,MATCH($B99&amp;$A99,INDEX(Electricity_projection,0,3),0),MATCH(YEAR(TODAY()),Timeline_elec_projec,0)+3)*INDEX(Recyc_mat_energy_input,MATCH(AU$1,'Data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99" s="1" cm="1">
        <f t="array" aca="1" ref="AV99" ca="1">IFERROR(INDEX(Electricity_projection,MATCH($B99&amp;$A99,INDEX(Electricity_projection,0,3),0),MATCH(YEAR(TODAY()),Timeline_elec_projec,0)+3)*INDEX(Recyc_mat_energy_input,MATCH(AV$1,'Data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99" s="1"/>
      <c r="AX99" s="1"/>
      <c r="AY99" s="1"/>
      <c r="AZ99" s="1"/>
      <c r="BA99" s="1"/>
      <c r="BB99" s="1"/>
      <c r="BC99" s="1">
        <f t="shared" si="9"/>
        <v>0</v>
      </c>
      <c r="BD99" s="1"/>
      <c r="BE99" s="1"/>
      <c r="BF99" s="1"/>
      <c r="BG99" s="1">
        <f ca="1">'Dynamic Materials'!V108</f>
        <v>0</v>
      </c>
      <c r="BH99" s="1"/>
      <c r="BI99" s="1" t="str" cm="1">
        <f t="array" aca="1" ref="BI99" ca="1">IFERROR(INDEX(Electricity_projection,MATCH($B99&amp;$A99,INDEX(Electricity_projection,0,3),0),MATCH(YEAR(TODAY()),Timeline_elec_projec,0)+3)*INDEX(Recyc_mat_energy_input,MATCH(BI$1,'Data Entry'!$B$91:$B$96,0),1)+Diesel_density*INDEX(Recyc_mat_energy_input,MATCH(BI$1,'Data Entry'!$B$91:$B$96,0),2)*INDEX(Indicators,ROW(),MATCH("Diesel Combustion",Materials!$1:$1,0)), "")</f>
        <v/>
      </c>
      <c r="BJ99" s="1"/>
      <c r="BK99" s="1" t="str" cm="1">
        <f t="array" aca="1" ref="BK99" ca="1">IFERROR(INDEX(Electricity_projection,MATCH($B99&amp;$A99,INDEX(Electricity_projection,0,3),0),MATCH(YEAR(TODAY()),Timeline_elec_projec,0)+3)*INDEX(Recyc_mat_energy_input,MATCH(BK$1,'Data Entry'!$B$91:$B$96,0),1)+Diesel_density*INDEX(Recyc_mat_energy_input,MATCH(BK$1,'Data Entry'!$B$91:$B$96,0),2)*INDEX(Indicators,ROW(),MATCH("Diesel Combustion",Materials!$1:$1,0)), "")</f>
        <v/>
      </c>
      <c r="BL99" s="1" t="str" cm="1">
        <f t="array" aca="1" ref="BL99" ca="1">IFERROR(INDEX(Electricity_projection,MATCH($B99&amp;$A99,INDEX(Electricity_projection,0,3),0),MATCH(YEAR(TODAY()),Timeline_elec_projec,0)+3)*INDEX(Recyc_mat_energy_input,MATCH(BL$1,'Data Entry'!$B$91:$B$96,0),1)+Diesel_density*INDEX(Recyc_mat_energy_input,MATCH(BL$1,'Data Entry'!$B$91:$B$96,0),2)*INDEX(Indicators,ROW(),MATCH("Diesel Combustion",Materials!$1:$1,0)), "")</f>
        <v/>
      </c>
      <c r="BM99" s="1"/>
      <c r="BN99" s="1">
        <f>IF(Steel_supplier="Pacific Steel",Material_Impacts[[#This Row],[Pacific Steel]],Material_Impacts[[#This Row],[Infrabuild]])</f>
        <v>0</v>
      </c>
      <c r="BO99" s="1"/>
      <c r="BP99" s="1">
        <v>0</v>
      </c>
      <c r="BQ99">
        <v>0</v>
      </c>
      <c r="BR99">
        <v>0</v>
      </c>
      <c r="BS99" s="443"/>
      <c r="BT99" s="443"/>
      <c r="BU99" s="443"/>
      <c r="BV99" s="443">
        <v>1</v>
      </c>
      <c r="BX99" s="1">
        <v>0</v>
      </c>
      <c r="BY99" s="1">
        <f t="shared" si="11"/>
        <v>0</v>
      </c>
      <c r="BZ99">
        <v>0</v>
      </c>
      <c r="CA99" s="1">
        <v>0</v>
      </c>
      <c r="CB99">
        <v>0</v>
      </c>
      <c r="CC99">
        <v>0</v>
      </c>
      <c r="CD99" s="378">
        <f t="shared" si="10"/>
        <v>0</v>
      </c>
      <c r="CE99" s="208">
        <f t="shared" si="12"/>
        <v>0</v>
      </c>
      <c r="CF99" s="208"/>
      <c r="CG99" s="208"/>
      <c r="CH99" s="208"/>
      <c r="CI99" s="208"/>
      <c r="CJ99" s="208"/>
      <c r="CK99" s="208"/>
      <c r="CL99" s="208"/>
      <c r="CM99" s="208"/>
      <c r="CN99" s="208"/>
      <c r="CP99" s="208"/>
    </row>
    <row r="100" spans="1:98" x14ac:dyDescent="0.35">
      <c r="A100" t="s">
        <v>510</v>
      </c>
      <c r="B100" t="s">
        <v>485</v>
      </c>
      <c r="C100" t="s">
        <v>768</v>
      </c>
      <c r="D100" t="str">
        <f>Material_Impacts[[#This Row],[15804 version]]&amp;Material_Impacts[[#This Row],[Methodology]]&amp;Material_Impacts[[#This Row],[Acronym]]</f>
        <v>A2ConsequentialNRSF</v>
      </c>
      <c r="E100" t="s">
        <v>759</v>
      </c>
      <c r="F100" t="s">
        <v>760</v>
      </c>
      <c r="G100" s="1">
        <v>0</v>
      </c>
      <c r="H100" s="1">
        <v>0</v>
      </c>
      <c r="I100" s="1">
        <v>0</v>
      </c>
      <c r="J100" s="1">
        <v>0</v>
      </c>
      <c r="K100" s="1">
        <v>0</v>
      </c>
      <c r="L100" s="1">
        <v>0</v>
      </c>
      <c r="M100" s="1">
        <v>0</v>
      </c>
      <c r="N100" s="1"/>
      <c r="O100" s="443"/>
      <c r="P100" s="1">
        <v>0</v>
      </c>
      <c r="Q100" s="1">
        <v>0</v>
      </c>
      <c r="R100" s="1">
        <v>0</v>
      </c>
      <c r="S100" s="1">
        <v>0</v>
      </c>
      <c r="T100" s="1">
        <v>0</v>
      </c>
      <c r="U100" s="1">
        <v>0</v>
      </c>
      <c r="V100" s="1">
        <f ca="1">IFERROR('Dynamic Materials'!Q109+'Dynamic Materials'!AQ109, 0)</f>
        <v>1.2286007609406925E-4</v>
      </c>
      <c r="W100" s="1">
        <f ca="1">'Dynamic Materials'!R109</f>
        <v>1.2286007609406925E-4</v>
      </c>
      <c r="X100" s="1">
        <f ca="1">'Dynamic Materials'!T109</f>
        <v>1.2286007609406925E-4</v>
      </c>
      <c r="Y100" s="1">
        <f ca="1">IFERROR('Dynamic Materials'!U109+'Dynamic Materials'!AQ109, 0)</f>
        <v>1.2286007609406925E-4</v>
      </c>
      <c r="Z100" s="1">
        <f ca="1">IFERROR('Dynamic Materials'!S109+'Dynamic Materials'!AQ109, 0)</f>
        <v>1.2286007609406925E-4</v>
      </c>
      <c r="AA100" s="1">
        <f ca="1">'Dynamic Materials'!W109</f>
        <v>0</v>
      </c>
      <c r="AB100" s="1">
        <v>0</v>
      </c>
      <c r="AC100" s="1">
        <v>0</v>
      </c>
      <c r="AD100" s="209">
        <f>BZ100+200*Material_Impacts[[#This Row],[Truck (32+t)]]+1130*CB100</f>
        <v>0</v>
      </c>
      <c r="AE100" s="1">
        <v>0</v>
      </c>
      <c r="AF100" s="1">
        <v>0</v>
      </c>
      <c r="AG100" s="1"/>
      <c r="AH100" s="1">
        <v>0</v>
      </c>
      <c r="AI100" s="1">
        <f>'Dynamic Materials'!AG109</f>
        <v>0</v>
      </c>
      <c r="AJ100" s="1">
        <v>0</v>
      </c>
      <c r="AK100" s="1">
        <v>0</v>
      </c>
      <c r="AL100" s="1"/>
      <c r="AM100" s="1">
        <f t="shared" si="8"/>
        <v>0</v>
      </c>
      <c r="AN100" s="1">
        <v>0</v>
      </c>
      <c r="AO100" s="1">
        <v>0</v>
      </c>
      <c r="AP100" s="209">
        <v>0</v>
      </c>
      <c r="AQ100" s="1">
        <f ca="1">'Dynamic Materials'!O109</f>
        <v>0</v>
      </c>
      <c r="AR100" s="1">
        <f ca="1">'Dynamic Materials'!P109</f>
        <v>0</v>
      </c>
      <c r="AS100" s="1"/>
      <c r="AT100" s="1" cm="1">
        <f t="array" aca="1" ref="AT100" ca="1">IFERROR(INDEX(Electricity_projection,MATCH($B100&amp;$A100,INDEX(Electricity_projection,0,3),0),MATCH(YEAR(TODAY()),Timeline_elec_projec,0)+3)*INDEX(Recyc_mat_energy_input,MATCH(AT$1,'Data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100" s="1" cm="1">
        <f t="array" aca="1" ref="AU100" ca="1">IFERROR(INDEX(Electricity_projection,MATCH($B100&amp;$A100,INDEX(Electricity_projection,0,3),0),MATCH(YEAR(TODAY()),Timeline_elec_projec,0)+3)*INDEX(Recyc_mat_energy_input,MATCH(AU$1,'Data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100" s="1" cm="1">
        <f t="array" aca="1" ref="AV100" ca="1">IFERROR(INDEX(Electricity_projection,MATCH($B100&amp;$A100,INDEX(Electricity_projection,0,3),0),MATCH(YEAR(TODAY()),Timeline_elec_projec,0)+3)*INDEX(Recyc_mat_energy_input,MATCH(AV$1,'Data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100" s="1"/>
      <c r="AX100" s="1"/>
      <c r="AY100" s="1"/>
      <c r="AZ100" s="1"/>
      <c r="BA100" s="1"/>
      <c r="BB100" s="1"/>
      <c r="BC100" s="1">
        <f t="shared" si="9"/>
        <v>0</v>
      </c>
      <c r="BD100" s="1"/>
      <c r="BE100" s="1"/>
      <c r="BF100" s="1"/>
      <c r="BG100" s="1">
        <f ca="1">'Dynamic Materials'!V109</f>
        <v>0</v>
      </c>
      <c r="BH100" s="1"/>
      <c r="BI100" s="1" t="str" cm="1">
        <f t="array" aca="1" ref="BI100" ca="1">IFERROR(INDEX(Electricity_projection,MATCH($B100&amp;$A100,INDEX(Electricity_projection,0,3),0),MATCH(YEAR(TODAY()),Timeline_elec_projec,0)+3)*INDEX(Recyc_mat_energy_input,MATCH(BI$1,'Data Entry'!$B$91:$B$96,0),1)+Diesel_density*INDEX(Recyc_mat_energy_input,MATCH(BI$1,'Data Entry'!$B$91:$B$96,0),2)*INDEX(Indicators,ROW(),MATCH("Diesel Combustion",Materials!$1:$1,0)), "")</f>
        <v/>
      </c>
      <c r="BJ100" s="1"/>
      <c r="BK100" s="1" t="str" cm="1">
        <f t="array" aca="1" ref="BK100" ca="1">IFERROR(INDEX(Electricity_projection,MATCH($B100&amp;$A100,INDEX(Electricity_projection,0,3),0),MATCH(YEAR(TODAY()),Timeline_elec_projec,0)+3)*INDEX(Recyc_mat_energy_input,MATCH(BK$1,'Data Entry'!$B$91:$B$96,0),1)+Diesel_density*INDEX(Recyc_mat_energy_input,MATCH(BK$1,'Data Entry'!$B$91:$B$96,0),2)*INDEX(Indicators,ROW(),MATCH("Diesel Combustion",Materials!$1:$1,0)), "")</f>
        <v/>
      </c>
      <c r="BL100" s="1" t="str" cm="1">
        <f t="array" aca="1" ref="BL100" ca="1">IFERROR(INDEX(Electricity_projection,MATCH($B100&amp;$A100,INDEX(Electricity_projection,0,3),0),MATCH(YEAR(TODAY()),Timeline_elec_projec,0)+3)*INDEX(Recyc_mat_energy_input,MATCH(BL$1,'Data Entry'!$B$91:$B$96,0),1)+Diesel_density*INDEX(Recyc_mat_energy_input,MATCH(BL$1,'Data Entry'!$B$91:$B$96,0),2)*INDEX(Indicators,ROW(),MATCH("Diesel Combustion",Materials!$1:$1,0)), "")</f>
        <v/>
      </c>
      <c r="BM100" s="1"/>
      <c r="BN100" s="1">
        <f>IF(Steel_supplier="Pacific Steel",Material_Impacts[[#This Row],[Pacific Steel]],Material_Impacts[[#This Row],[Infrabuild]])</f>
        <v>0</v>
      </c>
      <c r="BO100" s="1"/>
      <c r="BP100" s="1">
        <v>0</v>
      </c>
      <c r="BQ100">
        <v>0</v>
      </c>
      <c r="BR100">
        <v>0</v>
      </c>
      <c r="BS100" s="443"/>
      <c r="BT100" s="443"/>
      <c r="BU100" s="443"/>
      <c r="BV100" s="443">
        <v>1</v>
      </c>
      <c r="BX100" s="1">
        <v>0</v>
      </c>
      <c r="BY100" s="1">
        <f t="shared" si="11"/>
        <v>0</v>
      </c>
      <c r="BZ100">
        <v>0</v>
      </c>
      <c r="CA100" s="1">
        <v>0</v>
      </c>
      <c r="CB100">
        <v>0</v>
      </c>
      <c r="CC100">
        <v>0</v>
      </c>
      <c r="CD100" s="378">
        <f t="shared" si="10"/>
        <v>0</v>
      </c>
      <c r="CE100" s="208">
        <f t="shared" si="12"/>
        <v>0</v>
      </c>
      <c r="CF100" s="208"/>
      <c r="CG100" s="208"/>
      <c r="CH100" s="208"/>
      <c r="CI100" s="208"/>
      <c r="CJ100" s="208"/>
      <c r="CK100" s="208"/>
      <c r="CL100" s="208"/>
      <c r="CM100" s="208"/>
      <c r="CN100" s="208"/>
      <c r="CP100" s="208"/>
    </row>
    <row r="101" spans="1:98" x14ac:dyDescent="0.35">
      <c r="A101" t="s">
        <v>512</v>
      </c>
      <c r="B101" t="s">
        <v>485</v>
      </c>
      <c r="C101" t="s">
        <v>768</v>
      </c>
      <c r="D101" t="str">
        <f>Material_Impacts[[#This Row],[15804 version]]&amp;Material_Impacts[[#This Row],[Methodology]]&amp;Material_Impacts[[#This Row],[Acronym]]</f>
        <v>A2ConsequentialRSF</v>
      </c>
      <c r="E101" t="s">
        <v>761</v>
      </c>
      <c r="F101" t="s">
        <v>760</v>
      </c>
      <c r="G101" s="1">
        <v>0</v>
      </c>
      <c r="H101" s="1">
        <v>0</v>
      </c>
      <c r="I101" s="1">
        <v>0</v>
      </c>
      <c r="J101" s="1">
        <v>0</v>
      </c>
      <c r="K101" s="1">
        <v>0</v>
      </c>
      <c r="L101" s="1">
        <v>0</v>
      </c>
      <c r="M101" s="1">
        <v>0</v>
      </c>
      <c r="N101" s="1"/>
      <c r="O101" s="443"/>
      <c r="P101" s="1">
        <v>0</v>
      </c>
      <c r="Q101" s="1">
        <v>0</v>
      </c>
      <c r="R101" s="1">
        <v>0</v>
      </c>
      <c r="S101" s="1">
        <v>0</v>
      </c>
      <c r="T101" s="1">
        <v>0</v>
      </c>
      <c r="U101" s="1">
        <v>0</v>
      </c>
      <c r="V101" s="1">
        <f ca="1">IFERROR('Dynamic Materials'!Q110+'Dynamic Materials'!AQ110, 0)</f>
        <v>1.2286007609406925E-4</v>
      </c>
      <c r="W101" s="1">
        <f ca="1">'Dynamic Materials'!R110</f>
        <v>1.2286007609406925E-4</v>
      </c>
      <c r="X101" s="1">
        <f ca="1">'Dynamic Materials'!T110</f>
        <v>1.2286007609406925E-4</v>
      </c>
      <c r="Y101" s="1">
        <f ca="1">IFERROR('Dynamic Materials'!U110+'Dynamic Materials'!AQ110, 0)</f>
        <v>1.2286007609406925E-4</v>
      </c>
      <c r="Z101" s="1">
        <f ca="1">IFERROR('Dynamic Materials'!S110+'Dynamic Materials'!AQ110, 0)</f>
        <v>1.2286007609406925E-4</v>
      </c>
      <c r="AA101" s="1">
        <f ca="1">'Dynamic Materials'!W110</f>
        <v>0</v>
      </c>
      <c r="AB101" s="1">
        <v>0</v>
      </c>
      <c r="AC101" s="1">
        <v>0</v>
      </c>
      <c r="AD101" s="209">
        <f>BZ101+200*Material_Impacts[[#This Row],[Truck (32+t)]]+1130*CB101</f>
        <v>0</v>
      </c>
      <c r="AE101" s="1">
        <v>0</v>
      </c>
      <c r="AF101" s="1">
        <v>0</v>
      </c>
      <c r="AG101" s="1"/>
      <c r="AH101" s="1">
        <v>0</v>
      </c>
      <c r="AI101" s="1">
        <f>'Dynamic Materials'!AG110</f>
        <v>0</v>
      </c>
      <c r="AJ101" s="1">
        <v>0</v>
      </c>
      <c r="AK101" s="1">
        <v>0</v>
      </c>
      <c r="AL101" s="1"/>
      <c r="AM101" s="1">
        <f t="shared" si="8"/>
        <v>0</v>
      </c>
      <c r="AN101" s="1">
        <v>0</v>
      </c>
      <c r="AO101" s="1">
        <v>0</v>
      </c>
      <c r="AP101" s="209">
        <v>0</v>
      </c>
      <c r="AQ101" s="1">
        <f ca="1">'Dynamic Materials'!O110</f>
        <v>0</v>
      </c>
      <c r="AR101" s="1">
        <f ca="1">'Dynamic Materials'!P110</f>
        <v>0</v>
      </c>
      <c r="AS101" s="1"/>
      <c r="AT101" s="1" cm="1">
        <f t="array" aca="1" ref="AT101" ca="1">IFERROR(INDEX(Electricity_projection,MATCH($B101&amp;$A101,INDEX(Electricity_projection,0,3),0),MATCH(YEAR(TODAY()),Timeline_elec_projec,0)+3)*INDEX(Recyc_mat_energy_input,MATCH(AT$1,'Data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101" s="1" cm="1">
        <f t="array" aca="1" ref="AU101" ca="1">IFERROR(INDEX(Electricity_projection,MATCH($B101&amp;$A101,INDEX(Electricity_projection,0,3),0),MATCH(YEAR(TODAY()),Timeline_elec_projec,0)+3)*INDEX(Recyc_mat_energy_input,MATCH(AU$1,'Data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101" s="1" cm="1">
        <f t="array" aca="1" ref="AV101" ca="1">IFERROR(INDEX(Electricity_projection,MATCH($B101&amp;$A101,INDEX(Electricity_projection,0,3),0),MATCH(YEAR(TODAY()),Timeline_elec_projec,0)+3)*INDEX(Recyc_mat_energy_input,MATCH(AV$1,'Data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101" s="1"/>
      <c r="AX101" s="1"/>
      <c r="AY101" s="1"/>
      <c r="AZ101" s="1"/>
      <c r="BA101" s="1"/>
      <c r="BB101" s="1"/>
      <c r="BC101" s="1">
        <f t="shared" si="9"/>
        <v>0</v>
      </c>
      <c r="BD101" s="1"/>
      <c r="BE101" s="1"/>
      <c r="BF101" s="1"/>
      <c r="BG101" s="1">
        <f ca="1">'Dynamic Materials'!V110</f>
        <v>0</v>
      </c>
      <c r="BH101" s="1"/>
      <c r="BI101" s="1" t="str" cm="1">
        <f t="array" aca="1" ref="BI101" ca="1">IFERROR(INDEX(Electricity_projection,MATCH($B101&amp;$A101,INDEX(Electricity_projection,0,3),0),MATCH(YEAR(TODAY()),Timeline_elec_projec,0)+3)*INDEX(Recyc_mat_energy_input,MATCH(BI$1,'Data Entry'!$B$91:$B$96,0),1)+Diesel_density*INDEX(Recyc_mat_energy_input,MATCH(BI$1,'Data Entry'!$B$91:$B$96,0),2)*INDEX(Indicators,ROW(),MATCH("Diesel Combustion",Materials!$1:$1,0)), "")</f>
        <v/>
      </c>
      <c r="BJ101" s="1"/>
      <c r="BK101" s="1" t="str" cm="1">
        <f t="array" aca="1" ref="BK101" ca="1">IFERROR(INDEX(Electricity_projection,MATCH($B101&amp;$A101,INDEX(Electricity_projection,0,3),0),MATCH(YEAR(TODAY()),Timeline_elec_projec,0)+3)*INDEX(Recyc_mat_energy_input,MATCH(BK$1,'Data Entry'!$B$91:$B$96,0),1)+Diesel_density*INDEX(Recyc_mat_energy_input,MATCH(BK$1,'Data Entry'!$B$91:$B$96,0),2)*INDEX(Indicators,ROW(),MATCH("Diesel Combustion",Materials!$1:$1,0)), "")</f>
        <v/>
      </c>
      <c r="BL101" s="1" t="str" cm="1">
        <f t="array" aca="1" ref="BL101" ca="1">IFERROR(INDEX(Electricity_projection,MATCH($B101&amp;$A101,INDEX(Electricity_projection,0,3),0),MATCH(YEAR(TODAY()),Timeline_elec_projec,0)+3)*INDEX(Recyc_mat_energy_input,MATCH(BL$1,'Data Entry'!$B$91:$B$96,0),1)+Diesel_density*INDEX(Recyc_mat_energy_input,MATCH(BL$1,'Data Entry'!$B$91:$B$96,0),2)*INDEX(Indicators,ROW(),MATCH("Diesel Combustion",Materials!$1:$1,0)), "")</f>
        <v/>
      </c>
      <c r="BM101" s="1"/>
      <c r="BN101" s="1">
        <f>IF(Steel_supplier="Pacific Steel",Material_Impacts[[#This Row],[Pacific Steel]],Material_Impacts[[#This Row],[Infrabuild]])</f>
        <v>0</v>
      </c>
      <c r="BO101" s="1"/>
      <c r="BP101" s="1">
        <v>0</v>
      </c>
      <c r="BQ101">
        <v>0</v>
      </c>
      <c r="BR101">
        <v>0</v>
      </c>
      <c r="BS101" s="443"/>
      <c r="BT101" s="443"/>
      <c r="BU101" s="443"/>
      <c r="BV101" s="443">
        <v>1</v>
      </c>
      <c r="BX101" s="1">
        <v>0</v>
      </c>
      <c r="BY101" s="1">
        <f t="shared" si="11"/>
        <v>0</v>
      </c>
      <c r="BZ101">
        <v>0</v>
      </c>
      <c r="CA101" s="1">
        <v>0</v>
      </c>
      <c r="CB101">
        <v>0</v>
      </c>
      <c r="CC101">
        <v>0</v>
      </c>
      <c r="CD101" s="378">
        <f t="shared" si="10"/>
        <v>0</v>
      </c>
      <c r="CE101" s="208">
        <f t="shared" si="12"/>
        <v>0</v>
      </c>
      <c r="CF101" s="208"/>
      <c r="CG101" s="208"/>
      <c r="CH101" s="208"/>
      <c r="CI101" s="208"/>
      <c r="CJ101" s="208"/>
      <c r="CK101" s="208"/>
      <c r="CL101" s="208"/>
      <c r="CM101" s="208"/>
      <c r="CN101" s="208"/>
      <c r="CP101" s="208"/>
    </row>
    <row r="102" spans="1:98" x14ac:dyDescent="0.35">
      <c r="A102" t="s">
        <v>546</v>
      </c>
      <c r="B102" t="s">
        <v>485</v>
      </c>
      <c r="C102" t="s">
        <v>768</v>
      </c>
      <c r="D102" t="str">
        <f>Material_Impacts[[#This Row],[15804 version]]&amp;Material_Impacts[[#This Row],[Methodology]]&amp;Material_Impacts[[#This Row],[Acronym]]</f>
        <v>A2ConsequentialHWD</v>
      </c>
      <c r="E102" t="s">
        <v>762</v>
      </c>
      <c r="F102" t="s">
        <v>763</v>
      </c>
      <c r="G102" s="1">
        <v>0</v>
      </c>
      <c r="H102" s="1">
        <v>0</v>
      </c>
      <c r="I102" s="1">
        <v>0</v>
      </c>
      <c r="J102" s="1">
        <v>0</v>
      </c>
      <c r="K102" s="1">
        <v>0</v>
      </c>
      <c r="L102" s="1">
        <v>0</v>
      </c>
      <c r="M102" s="1">
        <v>0</v>
      </c>
      <c r="N102" s="1"/>
      <c r="O102" s="443"/>
      <c r="P102" s="1">
        <v>0</v>
      </c>
      <c r="Q102" s="1">
        <v>0</v>
      </c>
      <c r="R102" s="1">
        <v>0</v>
      </c>
      <c r="S102" s="1">
        <v>0</v>
      </c>
      <c r="T102" s="1">
        <v>0</v>
      </c>
      <c r="U102" s="1">
        <v>0</v>
      </c>
      <c r="V102" s="1">
        <f ca="1">IFERROR('Dynamic Materials'!Q111+'Dynamic Materials'!AQ111, 0)</f>
        <v>1.2286007609406925E-4</v>
      </c>
      <c r="W102" s="1">
        <f ca="1">'Dynamic Materials'!R111</f>
        <v>1.2286007609406925E-4</v>
      </c>
      <c r="X102" s="1">
        <f ca="1">'Dynamic Materials'!T111</f>
        <v>1.2286007609406925E-4</v>
      </c>
      <c r="Y102" s="1">
        <f ca="1">IFERROR('Dynamic Materials'!U111+'Dynamic Materials'!AQ111, 0)</f>
        <v>1.2286007609406925E-4</v>
      </c>
      <c r="Z102" s="1">
        <f ca="1">IFERROR('Dynamic Materials'!S111+'Dynamic Materials'!AQ111, 0)</f>
        <v>1.2286007609406925E-4</v>
      </c>
      <c r="AA102" s="1">
        <f ca="1">'Dynamic Materials'!W111</f>
        <v>0</v>
      </c>
      <c r="AB102" s="1">
        <v>0</v>
      </c>
      <c r="AC102" s="1">
        <v>0</v>
      </c>
      <c r="AD102" s="209">
        <f>BZ102+200*Material_Impacts[[#This Row],[Truck (32+t)]]+1130*CB102</f>
        <v>0</v>
      </c>
      <c r="AE102" s="1">
        <v>0</v>
      </c>
      <c r="AF102" s="1">
        <v>0</v>
      </c>
      <c r="AG102" s="1"/>
      <c r="AH102" s="1">
        <v>0</v>
      </c>
      <c r="AI102" s="1">
        <f>'Dynamic Materials'!AG111</f>
        <v>0</v>
      </c>
      <c r="AJ102" s="1">
        <v>0</v>
      </c>
      <c r="AK102" s="1">
        <v>0</v>
      </c>
      <c r="AL102" s="1"/>
      <c r="AM102" s="1">
        <f t="shared" si="8"/>
        <v>0</v>
      </c>
      <c r="AN102" s="1">
        <v>0</v>
      </c>
      <c r="AO102" s="1">
        <v>0</v>
      </c>
      <c r="AP102" s="209">
        <v>0</v>
      </c>
      <c r="AQ102" s="1">
        <f ca="1">'Dynamic Materials'!O111</f>
        <v>0</v>
      </c>
      <c r="AR102" s="1">
        <f ca="1">'Dynamic Materials'!P111</f>
        <v>0</v>
      </c>
      <c r="AS102" s="1"/>
      <c r="AT102" s="1" cm="1">
        <f t="array" aca="1" ref="AT102" ca="1">IFERROR(INDEX(Electricity_projection,MATCH($B102&amp;$A102,INDEX(Electricity_projection,0,3),0),MATCH(YEAR(TODAY()),Timeline_elec_projec,0)+3)*INDEX(Recyc_mat_energy_input,MATCH(AT$1,'Data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102" s="1" cm="1">
        <f t="array" aca="1" ref="AU102" ca="1">IFERROR(INDEX(Electricity_projection,MATCH($B102&amp;$A102,INDEX(Electricity_projection,0,3),0),MATCH(YEAR(TODAY()),Timeline_elec_projec,0)+3)*INDEX(Recyc_mat_energy_input,MATCH(AU$1,'Data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102" s="1" cm="1">
        <f t="array" aca="1" ref="AV102" ca="1">IFERROR(INDEX(Electricity_projection,MATCH($B102&amp;$A102,INDEX(Electricity_projection,0,3),0),MATCH(YEAR(TODAY()),Timeline_elec_projec,0)+3)*INDEX(Recyc_mat_energy_input,MATCH(AV$1,'Data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102" s="1"/>
      <c r="AX102" s="1"/>
      <c r="AY102" s="1"/>
      <c r="AZ102" s="1"/>
      <c r="BA102" s="1"/>
      <c r="BB102" s="1"/>
      <c r="BC102" s="1">
        <f t="shared" si="9"/>
        <v>0</v>
      </c>
      <c r="BD102" s="1"/>
      <c r="BE102" s="1"/>
      <c r="BF102" s="1"/>
      <c r="BG102" s="1">
        <f ca="1">'Dynamic Materials'!V111</f>
        <v>0</v>
      </c>
      <c r="BH102" s="1"/>
      <c r="BI102" s="1" t="str" cm="1">
        <f t="array" aca="1" ref="BI102" ca="1">IFERROR(INDEX(Electricity_projection,MATCH($B102&amp;$A102,INDEX(Electricity_projection,0,3),0),MATCH(YEAR(TODAY()),Timeline_elec_projec,0)+3)*INDEX(Recyc_mat_energy_input,MATCH(BI$1,'Data Entry'!$B$91:$B$96,0),1)+Diesel_density*INDEX(Recyc_mat_energy_input,MATCH(BI$1,'Data Entry'!$B$91:$B$96,0),2)*INDEX(Indicators,ROW(),MATCH("Diesel Combustion",Materials!$1:$1,0)), "")</f>
        <v/>
      </c>
      <c r="BJ102" s="1"/>
      <c r="BK102" s="1" t="str" cm="1">
        <f t="array" aca="1" ref="BK102" ca="1">IFERROR(INDEX(Electricity_projection,MATCH($B102&amp;$A102,INDEX(Electricity_projection,0,3),0),MATCH(YEAR(TODAY()),Timeline_elec_projec,0)+3)*INDEX(Recyc_mat_energy_input,MATCH(BK$1,'Data Entry'!$B$91:$B$96,0),1)+Diesel_density*INDEX(Recyc_mat_energy_input,MATCH(BK$1,'Data Entry'!$B$91:$B$96,0),2)*INDEX(Indicators,ROW(),MATCH("Diesel Combustion",Materials!$1:$1,0)), "")</f>
        <v/>
      </c>
      <c r="BL102" s="1" t="str" cm="1">
        <f t="array" aca="1" ref="BL102" ca="1">IFERROR(INDEX(Electricity_projection,MATCH($B102&amp;$A102,INDEX(Electricity_projection,0,3),0),MATCH(YEAR(TODAY()),Timeline_elec_projec,0)+3)*INDEX(Recyc_mat_energy_input,MATCH(BL$1,'Data Entry'!$B$91:$B$96,0),1)+Diesel_density*INDEX(Recyc_mat_energy_input,MATCH(BL$1,'Data Entry'!$B$91:$B$96,0),2)*INDEX(Indicators,ROW(),MATCH("Diesel Combustion",Materials!$1:$1,0)), "")</f>
        <v/>
      </c>
      <c r="BM102" s="1"/>
      <c r="BN102" s="1">
        <f>IF(Steel_supplier="Pacific Steel",Material_Impacts[[#This Row],[Pacific Steel]],Material_Impacts[[#This Row],[Infrabuild]])</f>
        <v>0</v>
      </c>
      <c r="BO102" s="1"/>
      <c r="BP102" s="1">
        <v>0</v>
      </c>
      <c r="BQ102">
        <v>0</v>
      </c>
      <c r="BR102">
        <v>0</v>
      </c>
      <c r="BS102" s="443"/>
      <c r="BT102" s="443"/>
      <c r="BU102" s="443"/>
      <c r="BV102" s="443">
        <v>1</v>
      </c>
      <c r="BX102" s="1">
        <v>0</v>
      </c>
      <c r="BY102" s="1">
        <f t="shared" si="11"/>
        <v>0</v>
      </c>
      <c r="BZ102">
        <v>0</v>
      </c>
      <c r="CA102" s="1">
        <v>0</v>
      </c>
      <c r="CB102">
        <v>0</v>
      </c>
      <c r="CC102">
        <v>0</v>
      </c>
      <c r="CD102" s="378">
        <f t="shared" si="10"/>
        <v>0</v>
      </c>
      <c r="CE102" s="208">
        <f t="shared" si="12"/>
        <v>0</v>
      </c>
      <c r="CF102" s="208"/>
      <c r="CG102" s="208"/>
      <c r="CH102" s="208"/>
      <c r="CI102" s="208"/>
      <c r="CJ102" s="208"/>
      <c r="CK102" s="208"/>
      <c r="CL102" s="208"/>
      <c r="CM102" s="208"/>
      <c r="CN102" s="208"/>
      <c r="CP102" s="208"/>
    </row>
    <row r="103" spans="1:98" x14ac:dyDescent="0.35">
      <c r="A103" t="s">
        <v>516</v>
      </c>
      <c r="B103" t="s">
        <v>485</v>
      </c>
      <c r="C103" t="s">
        <v>768</v>
      </c>
      <c r="D103" t="str">
        <f>Material_Impacts[[#This Row],[15804 version]]&amp;Material_Impacts[[#This Row],[Methodology]]&amp;Material_Impacts[[#This Row],[Acronym]]</f>
        <v>A2ConsequentialNHWD</v>
      </c>
      <c r="E103" t="s">
        <v>764</v>
      </c>
      <c r="F103" t="s">
        <v>765</v>
      </c>
      <c r="G103" s="1">
        <v>0</v>
      </c>
      <c r="H103" s="1">
        <v>0</v>
      </c>
      <c r="I103" s="1">
        <v>0</v>
      </c>
      <c r="J103" s="1">
        <v>0</v>
      </c>
      <c r="K103" s="1">
        <v>0</v>
      </c>
      <c r="L103" s="1">
        <v>0</v>
      </c>
      <c r="M103" s="1">
        <v>0</v>
      </c>
      <c r="N103" s="1"/>
      <c r="O103" s="443"/>
      <c r="P103" s="1">
        <v>0</v>
      </c>
      <c r="Q103" s="1">
        <v>0</v>
      </c>
      <c r="R103" s="1">
        <v>0</v>
      </c>
      <c r="S103" s="1">
        <v>0</v>
      </c>
      <c r="T103" s="1">
        <v>0</v>
      </c>
      <c r="U103" s="1">
        <v>0</v>
      </c>
      <c r="V103" s="1">
        <f ca="1">IFERROR('Dynamic Materials'!Q112+'Dynamic Materials'!AQ112, 0)</f>
        <v>1.2286007609406925E-4</v>
      </c>
      <c r="W103" s="1">
        <f ca="1">'Dynamic Materials'!R112</f>
        <v>1.2286007609406925E-4</v>
      </c>
      <c r="X103" s="1">
        <f ca="1">'Dynamic Materials'!T112</f>
        <v>1.2286007609406925E-4</v>
      </c>
      <c r="Y103" s="1">
        <f ca="1">IFERROR('Dynamic Materials'!U112+'Dynamic Materials'!AQ112, 0)</f>
        <v>1.2286007609406925E-4</v>
      </c>
      <c r="Z103" s="1">
        <f ca="1">IFERROR('Dynamic Materials'!S112+'Dynamic Materials'!AQ112, 0)</f>
        <v>1.2286007609406925E-4</v>
      </c>
      <c r="AA103" s="1">
        <f ca="1">'Dynamic Materials'!W112</f>
        <v>0</v>
      </c>
      <c r="AB103" s="1">
        <v>0</v>
      </c>
      <c r="AC103" s="1">
        <v>0</v>
      </c>
      <c r="AD103" s="209">
        <f>BZ103+200*Material_Impacts[[#This Row],[Truck (32+t)]]+1130*CB103</f>
        <v>0</v>
      </c>
      <c r="AE103" s="1">
        <v>0</v>
      </c>
      <c r="AF103" s="1">
        <v>0</v>
      </c>
      <c r="AG103" s="1"/>
      <c r="AH103" s="1">
        <v>0</v>
      </c>
      <c r="AI103" s="1">
        <f>'Dynamic Materials'!AG112</f>
        <v>0</v>
      </c>
      <c r="AJ103" s="1">
        <v>0</v>
      </c>
      <c r="AK103" s="1">
        <v>0</v>
      </c>
      <c r="AL103" s="1"/>
      <c r="AM103" s="1">
        <f t="shared" ref="AM103:AM110" si="13">BD103*0.04</f>
        <v>0</v>
      </c>
      <c r="AN103" s="1">
        <v>0</v>
      </c>
      <c r="AO103" s="1">
        <v>0</v>
      </c>
      <c r="AP103" s="209">
        <v>0</v>
      </c>
      <c r="AQ103" s="1">
        <f ca="1">'Dynamic Materials'!O112</f>
        <v>0</v>
      </c>
      <c r="AR103" s="1">
        <f ca="1">'Dynamic Materials'!P112</f>
        <v>0</v>
      </c>
      <c r="AS103" s="1"/>
      <c r="AT103" s="1" cm="1">
        <f t="array" aca="1" ref="AT103" ca="1">IFERROR(INDEX(Electricity_projection,MATCH($B103&amp;$A103,INDEX(Electricity_projection,0,3),0),MATCH(YEAR(TODAY()),Timeline_elec_projec,0)+3)*INDEX(Recyc_mat_energy_input,MATCH(AT$1,'Data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103" s="1" cm="1">
        <f t="array" aca="1" ref="AU103" ca="1">IFERROR(INDEX(Electricity_projection,MATCH($B103&amp;$A103,INDEX(Electricity_projection,0,3),0),MATCH(YEAR(TODAY()),Timeline_elec_projec,0)+3)*INDEX(Recyc_mat_energy_input,MATCH(AU$1,'Data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103" s="1" cm="1">
        <f t="array" aca="1" ref="AV103" ca="1">IFERROR(INDEX(Electricity_projection,MATCH($B103&amp;$A103,INDEX(Electricity_projection,0,3),0),MATCH(YEAR(TODAY()),Timeline_elec_projec,0)+3)*INDEX(Recyc_mat_energy_input,MATCH(AV$1,'Data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103" s="1"/>
      <c r="AX103" s="1"/>
      <c r="AY103" s="1"/>
      <c r="AZ103" s="1"/>
      <c r="BA103" s="1"/>
      <c r="BB103" s="1"/>
      <c r="BC103" s="1">
        <f t="shared" ref="BC103:BC110" si="14">IF(Cement_Supplier="Golden Bay Cement",BD103,BE103)</f>
        <v>0</v>
      </c>
      <c r="BD103" s="1"/>
      <c r="BE103" s="1"/>
      <c r="BF103" s="1"/>
      <c r="BG103" s="1">
        <f ca="1">'Dynamic Materials'!V112</f>
        <v>0</v>
      </c>
      <c r="BH103" s="1"/>
      <c r="BI103" s="1" t="str" cm="1">
        <f t="array" aca="1" ref="BI103" ca="1">IFERROR(INDEX(Electricity_projection,MATCH($B103&amp;$A103,INDEX(Electricity_projection,0,3),0),MATCH(YEAR(TODAY()),Timeline_elec_projec,0)+3)*INDEX(Recyc_mat_energy_input,MATCH(BI$1,'Data Entry'!$B$91:$B$96,0),1)+Diesel_density*INDEX(Recyc_mat_energy_input,MATCH(BI$1,'Data Entry'!$B$91:$B$96,0),2)*INDEX(Indicators,ROW(),MATCH("Diesel Combustion",Materials!$1:$1,0)), "")</f>
        <v/>
      </c>
      <c r="BJ103" s="1"/>
      <c r="BK103" s="1" t="str" cm="1">
        <f t="array" aca="1" ref="BK103" ca="1">IFERROR(INDEX(Electricity_projection,MATCH($B103&amp;$A103,INDEX(Electricity_projection,0,3),0),MATCH(YEAR(TODAY()),Timeline_elec_projec,0)+3)*INDEX(Recyc_mat_energy_input,MATCH(BK$1,'Data Entry'!$B$91:$B$96,0),1)+Diesel_density*INDEX(Recyc_mat_energy_input,MATCH(BK$1,'Data Entry'!$B$91:$B$96,0),2)*INDEX(Indicators,ROW(),MATCH("Diesel Combustion",Materials!$1:$1,0)), "")</f>
        <v/>
      </c>
      <c r="BL103" s="1" t="str" cm="1">
        <f t="array" aca="1" ref="BL103" ca="1">IFERROR(INDEX(Electricity_projection,MATCH($B103&amp;$A103,INDEX(Electricity_projection,0,3),0),MATCH(YEAR(TODAY()),Timeline_elec_projec,0)+3)*INDEX(Recyc_mat_energy_input,MATCH(BL$1,'Data Entry'!$B$91:$B$96,0),1)+Diesel_density*INDEX(Recyc_mat_energy_input,MATCH(BL$1,'Data Entry'!$B$91:$B$96,0),2)*INDEX(Indicators,ROW(),MATCH("Diesel Combustion",Materials!$1:$1,0)), "")</f>
        <v/>
      </c>
      <c r="BM103" s="1"/>
      <c r="BN103" s="1">
        <f>IF(Steel_supplier="Pacific Steel",Material_Impacts[[#This Row],[Pacific Steel]],Material_Impacts[[#This Row],[Infrabuild]])</f>
        <v>0</v>
      </c>
      <c r="BO103" s="1"/>
      <c r="BP103" s="1">
        <v>0</v>
      </c>
      <c r="BQ103">
        <v>0</v>
      </c>
      <c r="BR103">
        <v>0</v>
      </c>
      <c r="BS103" s="443"/>
      <c r="BT103" s="443"/>
      <c r="BU103" s="443"/>
      <c r="BV103" s="443">
        <v>1</v>
      </c>
      <c r="BX103" s="1">
        <v>0</v>
      </c>
      <c r="BY103" s="1">
        <f t="shared" si="11"/>
        <v>0</v>
      </c>
      <c r="BZ103">
        <v>0</v>
      </c>
      <c r="CA103" s="1">
        <v>0</v>
      </c>
      <c r="CB103">
        <v>0</v>
      </c>
      <c r="CC103">
        <v>0</v>
      </c>
      <c r="CD103" s="378">
        <f t="shared" ref="CD103:CD110" si="15">9639.66*CB103</f>
        <v>0</v>
      </c>
      <c r="CE103" s="208">
        <f t="shared" si="12"/>
        <v>0</v>
      </c>
      <c r="CF103" s="208"/>
      <c r="CG103" s="208"/>
      <c r="CH103" s="208"/>
      <c r="CI103" s="208"/>
      <c r="CJ103" s="208"/>
      <c r="CK103" s="208"/>
      <c r="CL103" s="208"/>
      <c r="CM103" s="208"/>
      <c r="CN103" s="208"/>
      <c r="CP103" s="208"/>
    </row>
    <row r="104" spans="1:98" x14ac:dyDescent="0.35">
      <c r="A104" t="s">
        <v>518</v>
      </c>
      <c r="B104" t="s">
        <v>485</v>
      </c>
      <c r="C104" t="s">
        <v>768</v>
      </c>
      <c r="D104" t="str">
        <f>Material_Impacts[[#This Row],[15804 version]]&amp;Material_Impacts[[#This Row],[Methodology]]&amp;Material_Impacts[[#This Row],[Acronym]]</f>
        <v>A2ConsequentialRWD</v>
      </c>
      <c r="E104" t="s">
        <v>766</v>
      </c>
      <c r="F104" t="s">
        <v>767</v>
      </c>
      <c r="G104" s="1">
        <v>0</v>
      </c>
      <c r="H104" s="1">
        <v>0</v>
      </c>
      <c r="I104" s="1">
        <v>0</v>
      </c>
      <c r="J104" s="1">
        <v>0</v>
      </c>
      <c r="K104" s="1">
        <v>0</v>
      </c>
      <c r="L104" s="1">
        <v>0</v>
      </c>
      <c r="M104" s="1">
        <v>0</v>
      </c>
      <c r="N104" s="1"/>
      <c r="O104" s="443"/>
      <c r="P104" s="1">
        <v>0</v>
      </c>
      <c r="Q104" s="1">
        <v>0</v>
      </c>
      <c r="R104" s="1">
        <v>0</v>
      </c>
      <c r="S104" s="1">
        <v>0</v>
      </c>
      <c r="T104" s="1">
        <v>0</v>
      </c>
      <c r="U104" s="1">
        <v>0</v>
      </c>
      <c r="V104" s="1">
        <f ca="1">IFERROR('Dynamic Materials'!Q113+'Dynamic Materials'!AQ113, 0)</f>
        <v>1.2286007609406925E-4</v>
      </c>
      <c r="W104" s="1">
        <f ca="1">'Dynamic Materials'!R113</f>
        <v>1.2286007609406925E-4</v>
      </c>
      <c r="X104" s="1">
        <f ca="1">'Dynamic Materials'!T113</f>
        <v>1.2286007609406925E-4</v>
      </c>
      <c r="Y104" s="1">
        <f ca="1">IFERROR('Dynamic Materials'!U113+'Dynamic Materials'!AQ113, 0)</f>
        <v>1.2286007609406925E-4</v>
      </c>
      <c r="Z104" s="1">
        <f ca="1">IFERROR('Dynamic Materials'!S113+'Dynamic Materials'!AQ113, 0)</f>
        <v>1.2286007609406925E-4</v>
      </c>
      <c r="AA104" s="1">
        <f ca="1">'Dynamic Materials'!W113</f>
        <v>0</v>
      </c>
      <c r="AB104" s="1">
        <v>0</v>
      </c>
      <c r="AC104" s="1">
        <v>0</v>
      </c>
      <c r="AD104" s="209">
        <f>BZ104+200*Material_Impacts[[#This Row],[Truck (32+t)]]+1130*CB104</f>
        <v>0</v>
      </c>
      <c r="AE104" s="1">
        <v>0</v>
      </c>
      <c r="AF104" s="1">
        <v>0</v>
      </c>
      <c r="AG104" s="1"/>
      <c r="AH104" s="1">
        <v>0</v>
      </c>
      <c r="AI104" s="1">
        <f>'Dynamic Materials'!AG113</f>
        <v>0</v>
      </c>
      <c r="AJ104" s="1">
        <v>0</v>
      </c>
      <c r="AK104" s="1">
        <v>0</v>
      </c>
      <c r="AL104" s="1"/>
      <c r="AM104" s="1">
        <f t="shared" si="13"/>
        <v>0</v>
      </c>
      <c r="AN104" s="1">
        <v>0</v>
      </c>
      <c r="AO104" s="1">
        <v>0</v>
      </c>
      <c r="AP104" s="209">
        <v>0</v>
      </c>
      <c r="AQ104" s="1">
        <f ca="1">'Dynamic Materials'!O113</f>
        <v>0</v>
      </c>
      <c r="AR104" s="1">
        <f ca="1">'Dynamic Materials'!P113</f>
        <v>0</v>
      </c>
      <c r="AS104" s="1"/>
      <c r="AT104" s="1" cm="1">
        <f t="array" aca="1" ref="AT104" ca="1">IFERROR(INDEX(Electricity_projection,MATCH($B104&amp;$A104,INDEX(Electricity_projection,0,3),0),MATCH(YEAR(TODAY()),Timeline_elec_projec,0)+3)*INDEX(Recyc_mat_energy_input,MATCH(AT$1,'Data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0</v>
      </c>
      <c r="AU104" s="1" cm="1">
        <f t="array" aca="1" ref="AU104" ca="1">IFERROR(INDEX(Electricity_projection,MATCH($B104&amp;$A104,INDEX(Electricity_projection,0,3),0),MATCH(YEAR(TODAY()),Timeline_elec_projec,0)+3)*INDEX(Recyc_mat_energy_input,MATCH(AU$1,'Data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0</v>
      </c>
      <c r="AV104" s="1" cm="1">
        <f t="array" aca="1" ref="AV104" ca="1">IFERROR(INDEX(Electricity_projection,MATCH($B104&amp;$A104,INDEX(Electricity_projection,0,3),0),MATCH(YEAR(TODAY()),Timeline_elec_projec,0)+3)*INDEX(Recyc_mat_energy_input,MATCH(AV$1,'Data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0</v>
      </c>
      <c r="AW104" s="1"/>
      <c r="AX104" s="1"/>
      <c r="AY104" s="1"/>
      <c r="AZ104" s="1"/>
      <c r="BA104" s="1"/>
      <c r="BB104" s="1"/>
      <c r="BC104" s="1">
        <f t="shared" si="14"/>
        <v>0</v>
      </c>
      <c r="BD104" s="1"/>
      <c r="BE104" s="1"/>
      <c r="BF104" s="1"/>
      <c r="BG104" s="1">
        <f ca="1">'Dynamic Materials'!V113</f>
        <v>0</v>
      </c>
      <c r="BH104" s="1"/>
      <c r="BI104" s="1" t="str" cm="1">
        <f t="array" aca="1" ref="BI104" ca="1">IFERROR(INDEX(Electricity_projection,MATCH($B104&amp;$A104,INDEX(Electricity_projection,0,3),0),MATCH(YEAR(TODAY()),Timeline_elec_projec,0)+3)*INDEX(Recyc_mat_energy_input,MATCH(BI$1,'Data Entry'!$B$91:$B$96,0),1)+Diesel_density*INDEX(Recyc_mat_energy_input,MATCH(BI$1,'Data Entry'!$B$91:$B$96,0),2)*INDEX(Indicators,ROW(),MATCH("Diesel Combustion",Materials!$1:$1,0)), "")</f>
        <v/>
      </c>
      <c r="BJ104" s="1"/>
      <c r="BK104" s="1" t="str" cm="1">
        <f t="array" aca="1" ref="BK104" ca="1">IFERROR(INDEX(Electricity_projection,MATCH($B104&amp;$A104,INDEX(Electricity_projection,0,3),0),MATCH(YEAR(TODAY()),Timeline_elec_projec,0)+3)*INDEX(Recyc_mat_energy_input,MATCH(BK$1,'Data Entry'!$B$91:$B$96,0),1)+Diesel_density*INDEX(Recyc_mat_energy_input,MATCH(BK$1,'Data Entry'!$B$91:$B$96,0),2)*INDEX(Indicators,ROW(),MATCH("Diesel Combustion",Materials!$1:$1,0)), "")</f>
        <v/>
      </c>
      <c r="BL104" s="1" t="str" cm="1">
        <f t="array" aca="1" ref="BL104" ca="1">IFERROR(INDEX(Electricity_projection,MATCH($B104&amp;$A104,INDEX(Electricity_projection,0,3),0),MATCH(YEAR(TODAY()),Timeline_elec_projec,0)+3)*INDEX(Recyc_mat_energy_input,MATCH(BL$1,'Data Entry'!$B$91:$B$96,0),1)+Diesel_density*INDEX(Recyc_mat_energy_input,MATCH(BL$1,'Data Entry'!$B$91:$B$96,0),2)*INDEX(Indicators,ROW(),MATCH("Diesel Combustion",Materials!$1:$1,0)), "")</f>
        <v/>
      </c>
      <c r="BM104" s="1"/>
      <c r="BN104" s="1">
        <f>IF(Steel_supplier="Pacific Steel",Material_Impacts[[#This Row],[Pacific Steel]],Material_Impacts[[#This Row],[Infrabuild]])</f>
        <v>0</v>
      </c>
      <c r="BO104" s="1"/>
      <c r="BP104" s="1">
        <v>0</v>
      </c>
      <c r="BQ104">
        <v>0</v>
      </c>
      <c r="BR104">
        <v>0</v>
      </c>
      <c r="BS104" s="443"/>
      <c r="BT104" s="443"/>
      <c r="BU104" s="443"/>
      <c r="BV104" s="443">
        <v>1</v>
      </c>
      <c r="BX104" s="1">
        <v>0</v>
      </c>
      <c r="BY104" s="1">
        <f t="shared" si="11"/>
        <v>0</v>
      </c>
      <c r="BZ104">
        <v>0</v>
      </c>
      <c r="CA104" s="1">
        <v>0</v>
      </c>
      <c r="CB104">
        <v>0</v>
      </c>
      <c r="CC104">
        <v>0</v>
      </c>
      <c r="CD104" s="378">
        <f t="shared" si="15"/>
        <v>0</v>
      </c>
      <c r="CE104" s="208">
        <f t="shared" si="12"/>
        <v>0</v>
      </c>
      <c r="CF104" s="208"/>
      <c r="CG104" s="208"/>
      <c r="CH104" s="208"/>
      <c r="CI104" s="208"/>
      <c r="CJ104" s="208"/>
      <c r="CK104" s="208"/>
      <c r="CL104" s="208"/>
      <c r="CM104" s="208"/>
      <c r="CN104" s="208"/>
      <c r="CP104" s="208"/>
    </row>
    <row r="105" spans="1:98" x14ac:dyDescent="0.35">
      <c r="A105" t="s">
        <v>416</v>
      </c>
      <c r="B105" t="s">
        <v>485</v>
      </c>
      <c r="C105" t="s">
        <v>768</v>
      </c>
      <c r="D105" t="str">
        <f>Material_Impacts[[#This Row],[15804 version]]&amp;Material_Impacts[[#This Row],[Methodology]]&amp;Material_Impacts[[#This Row],[Acronym]]</f>
        <v>A2ConsequentialTox_fw</v>
      </c>
      <c r="E105" t="s">
        <v>785</v>
      </c>
      <c r="F105" t="s">
        <v>415</v>
      </c>
      <c r="G105" s="1">
        <v>0.19467999999999999</v>
      </c>
      <c r="H105" s="1">
        <v>0.19467999999999999</v>
      </c>
      <c r="I105" s="1">
        <v>0.23080999999999999</v>
      </c>
      <c r="J105" s="1">
        <v>0.19467999999999999</v>
      </c>
      <c r="K105" s="1">
        <v>5.0388988010553785E-6</v>
      </c>
      <c r="L105" s="1">
        <v>1.2201334306273206E-5</v>
      </c>
      <c r="M105" s="1">
        <v>4.2431494898014375E-6</v>
      </c>
      <c r="N105" s="1"/>
      <c r="O105" s="443"/>
      <c r="P105" s="1">
        <v>2E-3</v>
      </c>
      <c r="Q105" s="1">
        <v>0</v>
      </c>
      <c r="R105" s="1">
        <v>0</v>
      </c>
      <c r="S105" s="1">
        <v>0</v>
      </c>
      <c r="T105" s="1">
        <v>0</v>
      </c>
      <c r="U105" s="1">
        <v>0</v>
      </c>
      <c r="V105" s="1">
        <f ca="1">IFERROR('Dynamic Materials'!Q114+'Dynamic Materials'!AQ114, 0)</f>
        <v>1.2210223780180492E-2</v>
      </c>
      <c r="W105" s="1">
        <f ca="1">'Dynamic Materials'!R114</f>
        <v>3.7770264756966189E-2</v>
      </c>
      <c r="X105" s="1">
        <f ca="1">'Dynamic Materials'!T114</f>
        <v>3.246327766504388E-2</v>
      </c>
      <c r="Y105" s="1">
        <f ca="1">IFERROR('Dynamic Materials'!U114+'Dynamic Materials'!AQ114, 0)</f>
        <v>8.8476666575500844E-3</v>
      </c>
      <c r="Z105" s="1">
        <f ca="1">IFERROR('Dynamic Materials'!S114+'Dynamic Materials'!AQ114, 0)</f>
        <v>1.0554671113513287E-2</v>
      </c>
      <c r="AA105" s="1">
        <f ca="1">'Dynamic Materials'!W114</f>
        <v>3.861E-6</v>
      </c>
      <c r="AB105" s="1">
        <v>0.1757</v>
      </c>
      <c r="AC105" s="1">
        <v>0.66005000000000003</v>
      </c>
      <c r="AD105" s="209">
        <f>BZ105+200*Material_Impacts[[#This Row],[Truck (32+t)]]+1130*CB105</f>
        <v>0.17089022989796029</v>
      </c>
      <c r="AE105" s="1">
        <v>0.14762</v>
      </c>
      <c r="AF105" s="1">
        <v>9.0900000000000009E-3</v>
      </c>
      <c r="AG105" s="1"/>
      <c r="AH105" s="1">
        <v>0.32380999999999999</v>
      </c>
      <c r="AI105" s="1">
        <f>'Dynamic Materials'!AG114</f>
        <v>1.6314639999999998</v>
      </c>
      <c r="AJ105" s="1">
        <v>5.9800000000000001E-3</v>
      </c>
      <c r="AK105" s="1">
        <v>6.2899999999999996E-3</v>
      </c>
      <c r="AL105" s="1"/>
      <c r="AM105" s="1">
        <f t="shared" si="13"/>
        <v>0</v>
      </c>
      <c r="AN105" s="1">
        <v>1.201E-2</v>
      </c>
      <c r="AO105" s="1">
        <v>7.1370000000000003E-2</v>
      </c>
      <c r="AP105" s="209">
        <v>1.17E-5</v>
      </c>
      <c r="AQ105" s="1">
        <f ca="1">'Dynamic Materials'!O114</f>
        <v>1.0431811037419218E-2</v>
      </c>
      <c r="AR105" s="1">
        <f ca="1">'Dynamic Materials'!P114</f>
        <v>0.14145925724354158</v>
      </c>
      <c r="AS105" s="1"/>
      <c r="AT105" s="1" cm="1">
        <f t="array" aca="1" ref="AT105" ca="1">IFERROR(INDEX(Electricity_projection,MATCH($B105&amp;$A105,INDEX(Electricity_projection,0,3),0),MATCH(YEAR(TODAY()),Timeline_elec_projec,0)+3)*INDEX(Recyc_mat_energy_input,MATCH(AT$1,'Data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1.8978430163999998E-4</v>
      </c>
      <c r="AU105" s="1" cm="1">
        <f t="array" aca="1" ref="AU105" ca="1">IFERROR(INDEX(Electricity_projection,MATCH($B105&amp;$A105,INDEX(Electricity_projection,0,3),0),MATCH(YEAR(TODAY()),Timeline_elec_projec,0)+3)*INDEX(Recyc_mat_energy_input,MATCH(AU$1,'Data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1.1702059055999999E-4</v>
      </c>
      <c r="AV105" s="1" cm="1">
        <f t="array" aca="1" ref="AV105" ca="1">IFERROR(INDEX(Electricity_projection,MATCH($B105&amp;$A105,INDEX(Electricity_projection,0,3),0),MATCH(YEAR(TODAY()),Timeline_elec_projec,0)+3)*INDEX(Recyc_mat_energy_input,MATCH(AV$1,'Data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6.1154828399999996E-5</v>
      </c>
      <c r="AW105" s="1"/>
      <c r="AX105" s="1"/>
      <c r="AY105" s="1"/>
      <c r="AZ105" s="1"/>
      <c r="BA105" s="1"/>
      <c r="BB105" s="1"/>
      <c r="BC105" s="1">
        <f t="shared" si="14"/>
        <v>0</v>
      </c>
      <c r="BD105" s="1"/>
      <c r="BE105" s="1"/>
      <c r="BF105" s="1"/>
      <c r="BG105" s="1">
        <f ca="1">'Dynamic Materials'!V114</f>
        <v>1.0887811649999999E-4</v>
      </c>
      <c r="BH105" s="1"/>
      <c r="BI105" s="1" t="str" cm="1">
        <f t="array" aca="1" ref="BI105" ca="1">IFERROR(INDEX(Electricity_projection,MATCH($B105&amp;$A105,INDEX(Electricity_projection,0,3),0),MATCH(YEAR(TODAY()),Timeline_elec_projec,0)+3)*INDEX(Recyc_mat_energy_input,MATCH(BI$1,'Data Entry'!$B$91:$B$96,0),1)+Diesel_density*INDEX(Recyc_mat_energy_input,MATCH(BI$1,'Data Entry'!$B$91:$B$96,0),2)*INDEX(Indicators,ROW(),MATCH("Diesel Combustion",Materials!$1:$1,0)), "")</f>
        <v/>
      </c>
      <c r="BJ105" s="1"/>
      <c r="BK105" s="1" t="str" cm="1">
        <f t="array" aca="1" ref="BK105" ca="1">IFERROR(INDEX(Electricity_projection,MATCH($B105&amp;$A105,INDEX(Electricity_projection,0,3),0),MATCH(YEAR(TODAY()),Timeline_elec_projec,0)+3)*INDEX(Recyc_mat_energy_input,MATCH(BK$1,'Data Entry'!$B$91:$B$96,0),1)+Diesel_density*INDEX(Recyc_mat_energy_input,MATCH(BK$1,'Data Entry'!$B$91:$B$96,0),2)*INDEX(Indicators,ROW(),MATCH("Diesel Combustion",Materials!$1:$1,0)), "")</f>
        <v/>
      </c>
      <c r="BL105" s="1" t="str" cm="1">
        <f t="array" aca="1" ref="BL105" ca="1">IFERROR(INDEX(Electricity_projection,MATCH($B105&amp;$A105,INDEX(Electricity_projection,0,3),0),MATCH(YEAR(TODAY()),Timeline_elec_projec,0)+3)*INDEX(Recyc_mat_energy_input,MATCH(BL$1,'Data Entry'!$B$91:$B$96,0),1)+Diesel_density*INDEX(Recyc_mat_energy_input,MATCH(BL$1,'Data Entry'!$B$91:$B$96,0),2)*INDEX(Indicators,ROW(),MATCH("Diesel Combustion",Materials!$1:$1,0)), "")</f>
        <v/>
      </c>
      <c r="BM105" s="1"/>
      <c r="BN105" s="1">
        <f>IF(Steel_supplier="Pacific Steel",Material_Impacts[[#This Row],[Pacific Steel]],Material_Impacts[[#This Row],[Infrabuild]])</f>
        <v>0</v>
      </c>
      <c r="BO105" s="1"/>
      <c r="BP105" s="1">
        <v>2.8380000000000002E-3</v>
      </c>
      <c r="BQ105">
        <v>0.23080999999999999</v>
      </c>
      <c r="BR105">
        <v>0.19467999999999999</v>
      </c>
      <c r="BS105" s="443"/>
      <c r="BT105" s="443"/>
      <c r="BU105" s="443"/>
      <c r="BV105" s="443">
        <v>1</v>
      </c>
      <c r="BX105" s="1">
        <v>2.1579999999999998E-2</v>
      </c>
      <c r="BY105" s="1">
        <f t="shared" si="11"/>
        <v>4.9924812030075188E-4</v>
      </c>
      <c r="BZ105">
        <v>0.16855000000000001</v>
      </c>
      <c r="CA105" s="1">
        <v>0</v>
      </c>
      <c r="CB105">
        <v>1.3200000000000001E-6</v>
      </c>
      <c r="CC105">
        <v>0.31991999999999998</v>
      </c>
      <c r="CD105" s="378">
        <f t="shared" si="15"/>
        <v>1.2724351200000001E-2</v>
      </c>
      <c r="CE105" s="208">
        <f t="shared" si="12"/>
        <v>0.33264435119999997</v>
      </c>
      <c r="CF105" s="208"/>
      <c r="CG105" s="208"/>
      <c r="CH105" s="208"/>
      <c r="CI105" s="208"/>
      <c r="CJ105" s="208"/>
      <c r="CK105" s="208"/>
      <c r="CL105" s="208"/>
      <c r="CM105" s="209"/>
      <c r="CN105" s="208"/>
      <c r="CP105" s="208"/>
    </row>
    <row r="106" spans="1:98" x14ac:dyDescent="0.35">
      <c r="A106" t="s">
        <v>419</v>
      </c>
      <c r="B106" t="s">
        <v>485</v>
      </c>
      <c r="C106" t="s">
        <v>768</v>
      </c>
      <c r="D106" t="str">
        <f>Material_Impacts[[#This Row],[15804 version]]&amp;Material_Impacts[[#This Row],[Methodology]]&amp;Material_Impacts[[#This Row],[Acronym]]</f>
        <v>A2ConsequentialTox_canc</v>
      </c>
      <c r="E106" t="s">
        <v>786</v>
      </c>
      <c r="F106" t="s">
        <v>418</v>
      </c>
      <c r="G106" s="1">
        <v>2.3392005701739088E-10</v>
      </c>
      <c r="H106" s="1">
        <v>2.335142428335647E-10</v>
      </c>
      <c r="I106" s="1">
        <v>2.9853653640132425E-10</v>
      </c>
      <c r="J106" s="1">
        <v>2.3392005701739088E-10</v>
      </c>
      <c r="K106" s="1">
        <v>6.0563957302620891E-15</v>
      </c>
      <c r="L106" s="1">
        <v>1.4666094559183537E-14</v>
      </c>
      <c r="M106" s="1">
        <v>5.0996388793718817E-15</v>
      </c>
      <c r="N106" s="1"/>
      <c r="O106" s="443"/>
      <c r="P106" s="1">
        <v>1.29483E-11</v>
      </c>
      <c r="Q106" s="1">
        <v>0</v>
      </c>
      <c r="R106" s="1">
        <v>0</v>
      </c>
      <c r="S106" s="1">
        <v>0</v>
      </c>
      <c r="T106" s="1">
        <v>0</v>
      </c>
      <c r="U106" s="1">
        <v>0</v>
      </c>
      <c r="V106" s="1">
        <f ca="1">IFERROR('Dynamic Materials'!Q115+'Dynamic Materials'!AQ115, 0)</f>
        <v>1.2286009101348795E-4</v>
      </c>
      <c r="W106" s="1">
        <f ca="1">'Dynamic Materials'!R115</f>
        <v>1.2286009059063964E-4</v>
      </c>
      <c r="X106" s="1">
        <f ca="1">'Dynamic Materials'!T115</f>
        <v>1.2286008860958774E-4</v>
      </c>
      <c r="Y106" s="1">
        <f ca="1">IFERROR('Dynamic Materials'!U115+'Dynamic Materials'!AQ115, 0)</f>
        <v>1.2286008686519085E-4</v>
      </c>
      <c r="Z106" s="1">
        <f ca="1">IFERROR('Dynamic Materials'!S115+'Dynamic Materials'!AQ115, 0)</f>
        <v>1.2286008897202915E-4</v>
      </c>
      <c r="AA106" s="1">
        <f ca="1">'Dynamic Materials'!W115</f>
        <v>1.4421E-14</v>
      </c>
      <c r="AB106" s="1">
        <v>2.16891E-10</v>
      </c>
      <c r="AC106" s="1">
        <v>1.25995E-9</v>
      </c>
      <c r="AD106" s="209">
        <f>BZ106+200*Material_Impacts[[#This Row],[Truck (32+t)]]+1130*CB106</f>
        <v>2.1092076027587436E-10</v>
      </c>
      <c r="AE106" s="1">
        <v>1.45956E-10</v>
      </c>
      <c r="AF106" s="1">
        <v>2.5691199999999999E-11</v>
      </c>
      <c r="AG106" s="1"/>
      <c r="AH106" s="1">
        <v>6.1270099999999997E-10</v>
      </c>
      <c r="AI106" s="1">
        <f>'Dynamic Materials'!AG115</f>
        <v>1.8675800000000002E-10</v>
      </c>
      <c r="AJ106" s="1">
        <v>2.6895800000000001E-11</v>
      </c>
      <c r="AK106" s="1">
        <v>3.65736E-11</v>
      </c>
      <c r="AL106" s="1"/>
      <c r="AM106" s="1">
        <f t="shared" si="13"/>
        <v>0</v>
      </c>
      <c r="AN106" s="1">
        <v>5.7456600000000003E-11</v>
      </c>
      <c r="AO106" s="1">
        <v>1.4131700000000001E-10</v>
      </c>
      <c r="AP106" s="209">
        <v>4.3699999999999999E-14</v>
      </c>
      <c r="AQ106" s="1">
        <f ca="1">'Dynamic Materials'!O115</f>
        <v>1.2877959901825079E-11</v>
      </c>
      <c r="AR106" s="1">
        <f ca="1">'Dynamic Materials'!P115</f>
        <v>9.4409342852726162E-12</v>
      </c>
      <c r="AS106" s="1"/>
      <c r="AT106" s="1" cm="1">
        <f t="array" aca="1" ref="AT106" ca="1">IFERROR(INDEX(Electricity_projection,MATCH($B106&amp;$A106,INDEX(Electricity_projection,0,3),0),MATCH(YEAR(TODAY()),Timeline_elec_projec,0)+3)*INDEX(Recyc_mat_energy_input,MATCH(AT$1,'Data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2.3693009071555097E-13</v>
      </c>
      <c r="AU106" s="1" cm="1">
        <f t="array" aca="1" ref="AU106" ca="1">IFERROR(INDEX(Electricity_projection,MATCH($B106&amp;$A106,INDEX(Electricity_projection,0,3),0),MATCH(YEAR(TODAY()),Timeline_elec_projec,0)+3)*INDEX(Recyc_mat_energy_input,MATCH(AU$1,'Data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1.4060747491269753E-13</v>
      </c>
      <c r="AV106" s="1" cm="1">
        <f t="array" aca="1" ref="AV106" ca="1">IFERROR(INDEX(Electricity_projection,MATCH($B106&amp;$A106,INDEX(Electricity_projection,0,3),0),MATCH(YEAR(TODAY()),Timeline_elec_projec,0)+3)*INDEX(Recyc_mat_energy_input,MATCH(AV$1,'Data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7.3481307510872991E-14</v>
      </c>
      <c r="AW106" s="1"/>
      <c r="AX106" s="1"/>
      <c r="AY106" s="1"/>
      <c r="AZ106" s="1"/>
      <c r="BA106" s="1"/>
      <c r="BB106" s="1"/>
      <c r="BC106" s="1">
        <f t="shared" si="14"/>
        <v>0</v>
      </c>
      <c r="BD106" s="1"/>
      <c r="BE106" s="1"/>
      <c r="BF106" s="1"/>
      <c r="BG106" s="1">
        <f ca="1">'Dynamic Materials'!V115</f>
        <v>1.3971630685995008E-13</v>
      </c>
      <c r="BH106" s="1"/>
      <c r="BI106" s="1" t="str" cm="1">
        <f t="array" aca="1" ref="BI106" ca="1">IFERROR(INDEX(Electricity_projection,MATCH($B106&amp;$A106,INDEX(Electricity_projection,0,3),0),MATCH(YEAR(TODAY()),Timeline_elec_projec,0)+3)*INDEX(Recyc_mat_energy_input,MATCH(BI$1,'Data Entry'!$B$91:$B$96,0),1)+Diesel_density*INDEX(Recyc_mat_energy_input,MATCH(BI$1,'Data Entry'!$B$91:$B$96,0),2)*INDEX(Indicators,ROW(),MATCH("Diesel Combustion",Materials!$1:$1,0)), "")</f>
        <v/>
      </c>
      <c r="BJ106" s="1"/>
      <c r="BK106" s="1" t="str" cm="1">
        <f t="array" aca="1" ref="BK106" ca="1">IFERROR(INDEX(Electricity_projection,MATCH($B106&amp;$A106,INDEX(Electricity_projection,0,3),0),MATCH(YEAR(TODAY()),Timeline_elec_projec,0)+3)*INDEX(Recyc_mat_energy_input,MATCH(BK$1,'Data Entry'!$B$91:$B$96,0),1)+Diesel_density*INDEX(Recyc_mat_energy_input,MATCH(BK$1,'Data Entry'!$B$91:$B$96,0),2)*INDEX(Indicators,ROW(),MATCH("Diesel Combustion",Materials!$1:$1,0)), "")</f>
        <v/>
      </c>
      <c r="BL106" s="1" t="str" cm="1">
        <f t="array" aca="1" ref="BL106" ca="1">IFERROR(INDEX(Electricity_projection,MATCH($B106&amp;$A106,INDEX(Electricity_projection,0,3),0),MATCH(YEAR(TODAY()),Timeline_elec_projec,0)+3)*INDEX(Recyc_mat_energy_input,MATCH(BL$1,'Data Entry'!$B$91:$B$96,0),1)+Diesel_density*INDEX(Recyc_mat_energy_input,MATCH(BL$1,'Data Entry'!$B$91:$B$96,0),2)*INDEX(Indicators,ROW(),MATCH("Diesel Combustion",Materials!$1:$1,0)), "")</f>
        <v/>
      </c>
      <c r="BM106" s="1"/>
      <c r="BN106" s="1">
        <f>IF(Steel_supplier="Pacific Steel",Material_Impacts[[#This Row],[Pacific Steel]],Material_Impacts[[#This Row],[Infrabuild]])</f>
        <v>0</v>
      </c>
      <c r="BO106" s="1"/>
      <c r="BP106" s="1">
        <v>1.4265787499999999E-11</v>
      </c>
      <c r="BQ106" s="1">
        <v>2.94715E-10</v>
      </c>
      <c r="BR106" s="1">
        <v>2.33251E-10</v>
      </c>
      <c r="BS106" s="443"/>
      <c r="BT106" s="443"/>
      <c r="BU106" s="443"/>
      <c r="BV106" s="443">
        <v>1</v>
      </c>
      <c r="BW106" s="1"/>
      <c r="BX106" s="1">
        <v>3.5397200000000001E-11</v>
      </c>
      <c r="BY106" s="1">
        <f t="shared" si="11"/>
        <v>8.1890572585309437E-13</v>
      </c>
      <c r="BZ106" s="1">
        <v>2.0240299999999999E-10</v>
      </c>
      <c r="CA106" s="1">
        <v>0</v>
      </c>
      <c r="CB106">
        <v>6.6352499999999999E-15</v>
      </c>
      <c r="CC106" s="1">
        <v>6.0338299999999996E-10</v>
      </c>
      <c r="CD106" s="378">
        <f t="shared" si="15"/>
        <v>6.3961554015E-11</v>
      </c>
      <c r="CE106" s="208">
        <f t="shared" si="12"/>
        <v>6.6734455401499996E-10</v>
      </c>
      <c r="CF106" s="208"/>
      <c r="CG106" s="208"/>
      <c r="CH106" s="208"/>
      <c r="CI106" s="208"/>
      <c r="CJ106" s="208"/>
      <c r="CK106" s="209"/>
      <c r="CL106" s="209"/>
      <c r="CM106" s="209"/>
      <c r="CN106" s="208"/>
      <c r="CP106" s="208"/>
    </row>
    <row r="107" spans="1:98" x14ac:dyDescent="0.35">
      <c r="A107" t="s">
        <v>421</v>
      </c>
      <c r="B107" t="s">
        <v>485</v>
      </c>
      <c r="C107" t="s">
        <v>768</v>
      </c>
      <c r="D107" t="str">
        <f>Material_Impacts[[#This Row],[15804 version]]&amp;Material_Impacts[[#This Row],[Methodology]]&amp;Material_Impacts[[#This Row],[Acronym]]</f>
        <v>A2ConsequentialTox_non_canc</v>
      </c>
      <c r="E107" t="s">
        <v>787</v>
      </c>
      <c r="F107" t="s">
        <v>418</v>
      </c>
      <c r="G107" s="1">
        <v>7.2314521865960682E-9</v>
      </c>
      <c r="H107" s="1">
        <v>1.313751932388628E-8</v>
      </c>
      <c r="I107" s="1">
        <v>1.9930538917854599E-8</v>
      </c>
      <c r="J107" s="1">
        <v>7.2314521865960682E-9</v>
      </c>
      <c r="K107" s="1">
        <v>2.566603636856384E-13</v>
      </c>
      <c r="L107" s="1">
        <v>5.944050071880485E-13</v>
      </c>
      <c r="M107" s="1">
        <v>2.1312629740083888E-13</v>
      </c>
      <c r="N107" s="1"/>
      <c r="O107" s="443"/>
      <c r="P107" s="1">
        <v>4.23677E-10</v>
      </c>
      <c r="Q107" s="1">
        <v>0</v>
      </c>
      <c r="R107" s="1">
        <v>0</v>
      </c>
      <c r="S107" s="1">
        <v>0</v>
      </c>
      <c r="T107" s="1">
        <v>0</v>
      </c>
      <c r="U107" s="1">
        <v>0</v>
      </c>
      <c r="V107" s="1">
        <f ca="1">IFERROR('Dynamic Materials'!Q116+'Dynamic Materials'!AQ116, 0)</f>
        <v>1.2286042722506164E-4</v>
      </c>
      <c r="W107" s="1">
        <f ca="1">'Dynamic Materials'!R116</f>
        <v>1.2286034688450427E-4</v>
      </c>
      <c r="X107" s="1">
        <f ca="1">'Dynamic Materials'!T116</f>
        <v>1.2286031099628051E-4</v>
      </c>
      <c r="Y107" s="1">
        <f ca="1">IFERROR('Dynamic Materials'!U116+'Dynamic Materials'!AQ116, 0)</f>
        <v>1.2286033045872766E-4</v>
      </c>
      <c r="Z107" s="1">
        <f ca="1">IFERROR('Dynamic Materials'!S116+'Dynamic Materials'!AQ116, 0)</f>
        <v>1.2286037985961539E-4</v>
      </c>
      <c r="AA107" s="1">
        <f ca="1">'Dynamic Materials'!W116</f>
        <v>4.8510000000000002E-13</v>
      </c>
      <c r="AB107" s="1">
        <v>8.0153899999999996E-9</v>
      </c>
      <c r="AC107" s="1">
        <v>6.8963400000000002E-8</v>
      </c>
      <c r="AD107" s="209">
        <f>BZ107+200*Material_Impacts[[#This Row],[Truck (32+t)]]+1130*CB107</f>
        <v>4.9474489924801676E-9</v>
      </c>
      <c r="AE107" s="1">
        <v>3.7221800000000001E-9</v>
      </c>
      <c r="AF107" s="1">
        <v>5.0588799999999998E-10</v>
      </c>
      <c r="AG107" s="1"/>
      <c r="AH107" s="1">
        <v>3.5949400000000002E-8</v>
      </c>
      <c r="AI107" s="1">
        <f>'Dynamic Materials'!AG116</f>
        <v>3.5656000000000151E-10</v>
      </c>
      <c r="AJ107" s="1">
        <v>4.27467E-10</v>
      </c>
      <c r="AK107" s="1">
        <v>8.8185899999999998E-10</v>
      </c>
      <c r="AL107" s="1"/>
      <c r="AM107" s="1">
        <f t="shared" si="13"/>
        <v>0</v>
      </c>
      <c r="AN107" s="1">
        <v>5.7088500000000004E-10</v>
      </c>
      <c r="AO107" s="1">
        <v>7.2369600000000002E-9</v>
      </c>
      <c r="AP107" s="209">
        <v>1.47E-12</v>
      </c>
      <c r="AQ107" s="1">
        <f ca="1">'Dynamic Materials'!O116</f>
        <v>3.0376554613781333E-10</v>
      </c>
      <c r="AR107" s="1">
        <f ca="1">'Dynamic Materials'!P116</f>
        <v>-8.7590993410996723E-11</v>
      </c>
      <c r="AS107" s="1"/>
      <c r="AT107" s="1" cm="1">
        <f t="array" aca="1" ref="AT107" ca="1">IFERROR(INDEX(Electricity_projection,MATCH($B107&amp;$A107,INDEX(Electricity_projection,0,3),0),MATCH(YEAR(TODAY()),Timeline_elec_projec,0)+3)*INDEX(Recyc_mat_energy_input,MATCH(AT$1,'Data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7.3602197755354098E-12</v>
      </c>
      <c r="AU107" s="1" cm="1">
        <f t="array" aca="1" ref="AU107" ca="1">IFERROR(INDEX(Electricity_projection,MATCH($B107&amp;$A107,INDEX(Electricity_projection,0,3),0),MATCH(YEAR(TODAY()),Timeline_elec_projec,0)+3)*INDEX(Recyc_mat_energy_input,MATCH(AU$1,'Data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4.3467680577454036E-12</v>
      </c>
      <c r="AV107" s="1" cm="1">
        <f t="array" aca="1" ref="AV107" ca="1">IFERROR(INDEX(Electricity_projection,MATCH($B107&amp;$A107,INDEX(Electricity_projection,0,3),0),MATCH(YEAR(TODAY()),Timeline_elec_projec,0)+3)*INDEX(Recyc_mat_energy_input,MATCH(AV$1,'Data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2.2716160753754226E-12</v>
      </c>
      <c r="AW107" s="1"/>
      <c r="AX107" s="1"/>
      <c r="AY107" s="1"/>
      <c r="AZ107" s="1"/>
      <c r="BA107" s="1"/>
      <c r="BB107" s="1"/>
      <c r="BC107" s="1">
        <f t="shared" si="14"/>
        <v>0</v>
      </c>
      <c r="BD107" s="1"/>
      <c r="BE107" s="1"/>
      <c r="BF107" s="1"/>
      <c r="BG107" s="1">
        <f ca="1">'Dynamic Materials'!V116</f>
        <v>4.3549331028427888E-12</v>
      </c>
      <c r="BH107" s="1"/>
      <c r="BI107" s="1" t="str" cm="1">
        <f t="array" aca="1" ref="BI107" ca="1">IFERROR(INDEX(Electricity_projection,MATCH($B107&amp;$A107,INDEX(Electricity_projection,0,3),0),MATCH(YEAR(TODAY()),Timeline_elec_projec,0)+3)*INDEX(Recyc_mat_energy_input,MATCH(BI$1,'Data Entry'!$B$91:$B$96,0),1)+Diesel_density*INDEX(Recyc_mat_energy_input,MATCH(BI$1,'Data Entry'!$B$91:$B$96,0),2)*INDEX(Indicators,ROW(),MATCH("Diesel Combustion",Materials!$1:$1,0)), "")</f>
        <v/>
      </c>
      <c r="BJ107" s="1"/>
      <c r="BK107" s="1" t="str" cm="1">
        <f t="array" aca="1" ref="BK107" ca="1">IFERROR(INDEX(Electricity_projection,MATCH($B107&amp;$A107,INDEX(Electricity_projection,0,3),0),MATCH(YEAR(TODAY()),Timeline_elec_projec,0)+3)*INDEX(Recyc_mat_energy_input,MATCH(BK$1,'Data Entry'!$B$91:$B$96,0),1)+Diesel_density*INDEX(Recyc_mat_energy_input,MATCH(BK$1,'Data Entry'!$B$91:$B$96,0),2)*INDEX(Indicators,ROW(),MATCH("Diesel Combustion",Materials!$1:$1,0)), "")</f>
        <v/>
      </c>
      <c r="BL107" s="1" t="str" cm="1">
        <f t="array" aca="1" ref="BL107" ca="1">IFERROR(INDEX(Electricity_projection,MATCH($B107&amp;$A107,INDEX(Electricity_projection,0,3),0),MATCH(YEAR(TODAY()),Timeline_elec_projec,0)+3)*INDEX(Recyc_mat_energy_input,MATCH(BL$1,'Data Entry'!$B$91:$B$96,0),1)+Diesel_density*INDEX(Recyc_mat_energy_input,MATCH(BL$1,'Data Entry'!$B$91:$B$96,0),2)*INDEX(Indicators,ROW(),MATCH("Diesel Combustion",Materials!$1:$1,0)), "")</f>
        <v/>
      </c>
      <c r="BM107" s="1"/>
      <c r="BN107" s="1">
        <f>IF(Steel_supplier="Pacific Steel",Material_Impacts[[#This Row],[Pacific Steel]],Material_Impacts[[#This Row],[Infrabuild]])</f>
        <v>0</v>
      </c>
      <c r="BO107" s="1"/>
      <c r="BP107" s="1">
        <v>1.07659315E-10</v>
      </c>
      <c r="BQ107" s="1">
        <v>9.2704299999999994E-9</v>
      </c>
      <c r="BR107" s="1">
        <v>6.7136499999999999E-9</v>
      </c>
      <c r="BS107" s="443"/>
      <c r="BT107" s="443"/>
      <c r="BU107" s="443"/>
      <c r="BV107" s="443">
        <v>1</v>
      </c>
      <c r="BW107" s="1"/>
      <c r="BX107" s="1">
        <v>2.1796999999999998E-9</v>
      </c>
      <c r="BY107" s="1">
        <f t="shared" si="11"/>
        <v>5.0426836321573161E-11</v>
      </c>
      <c r="BZ107" s="1">
        <v>4.8482400000000002E-9</v>
      </c>
      <c r="CA107" s="1">
        <v>0</v>
      </c>
      <c r="CB107">
        <v>5.0074100000000002E-14</v>
      </c>
      <c r="CC107" s="1">
        <v>3.2174799999999998E-8</v>
      </c>
      <c r="CD107" s="378">
        <f t="shared" si="15"/>
        <v>4.8269729880600001E-10</v>
      </c>
      <c r="CE107" s="208">
        <f t="shared" si="12"/>
        <v>3.2657497298805995E-8</v>
      </c>
      <c r="CF107" s="208"/>
      <c r="CG107" s="208"/>
      <c r="CH107" s="208"/>
      <c r="CI107" s="208"/>
      <c r="CJ107" s="208"/>
      <c r="CK107" s="209"/>
      <c r="CL107" s="209"/>
      <c r="CM107" s="209"/>
      <c r="CN107" s="208"/>
      <c r="CP107" s="208"/>
    </row>
    <row r="108" spans="1:98" x14ac:dyDescent="0.35">
      <c r="A108" t="s">
        <v>553</v>
      </c>
      <c r="B108" t="s">
        <v>485</v>
      </c>
      <c r="C108" t="s">
        <v>768</v>
      </c>
      <c r="D108" t="str">
        <f>Material_Impacts[[#This Row],[15804 version]]&amp;Material_Impacts[[#This Row],[Methodology]]&amp;Material_Impacts[[#This Row],[Acronym]]</f>
        <v>A2ConsequentialIR</v>
      </c>
      <c r="E108" t="s">
        <v>788</v>
      </c>
      <c r="F108" t="s">
        <v>789</v>
      </c>
      <c r="G108" s="1">
        <v>0.21684999999999999</v>
      </c>
      <c r="H108" s="1">
        <v>0.21684999999999999</v>
      </c>
      <c r="I108" s="1">
        <v>0.21881999999999999</v>
      </c>
      <c r="J108" s="1">
        <v>0.21684999999999999</v>
      </c>
      <c r="K108" s="1">
        <v>5.6127244966553261E-6</v>
      </c>
      <c r="L108" s="1">
        <v>1.3590812329542557E-5</v>
      </c>
      <c r="M108" s="1">
        <v>4.7263559012915642E-6</v>
      </c>
      <c r="N108" s="1"/>
      <c r="O108" s="443"/>
      <c r="P108" s="1">
        <v>7.6000000000000004E-4</v>
      </c>
      <c r="Q108" s="1">
        <v>0</v>
      </c>
      <c r="R108" s="1">
        <v>0</v>
      </c>
      <c r="S108" s="1">
        <v>0</v>
      </c>
      <c r="T108" s="1">
        <v>0</v>
      </c>
      <c r="U108" s="1">
        <v>0</v>
      </c>
      <c r="V108" s="1">
        <f ca="1">IFERROR('Dynamic Materials'!Q117+'Dynamic Materials'!AQ117, 0)</f>
        <v>1.4401526322713652E-2</v>
      </c>
      <c r="W108" s="1">
        <f ca="1">'Dynamic Materials'!R117</f>
        <v>1.451044157705913E-2</v>
      </c>
      <c r="X108" s="1">
        <f ca="1">'Dynamic Materials'!T117</f>
        <v>1.2532525958702695E-2</v>
      </c>
      <c r="Y108" s="1">
        <f ca="1">IFERROR('Dynamic Materials'!U117+'Dynamic Materials'!AQ117, 0)</f>
        <v>1.0421042779279485E-2</v>
      </c>
      <c r="Z108" s="1">
        <f ca="1">IFERROR('Dynamic Materials'!S117+'Dynamic Materials'!AQ117, 0)</f>
        <v>1.2439170026406567E-2</v>
      </c>
      <c r="AA108" s="1">
        <f ca="1">'Dynamic Materials'!W117</f>
        <v>6.5340000000000001E-8</v>
      </c>
      <c r="AB108" s="1">
        <v>0.10936</v>
      </c>
      <c r="AC108" s="1">
        <v>1.8509999999999999E-2</v>
      </c>
      <c r="AD108" s="209">
        <f>BZ108+200*Material_Impacts[[#This Row],[Truck (32+t)]]+1130*CB108</f>
        <v>0.20202027118025831</v>
      </c>
      <c r="AE108" s="1">
        <v>0.13396</v>
      </c>
      <c r="AF108" s="1">
        <v>3.0999999999999999E-3</v>
      </c>
      <c r="AG108" s="1"/>
      <c r="AH108" s="1">
        <v>0.12644</v>
      </c>
      <c r="AI108" s="1">
        <f>'Dynamic Materials'!AG117</f>
        <v>0.20824400000000001</v>
      </c>
      <c r="AJ108" s="1">
        <v>1.08E-3</v>
      </c>
      <c r="AK108" s="1">
        <v>2.5999999999999998E-4</v>
      </c>
      <c r="AL108" s="1"/>
      <c r="AM108" s="1">
        <f t="shared" si="13"/>
        <v>0</v>
      </c>
      <c r="AN108" s="1">
        <v>8.5999999999999998E-4</v>
      </c>
      <c r="AO108" s="1">
        <v>2.724E-2</v>
      </c>
      <c r="AP108" s="209">
        <v>1.98E-7</v>
      </c>
      <c r="AQ108" s="1">
        <f ca="1">'Dynamic Materials'!O117</f>
        <v>1.2316309950312498E-2</v>
      </c>
      <c r="AR108" s="1">
        <f ca="1">'Dynamic Materials'!P117</f>
        <v>1.3470753679496999E-2</v>
      </c>
      <c r="AS108" s="1"/>
      <c r="AT108" s="1" cm="1">
        <f t="array" aca="1" ref="AT108" ca="1">IFERROR(INDEX(Electricity_projection,MATCH($B108&amp;$A108,INDEX(Electricity_projection,0,3),0),MATCH(YEAR(TODAY()),Timeline_elec_projec,0)+3)*INDEX(Recyc_mat_energy_input,MATCH(AT$1,'Data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2.0754646754999999E-4</v>
      </c>
      <c r="AU108" s="1" cm="1">
        <f t="array" aca="1" ref="AU108" ca="1">IFERROR(INDEX(Electricity_projection,MATCH($B108&amp;$A108,INDEX(Electricity_projection,0,3),0),MATCH(YEAR(TODAY()),Timeline_elec_projec,0)+3)*INDEX(Recyc_mat_energy_input,MATCH(AU$1,'Data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1.303468002E-4</v>
      </c>
      <c r="AV108" s="1" cm="1">
        <f t="array" aca="1" ref="AV108" ca="1">IFERROR(INDEX(Electricity_projection,MATCH($B108&amp;$A108,INDEX(Electricity_projection,0,3),0),MATCH(YEAR(TODAY()),Timeline_elec_projec,0)+3)*INDEX(Recyc_mat_energy_input,MATCH(AV$1,'Data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6.8119090499999994E-5</v>
      </c>
      <c r="AW108" s="1"/>
      <c r="AX108" s="1"/>
      <c r="AY108" s="1"/>
      <c r="AZ108" s="1"/>
      <c r="BA108" s="1"/>
      <c r="BB108" s="1"/>
      <c r="BC108" s="1">
        <f t="shared" si="14"/>
        <v>0</v>
      </c>
      <c r="BD108" s="1"/>
      <c r="BE108" s="1"/>
      <c r="BF108" s="1"/>
      <c r="BG108" s="1">
        <f ca="1">'Dynamic Materials'!V117</f>
        <v>1.17426751875E-4</v>
      </c>
      <c r="BH108" s="1"/>
      <c r="BI108" s="1" t="str" cm="1">
        <f t="array" aca="1" ref="BI108" ca="1">IFERROR(INDEX(Electricity_projection,MATCH($B108&amp;$A108,INDEX(Electricity_projection,0,3),0),MATCH(YEAR(TODAY()),Timeline_elec_projec,0)+3)*INDEX(Recyc_mat_energy_input,MATCH(BI$1,'Data Entry'!$B$91:$B$96,0),1)+Diesel_density*INDEX(Recyc_mat_energy_input,MATCH(BI$1,'Data Entry'!$B$91:$B$96,0),2)*INDEX(Indicators,ROW(),MATCH("Diesel Combustion",Materials!$1:$1,0)), "")</f>
        <v/>
      </c>
      <c r="BJ108" s="1"/>
      <c r="BK108" s="1" t="str" cm="1">
        <f t="array" aca="1" ref="BK108" ca="1">IFERROR(INDEX(Electricity_projection,MATCH($B108&amp;$A108,INDEX(Electricity_projection,0,3),0),MATCH(YEAR(TODAY()),Timeline_elec_projec,0)+3)*INDEX(Recyc_mat_energy_input,MATCH(BK$1,'Data Entry'!$B$91:$B$96,0),1)+Diesel_density*INDEX(Recyc_mat_energy_input,MATCH(BK$1,'Data Entry'!$B$91:$B$96,0),2)*INDEX(Indicators,ROW(),MATCH("Diesel Combustion",Materials!$1:$1,0)), "")</f>
        <v/>
      </c>
      <c r="BL108" s="1" t="str" cm="1">
        <f t="array" aca="1" ref="BL108" ca="1">IFERROR(INDEX(Electricity_projection,MATCH($B108&amp;$A108,INDEX(Electricity_projection,0,3),0),MATCH(YEAR(TODAY()),Timeline_elec_projec,0)+3)*INDEX(Recyc_mat_energy_input,MATCH(BL$1,'Data Entry'!$B$91:$B$96,0),1)+Diesel_density*INDEX(Recyc_mat_energy_input,MATCH(BL$1,'Data Entry'!$B$91:$B$96,0),2)*INDEX(Indicators,ROW(),MATCH("Diesel Combustion",Materials!$1:$1,0)), "")</f>
        <v/>
      </c>
      <c r="BM108" s="1"/>
      <c r="BN108" s="1">
        <f>IF(Steel_supplier="Pacific Steel",Material_Impacts[[#This Row],[Pacific Steel]],Material_Impacts[[#This Row],[Infrabuild]])</f>
        <v>0</v>
      </c>
      <c r="BO108" s="1"/>
      <c r="BP108" s="1">
        <v>1.075E-3</v>
      </c>
      <c r="BQ108">
        <v>0.21881999999999999</v>
      </c>
      <c r="BR108">
        <v>0.21684999999999999</v>
      </c>
      <c r="BS108" s="443"/>
      <c r="BT108" s="443"/>
      <c r="BU108" s="443"/>
      <c r="BV108" s="443">
        <v>1</v>
      </c>
      <c r="BX108" s="1">
        <v>1.566E-2</v>
      </c>
      <c r="BY108" s="1">
        <f t="shared" si="11"/>
        <v>3.6229034123770972E-4</v>
      </c>
      <c r="BZ108">
        <v>0.20050999999999999</v>
      </c>
      <c r="CA108" s="1">
        <v>0</v>
      </c>
      <c r="CB108">
        <v>4.9999999999999998E-7</v>
      </c>
      <c r="CC108">
        <v>0.12154</v>
      </c>
      <c r="CD108" s="378">
        <f t="shared" si="15"/>
        <v>4.8198299999999998E-3</v>
      </c>
      <c r="CE108" s="208">
        <f t="shared" si="12"/>
        <v>0.12635983000000001</v>
      </c>
      <c r="CF108" s="208"/>
      <c r="CG108" s="208"/>
      <c r="CH108" s="208"/>
      <c r="CI108" s="208"/>
      <c r="CJ108" s="208"/>
      <c r="CK108" s="208"/>
      <c r="CL108" s="208"/>
      <c r="CM108" s="209"/>
      <c r="CN108" s="208"/>
      <c r="CP108" s="208"/>
    </row>
    <row r="109" spans="1:98" x14ac:dyDescent="0.35">
      <c r="A109" t="s">
        <v>424</v>
      </c>
      <c r="B109" t="s">
        <v>485</v>
      </c>
      <c r="C109" t="s">
        <v>768</v>
      </c>
      <c r="D109" t="str">
        <f>Material_Impacts[[#This Row],[15804 version]]&amp;Material_Impacts[[#This Row],[Methodology]]&amp;Material_Impacts[[#This Row],[Acronym]]</f>
        <v>A2ConsequentialLU</v>
      </c>
      <c r="E109" t="s">
        <v>790</v>
      </c>
      <c r="F109" t="s">
        <v>423</v>
      </c>
      <c r="G109" s="1">
        <v>0.53034000000000003</v>
      </c>
      <c r="H109" s="1">
        <v>0.53034000000000003</v>
      </c>
      <c r="I109" s="1">
        <v>0.56372999999999995</v>
      </c>
      <c r="J109" s="1">
        <v>0.53034000000000003</v>
      </c>
      <c r="K109" s="1">
        <v>1.3726780306922692E-5</v>
      </c>
      <c r="L109" s="1">
        <v>3.323842015609684E-5</v>
      </c>
      <c r="M109" s="1">
        <v>1.1559029691911314E-5</v>
      </c>
      <c r="N109" s="1"/>
      <c r="O109" s="443"/>
      <c r="P109" s="1">
        <v>1.47E-2</v>
      </c>
      <c r="Q109" s="1">
        <v>0</v>
      </c>
      <c r="R109" s="1">
        <v>0</v>
      </c>
      <c r="S109" s="1">
        <v>0</v>
      </c>
      <c r="T109" s="1">
        <v>0</v>
      </c>
      <c r="U109" s="1">
        <v>0</v>
      </c>
      <c r="V109" s="1">
        <f ca="1">IFERROR('Dynamic Materials'!Q118+'Dynamic Materials'!AQ118, 0)</f>
        <v>3.3676056173665432E-2</v>
      </c>
      <c r="W109" s="1">
        <f ca="1">'Dynamic Materials'!R118</f>
        <v>1.6418478319743739E-2</v>
      </c>
      <c r="X109" s="1">
        <f ca="1">'Dynamic Materials'!T118</f>
        <v>1.4286239062552069E-2</v>
      </c>
      <c r="Y109" s="1">
        <f ca="1">IFERROR('Dynamic Materials'!U118+'Dynamic Materials'!AQ118, 0)</f>
        <v>2.4339270807342186E-2</v>
      </c>
      <c r="Z109" s="1">
        <f ca="1">IFERROR('Dynamic Materials'!S118+'Dynamic Materials'!AQ118, 0)</f>
        <v>2.9078448651627807E-2</v>
      </c>
      <c r="AA109" s="1">
        <f ca="1">'Dynamic Materials'!W118</f>
        <v>1.4388000000000002E-5</v>
      </c>
      <c r="AB109" s="1">
        <v>0.57964000000000004</v>
      </c>
      <c r="AC109" s="1">
        <v>2.7582599999999999</v>
      </c>
      <c r="AD109" s="209">
        <f>BZ109+200*Material_Impacts[[#This Row],[Truck (32+t)]]+1130*CB109</f>
        <v>0.47443830593838227</v>
      </c>
      <c r="AE109" s="1">
        <v>0.58789000000000002</v>
      </c>
      <c r="AF109" s="1">
        <v>0.16419</v>
      </c>
      <c r="AG109" s="1"/>
      <c r="AH109" s="1">
        <v>1.65435</v>
      </c>
      <c r="AI109" s="1">
        <f>'Dynamic Materials'!AG118</f>
        <v>-0.51170900000000008</v>
      </c>
      <c r="AJ109" s="1">
        <v>0.23425000000000001</v>
      </c>
      <c r="AK109" s="1">
        <v>0.34867999999999999</v>
      </c>
      <c r="AL109" s="1"/>
      <c r="AM109" s="1">
        <f t="shared" si="13"/>
        <v>0</v>
      </c>
      <c r="AN109" s="1">
        <v>0.20066999999999999</v>
      </c>
      <c r="AO109" s="1">
        <v>0.41563</v>
      </c>
      <c r="AP109" s="209">
        <v>4.3600000000000003E-5</v>
      </c>
      <c r="AQ109" s="1">
        <f ca="1">'Dynamic Materials'!O118</f>
        <v>2.8955588575533736E-2</v>
      </c>
      <c r="AR109" s="1">
        <f ca="1">'Dynamic Materials'!P118</f>
        <v>-6.5109819780769185E-2</v>
      </c>
      <c r="AS109" s="1"/>
      <c r="AT109" s="1" cm="1">
        <f t="array" aca="1" ref="AT109" ca="1">IFERROR(INDEX(Electricity_projection,MATCH($B109&amp;$A109,INDEX(Electricity_projection,0,3),0),MATCH(YEAR(TODAY()),Timeline_elec_projec,0)+3)*INDEX(Recyc_mat_energy_input,MATCH(AT$1,'Data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5.2052150981999994E-4</v>
      </c>
      <c r="AU109" s="1" cm="1">
        <f t="array" aca="1" ref="AU109" ca="1">IFERROR(INDEX(Electricity_projection,MATCH($B109&amp;$A109,INDEX(Electricity_projection,0,3),0),MATCH(YEAR(TODAY()),Timeline_elec_projec,0)+3)*INDEX(Recyc_mat_energy_input,MATCH(AU$1,'Data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3.1878313128E-4</v>
      </c>
      <c r="AV109" s="1" cm="1">
        <f t="array" aca="1" ref="AV109" ca="1">IFERROR(INDEX(Electricity_projection,MATCH($B109&amp;$A109,INDEX(Electricity_projection,0,3),0),MATCH(YEAR(TODAY()),Timeline_elec_projec,0)+3)*INDEX(Recyc_mat_energy_input,MATCH(AV$1,'Data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1.665957042E-4</v>
      </c>
      <c r="AW109" s="1"/>
      <c r="AX109" s="1"/>
      <c r="AY109" s="1"/>
      <c r="AZ109" s="1"/>
      <c r="BA109" s="1"/>
      <c r="BB109" s="1"/>
      <c r="BC109" s="1">
        <f t="shared" si="14"/>
        <v>0</v>
      </c>
      <c r="BD109" s="1"/>
      <c r="BE109" s="1"/>
      <c r="BF109" s="1"/>
      <c r="BG109" s="1">
        <f ca="1">'Dynamic Materials'!V118</f>
        <v>3.0011989574999995E-4</v>
      </c>
      <c r="BH109" s="1"/>
      <c r="BI109" s="1" t="str" cm="1">
        <f t="array" aca="1" ref="BI109" ca="1">IFERROR(INDEX(Electricity_projection,MATCH($B109&amp;$A109,INDEX(Electricity_projection,0,3),0),MATCH(YEAR(TODAY()),Timeline_elec_projec,0)+3)*INDEX(Recyc_mat_energy_input,MATCH(BI$1,'Data Entry'!$B$91:$B$96,0),1)+Diesel_density*INDEX(Recyc_mat_energy_input,MATCH(BI$1,'Data Entry'!$B$91:$B$96,0),2)*INDEX(Indicators,ROW(),MATCH("Diesel Combustion",Materials!$1:$1,0)), "")</f>
        <v/>
      </c>
      <c r="BJ109" s="1"/>
      <c r="BK109" s="1" t="str" cm="1">
        <f t="array" aca="1" ref="BK109" ca="1">IFERROR(INDEX(Electricity_projection,MATCH($B109&amp;$A109,INDEX(Electricity_projection,0,3),0),MATCH(YEAR(TODAY()),Timeline_elec_projec,0)+3)*INDEX(Recyc_mat_energy_input,MATCH(BK$1,'Data Entry'!$B$91:$B$96,0),1)+Diesel_density*INDEX(Recyc_mat_energy_input,MATCH(BK$1,'Data Entry'!$B$91:$B$96,0),2)*INDEX(Indicators,ROW(),MATCH("Diesel Combustion",Materials!$1:$1,0)), "")</f>
        <v/>
      </c>
      <c r="BL109" s="1" t="str" cm="1">
        <f t="array" aca="1" ref="BL109" ca="1">IFERROR(INDEX(Electricity_projection,MATCH($B109&amp;$A109,INDEX(Electricity_projection,0,3),0),MATCH(YEAR(TODAY()),Timeline_elec_projec,0)+3)*INDEX(Recyc_mat_energy_input,MATCH(BL$1,'Data Entry'!$B$91:$B$96,0),1)+Diesel_density*INDEX(Recyc_mat_energy_input,MATCH(BL$1,'Data Entry'!$B$91:$B$96,0),2)*INDEX(Indicators,ROW(),MATCH("Diesel Combustion",Materials!$1:$1,0)), "")</f>
        <v/>
      </c>
      <c r="BM109" s="1"/>
      <c r="BN109" s="1">
        <f>IF(Steel_supplier="Pacific Steel",Material_Impacts[[#This Row],[Pacific Steel]],Material_Impacts[[#This Row],[Infrabuild]])</f>
        <v>0</v>
      </c>
      <c r="BO109" s="1"/>
      <c r="BP109" s="1">
        <v>8.7075E-3</v>
      </c>
      <c r="BQ109">
        <v>0.56372999999999995</v>
      </c>
      <c r="BR109">
        <v>0.53034000000000003</v>
      </c>
      <c r="BS109" s="443"/>
      <c r="BT109" s="443"/>
      <c r="BU109" s="443"/>
      <c r="BV109" s="443">
        <v>1</v>
      </c>
      <c r="BX109" s="1">
        <v>8.6819999999999994E-2</v>
      </c>
      <c r="BY109" s="1">
        <f t="shared" si="11"/>
        <v>2.0085598611914398E-3</v>
      </c>
      <c r="BZ109">
        <v>0.46755000000000002</v>
      </c>
      <c r="CA109" s="1">
        <v>0</v>
      </c>
      <c r="CB109">
        <v>4.0500000000000002E-6</v>
      </c>
      <c r="CC109">
        <v>1.5986400000000001</v>
      </c>
      <c r="CD109" s="378">
        <f t="shared" si="15"/>
        <v>3.9040623000000003E-2</v>
      </c>
      <c r="CE109" s="208">
        <f t="shared" si="12"/>
        <v>1.6376806230000001</v>
      </c>
      <c r="CF109" s="208"/>
      <c r="CG109" s="208"/>
      <c r="CH109" s="208"/>
      <c r="CI109" s="208"/>
      <c r="CJ109" s="208"/>
      <c r="CK109" s="208"/>
      <c r="CL109" s="208"/>
      <c r="CM109" s="209"/>
      <c r="CN109" s="208"/>
      <c r="CP109" s="208"/>
    </row>
    <row r="110" spans="1:98" x14ac:dyDescent="0.35">
      <c r="A110" t="s">
        <v>556</v>
      </c>
      <c r="B110" t="s">
        <v>485</v>
      </c>
      <c r="C110" t="s">
        <v>768</v>
      </c>
      <c r="D110" t="str">
        <f>Material_Impacts[[#This Row],[15804 version]]&amp;Material_Impacts[[#This Row],[Methodology]]&amp;Material_Impacts[[#This Row],[Acronym]]</f>
        <v>A2ConsequentialPM</v>
      </c>
      <c r="E110" t="s">
        <v>791</v>
      </c>
      <c r="F110" t="s">
        <v>792</v>
      </c>
      <c r="G110" s="1">
        <v>5.0185536849966098E-8</v>
      </c>
      <c r="H110" s="1">
        <v>2.0914012745098098E-7</v>
      </c>
      <c r="I110" s="1">
        <v>5.9551765211597298E-8</v>
      </c>
      <c r="J110" s="1">
        <v>5.0185536849966098E-8</v>
      </c>
      <c r="K110" s="1">
        <v>2.2464096486577021E-12</v>
      </c>
      <c r="L110" s="1">
        <v>5.1000092851250851E-12</v>
      </c>
      <c r="M110" s="1">
        <v>1.865062896487761E-12</v>
      </c>
      <c r="N110" s="1"/>
      <c r="O110" s="443"/>
      <c r="P110" s="1">
        <v>3.9712000000000002E-10</v>
      </c>
      <c r="Q110" s="1">
        <v>0</v>
      </c>
      <c r="R110" s="1">
        <v>0</v>
      </c>
      <c r="S110" s="1">
        <v>0</v>
      </c>
      <c r="T110" s="1">
        <v>0</v>
      </c>
      <c r="U110" s="1">
        <v>0</v>
      </c>
      <c r="V110" s="1">
        <f ca="1">IFERROR('Dynamic Materials'!Q119+'Dynamic Materials'!AQ119, 0)</f>
        <v>1.2286185312809322E-4</v>
      </c>
      <c r="W110" s="1">
        <f ca="1">'Dynamic Materials'!R119</f>
        <v>1.2286165992439005E-4</v>
      </c>
      <c r="X110" s="1">
        <f ca="1">'Dynamic Materials'!T119</f>
        <v>1.2286145181434705E-4</v>
      </c>
      <c r="Y110" s="1">
        <f ca="1">IFERROR('Dynamic Materials'!U119+'Dynamic Materials'!AQ119, 0)</f>
        <v>1.2286136861339183E-4</v>
      </c>
      <c r="Z110" s="1">
        <f ca="1">IFERROR('Dynamic Materials'!S119+'Dynamic Materials'!AQ119, 0)</f>
        <v>1.2286161741752118E-4</v>
      </c>
      <c r="AA110" s="1">
        <f ca="1">'Dynamic Materials'!W119</f>
        <v>5.2800000000000007E-13</v>
      </c>
      <c r="AB110" s="1">
        <v>1.9627000000000001E-8</v>
      </c>
      <c r="AC110" s="1">
        <v>5.3911400000000002E-7</v>
      </c>
      <c r="AD110" s="209">
        <f>BZ110+200*Material_Impacts[[#This Row],[Truck (32+t)]]+1130*CB110</f>
        <v>2.4928911609297552E-8</v>
      </c>
      <c r="AE110" s="1">
        <v>1.69259E-8</v>
      </c>
      <c r="AF110" s="1">
        <v>1.4724599999999999E-9</v>
      </c>
      <c r="AG110" s="1"/>
      <c r="AH110" s="1">
        <v>4.4246700000000003E-8</v>
      </c>
      <c r="AI110" s="1">
        <f>'Dynamic Materials'!AG119</f>
        <v>1.38887E-8</v>
      </c>
      <c r="AJ110" s="1">
        <v>1.52519E-9</v>
      </c>
      <c r="AK110" s="1">
        <v>1.59754E-9</v>
      </c>
      <c r="AL110" s="1"/>
      <c r="AM110" s="1">
        <f t="shared" si="13"/>
        <v>0</v>
      </c>
      <c r="AN110" s="1">
        <v>1.5398600000000001E-9</v>
      </c>
      <c r="AO110" s="1">
        <v>1.0157600000000001E-8</v>
      </c>
      <c r="AP110" s="209">
        <v>1.6E-12</v>
      </c>
      <c r="AQ110" s="1">
        <f ca="1">'Dynamic Materials'!O119</f>
        <v>1.5413234519277244E-9</v>
      </c>
      <c r="AR110" s="1">
        <f ca="1">'Dynamic Materials'!P119</f>
        <v>5.9657175536987123E-10</v>
      </c>
      <c r="AS110" s="1"/>
      <c r="AT110" s="1" cm="1">
        <f t="array" aca="1" ref="AT110" ca="1">IFERROR(INDEX(Electricity_projection,MATCH($B110&amp;$A110,INDEX(Electricity_projection,0,3),0),MATCH(YEAR(TODAY()),Timeline_elec_projec,0)+3)*INDEX(Recyc_mat_energy_input,MATCH(AT$1,'Data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4.8498675925395112E-11</v>
      </c>
      <c r="AU110" s="1" cm="1">
        <f t="array" aca="1" ref="AU110" ca="1">IFERROR(INDEX(Electricity_projection,MATCH($B110&amp;$A110,INDEX(Electricity_projection,0,3),0),MATCH(YEAR(TODAY()),Timeline_elec_projec,0)+3)*INDEX(Recyc_mat_energy_input,MATCH(AU$1,'Data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3.0166124716219823E-11</v>
      </c>
      <c r="AV110" s="1" cm="1">
        <f t="array" aca="1" ref="AV110" ca="1">IFERROR(INDEX(Electricity_projection,MATCH($B110&amp;$A110,INDEX(Electricity_projection,0,3),0),MATCH(YEAR(TODAY()),Timeline_elec_projec,0)+3)*INDEX(Recyc_mat_energy_input,MATCH(AV$1,'Data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1.576478269067985E-11</v>
      </c>
      <c r="AW110" s="1"/>
      <c r="AX110" s="1"/>
      <c r="AY110" s="1"/>
      <c r="AZ110" s="1"/>
      <c r="BA110" s="1"/>
      <c r="BB110" s="1"/>
      <c r="BC110" s="1">
        <f t="shared" si="14"/>
        <v>0</v>
      </c>
      <c r="BD110" s="1"/>
      <c r="BE110" s="1"/>
      <c r="BF110" s="1"/>
      <c r="BG110" s="1">
        <f ca="1">'Dynamic Materials'!V119</f>
        <v>2.7642294500833527E-11</v>
      </c>
      <c r="BH110" s="1"/>
      <c r="BI110" s="1" t="str" cm="1">
        <f t="array" aca="1" ref="BI110" ca="1">IFERROR(INDEX(Electricity_projection,MATCH($B110&amp;$A110,INDEX(Electricity_projection,0,3),0),MATCH(YEAR(TODAY()),Timeline_elec_projec,0)+3)*INDEX(Recyc_mat_energy_input,MATCH(BI$1,'Data Entry'!$B$91:$B$96,0),1)+Diesel_density*INDEX(Recyc_mat_energy_input,MATCH(BI$1,'Data Entry'!$B$91:$B$96,0),2)*INDEX(Indicators,ROW(),MATCH("Diesel Combustion",Materials!$1:$1,0)), "")</f>
        <v/>
      </c>
      <c r="BJ110" s="1"/>
      <c r="BK110" s="1" t="str" cm="1">
        <f t="array" aca="1" ref="BK110" ca="1">IFERROR(INDEX(Electricity_projection,MATCH($B110&amp;$A110,INDEX(Electricity_projection,0,3),0),MATCH(YEAR(TODAY()),Timeline_elec_projec,0)+3)*INDEX(Recyc_mat_energy_input,MATCH(BK$1,'Data Entry'!$B$91:$B$96,0),1)+Diesel_density*INDEX(Recyc_mat_energy_input,MATCH(BK$1,'Data Entry'!$B$91:$B$96,0),2)*INDEX(Indicators,ROW(),MATCH("Diesel Combustion",Materials!$1:$1,0)), "")</f>
        <v/>
      </c>
      <c r="BL110" s="1" t="str" cm="1">
        <f t="array" aca="1" ref="BL110" ca="1">IFERROR(INDEX(Electricity_projection,MATCH($B110&amp;$A110,INDEX(Electricity_projection,0,3),0),MATCH(YEAR(TODAY()),Timeline_elec_projec,0)+3)*INDEX(Recyc_mat_energy_input,MATCH(BL$1,'Data Entry'!$B$91:$B$96,0),1)+Diesel_density*INDEX(Recyc_mat_energy_input,MATCH(BL$1,'Data Entry'!$B$91:$B$96,0),2)*INDEX(Indicators,ROW(),MATCH("Diesel Combustion",Materials!$1:$1,0)), "")</f>
        <v/>
      </c>
      <c r="BM110" s="1"/>
      <c r="BN110" s="1">
        <f>IF(Steel_supplier="Pacific Steel",Material_Impacts[[#This Row],[Pacific Steel]],Material_Impacts[[#This Row],[Infrabuild]])</f>
        <v>0</v>
      </c>
      <c r="BO110" s="1"/>
      <c r="BP110" s="1">
        <v>6.2958664999999996E-10</v>
      </c>
      <c r="BQ110" s="1">
        <v>4.0574399999999998E-8</v>
      </c>
      <c r="BR110" s="1">
        <v>2.6707499999999999E-8</v>
      </c>
      <c r="BS110" s="443"/>
      <c r="BT110" s="443"/>
      <c r="BU110" s="443"/>
      <c r="BV110" s="443">
        <v>1</v>
      </c>
      <c r="BW110" s="1"/>
      <c r="BX110" s="1">
        <v>5.1472599999999999E-9</v>
      </c>
      <c r="BY110" s="1">
        <f t="shared" si="11"/>
        <v>1.1908062463851937E-10</v>
      </c>
      <c r="BZ110" s="1">
        <v>2.4225E-8</v>
      </c>
      <c r="CA110" s="1">
        <v>0</v>
      </c>
      <c r="CB110">
        <v>2.92831E-13</v>
      </c>
      <c r="CC110" s="1">
        <v>4.3710800000000003E-8</v>
      </c>
      <c r="CD110" s="378">
        <f t="shared" si="15"/>
        <v>2.8227912774599999E-9</v>
      </c>
      <c r="CE110" s="208">
        <f t="shared" si="12"/>
        <v>4.6533591277460005E-8</v>
      </c>
      <c r="CF110" s="208"/>
      <c r="CG110" s="208"/>
      <c r="CH110" s="208"/>
      <c r="CI110" s="208"/>
      <c r="CJ110" s="208"/>
      <c r="CK110" s="209"/>
      <c r="CL110" s="209"/>
      <c r="CM110" s="209"/>
      <c r="CN110" s="208"/>
      <c r="CP110" s="208"/>
    </row>
    <row r="111" spans="1:98" x14ac:dyDescent="0.35">
      <c r="A111" t="s">
        <v>367</v>
      </c>
      <c r="B111" t="s">
        <v>54</v>
      </c>
      <c r="C111" t="s">
        <v>768</v>
      </c>
      <c r="D111" t="str">
        <f>Material_Impacts[[#This Row],[15804 version]]&amp;Material_Impacts[[#This Row],[Methodology]]&amp;Material_Impacts[[#This Row],[Acronym]]</f>
        <v>A2AttributionalPM2.5</v>
      </c>
      <c r="E111" t="s">
        <v>793</v>
      </c>
      <c r="F111" t="s">
        <v>662</v>
      </c>
      <c r="G111" s="1">
        <v>1.8214920000000001E-4</v>
      </c>
      <c r="H111" s="1">
        <v>1.8214920000000001E-4</v>
      </c>
      <c r="I111" s="1">
        <v>9.0861989999999998E-5</v>
      </c>
      <c r="J111" s="1">
        <v>1.8214920000000001E-4</v>
      </c>
      <c r="K111" s="1">
        <v>4.7145643388801958E-9</v>
      </c>
      <c r="L111" s="1">
        <v>1.1415981522602322E-8</v>
      </c>
      <c r="M111" s="1">
        <v>3.9700343386467032E-9</v>
      </c>
      <c r="N111" s="1"/>
      <c r="O111" s="443"/>
      <c r="P111" s="1">
        <v>0</v>
      </c>
      <c r="Q111" s="1">
        <v>0</v>
      </c>
      <c r="R111" s="1">
        <v>0</v>
      </c>
      <c r="S111" s="1">
        <v>0</v>
      </c>
      <c r="T111" s="1">
        <v>0</v>
      </c>
      <c r="U111" s="1">
        <v>0</v>
      </c>
      <c r="V111" s="1">
        <f>IFERROR('Dynamic Materials'!Q120+'Dynamic Materials'!AQ120, 0)</f>
        <v>0</v>
      </c>
      <c r="W111" s="1">
        <f>'Dynamic Materials'!R120</f>
        <v>0</v>
      </c>
      <c r="X111" s="1">
        <f>'Dynamic Materials'!T120</f>
        <v>0</v>
      </c>
      <c r="Y111" s="1">
        <f>IFERROR('Dynamic Materials'!U120+'Dynamic Materials'!AQ120, 0)</f>
        <v>0</v>
      </c>
      <c r="Z111" s="1">
        <f>IFERROR('Dynamic Materials'!S120+'Dynamic Materials'!AQ120, 0)</f>
        <v>0</v>
      </c>
      <c r="AA111" s="1">
        <f>'Dynamic Materials'!W120</f>
        <v>0</v>
      </c>
      <c r="AB111" s="1">
        <v>0</v>
      </c>
      <c r="AC111" s="1">
        <v>0</v>
      </c>
      <c r="AD111" s="209">
        <f>BZ111+200*Material_Impacts[[#This Row],[Truck (32+t)]]+1130*CB111</f>
        <v>1.6555167686772935E-4</v>
      </c>
      <c r="AE111" s="1">
        <v>0</v>
      </c>
      <c r="AF111" s="1">
        <v>0</v>
      </c>
      <c r="AG111" s="1"/>
      <c r="AH111" s="1">
        <v>0</v>
      </c>
      <c r="AI111" s="1">
        <f>'Dynamic Materials'!AG120</f>
        <v>0</v>
      </c>
      <c r="AJ111" s="1">
        <v>0</v>
      </c>
      <c r="AK111" s="1">
        <v>0</v>
      </c>
      <c r="AL111" s="1"/>
      <c r="AM111" s="1">
        <v>0</v>
      </c>
      <c r="AN111" s="1">
        <v>0</v>
      </c>
      <c r="AO111" s="1">
        <v>0</v>
      </c>
      <c r="AP111" s="1">
        <v>0</v>
      </c>
      <c r="AQ111" s="1">
        <f>'Dynamic Materials'!O120</f>
        <v>0</v>
      </c>
      <c r="AR111" s="1">
        <f>'Dynamic Materials'!P120</f>
        <v>0</v>
      </c>
      <c r="AS111" s="1"/>
      <c r="AT111" s="1" cm="1">
        <f t="array" aca="1" ref="AT111" ca="1">IFERROR(INDEX(Electricity_projection,MATCH($B111&amp;$A111,INDEX(Electricity_projection,0,3),0),MATCH(YEAR(TODAY()),Timeline_elec_projec,0)+3)*INDEX(Recyc_mat_energy_input,MATCH(AT$1,'Data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1.7468454399160002E-7</v>
      </c>
      <c r="AU111" s="1" cm="1">
        <f t="array" aca="1" ref="AU111" ca="1">IFERROR(INDEX(Electricity_projection,MATCH($B111&amp;$A111,INDEX(Electricity_projection,0,3),0),MATCH(YEAR(TODAY()),Timeline_elec_projec,0)+3)*INDEX(Recyc_mat_energy_input,MATCH(AU$1,'Data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1.0988842692640001E-7</v>
      </c>
      <c r="AV111" s="1" cm="1">
        <f t="array" aca="1" ref="AV111" ca="1">IFERROR(INDEX(Electricity_projection,MATCH($B111&amp;$A111,INDEX(Electricity_projection,0,3),0),MATCH(YEAR(TODAY()),Timeline_elec_projec,0)+3)*INDEX(Recyc_mat_energy_input,MATCH(AV$1,'Data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5.7618528195999993E-8</v>
      </c>
      <c r="AW111" s="1"/>
      <c r="AX111" s="1"/>
      <c r="AY111" s="1"/>
      <c r="AZ111" s="1"/>
      <c r="BA111" s="1"/>
      <c r="BB111" s="1"/>
      <c r="BC111" s="1">
        <v>1.6116775E-4</v>
      </c>
      <c r="BD111" s="1">
        <v>0</v>
      </c>
      <c r="BE111" s="1">
        <v>0</v>
      </c>
      <c r="BF111" s="1"/>
      <c r="BG111" s="1">
        <f>'Dynamic Materials'!V120</f>
        <v>0</v>
      </c>
      <c r="BH111" s="1"/>
      <c r="BI111" s="1" t="str" cm="1">
        <f t="array" aca="1" ref="BI111" ca="1">IFERROR(INDEX(Electricity_projection,MATCH($B111&amp;$A111,INDEX(Electricity_projection,0,3),0),MATCH(YEAR(TODAY()),Timeline_elec_projec,0)+3)*INDEX(Recyc_mat_energy_input,MATCH(BI$1,'Data Entry'!$B$91:$B$96,0),1)+Diesel_density*INDEX(Recyc_mat_energy_input,MATCH(BI$1,'Data Entry'!$B$91:$B$96,0),2)*INDEX(Indicators,ROW(),MATCH("Diesel Combustion",Materials!$1:$1,0)), "")</f>
        <v/>
      </c>
      <c r="BJ111" s="1"/>
      <c r="BK111" s="1" t="str" cm="1">
        <f t="array" aca="1" ref="BK111" ca="1">IFERROR(INDEX(Electricity_projection,MATCH($B111&amp;$A111,INDEX(Electricity_projection,0,3),0),MATCH(YEAR(TODAY()),Timeline_elec_projec,0)+3)*INDEX(Recyc_mat_energy_input,MATCH(BK$1,'Data Entry'!$B$91:$B$96,0),1)+Diesel_density*INDEX(Recyc_mat_energy_input,MATCH(BK$1,'Data Entry'!$B$91:$B$96,0),2)*INDEX(Indicators,ROW(),MATCH("Diesel Combustion",Materials!$1:$1,0)), "")</f>
        <v/>
      </c>
      <c r="BL111" s="1" t="str" cm="1">
        <f t="array" aca="1" ref="BL111" ca="1">IFERROR(INDEX(Electricity_projection,MATCH($B111&amp;$A111,INDEX(Electricity_projection,0,3),0),MATCH(YEAR(TODAY()),Timeline_elec_projec,0)+3)*INDEX(Recyc_mat_energy_input,MATCH(BL$1,'Data Entry'!$B$91:$B$96,0),1)+Diesel_density*INDEX(Recyc_mat_energy_input,MATCH(BL$1,'Data Entry'!$B$91:$B$96,0),2)*INDEX(Indicators,ROW(),MATCH("Diesel Combustion",Materials!$1:$1,0)), "")</f>
        <v/>
      </c>
      <c r="BM111" s="1"/>
      <c r="BN111" s="1">
        <v>0</v>
      </c>
      <c r="BO111" s="1">
        <v>0</v>
      </c>
      <c r="BP111" s="1">
        <v>0</v>
      </c>
      <c r="BQ111" s="1">
        <v>9.0861989999999998E-5</v>
      </c>
      <c r="BR111" s="1">
        <v>1.8214920000000001E-4</v>
      </c>
      <c r="BS111" s="443"/>
      <c r="BT111" s="443"/>
      <c r="BU111" s="443"/>
      <c r="BV111" s="443">
        <v>1</v>
      </c>
      <c r="BW111" s="1"/>
      <c r="BX111" s="1">
        <v>0</v>
      </c>
      <c r="BY111" s="1">
        <v>0</v>
      </c>
      <c r="BZ111" s="1">
        <v>1.6475767E-4</v>
      </c>
      <c r="CA111" s="1">
        <v>4.0000000000000001E-10</v>
      </c>
      <c r="CB111" s="1">
        <v>0</v>
      </c>
      <c r="CC111" s="1">
        <v>0</v>
      </c>
      <c r="CD111" s="1">
        <v>0</v>
      </c>
      <c r="CE111" s="1">
        <v>0</v>
      </c>
      <c r="CT111" s="208"/>
    </row>
    <row r="112" spans="1:98" x14ac:dyDescent="0.35">
      <c r="A112" t="s">
        <v>367</v>
      </c>
      <c r="B112" t="s">
        <v>485</v>
      </c>
      <c r="C112" t="s">
        <v>768</v>
      </c>
      <c r="D112" t="str">
        <f>Material_Impacts[[#This Row],[15804 version]]&amp;Material_Impacts[[#This Row],[Methodology]]&amp;Material_Impacts[[#This Row],[Acronym]]</f>
        <v>A2ConsequentialPM2.5</v>
      </c>
      <c r="E112" t="s">
        <v>793</v>
      </c>
      <c r="F112" t="s">
        <v>662</v>
      </c>
      <c r="G112" s="1">
        <v>2.8882412999999999E-4</v>
      </c>
      <c r="H112" s="1">
        <v>2.8882412999999999E-4</v>
      </c>
      <c r="I112" s="1">
        <v>3.2805877000000001E-4</v>
      </c>
      <c r="J112" s="1">
        <v>2.8882412999999999E-4</v>
      </c>
      <c r="K112" s="1">
        <v>7.4756295581100415E-9</v>
      </c>
      <c r="L112" s="1">
        <v>1.8101704159895793E-8</v>
      </c>
      <c r="M112" s="1">
        <v>6.2950686246755916E-9</v>
      </c>
      <c r="N112" s="1"/>
      <c r="O112" s="443"/>
      <c r="P112" s="1">
        <v>0</v>
      </c>
      <c r="Q112" s="1">
        <v>0</v>
      </c>
      <c r="R112" s="1">
        <v>0</v>
      </c>
      <c r="S112" s="1">
        <v>0</v>
      </c>
      <c r="T112" s="1">
        <v>0</v>
      </c>
      <c r="U112" s="1">
        <v>0</v>
      </c>
      <c r="V112" s="1">
        <f>IFERROR('Dynamic Materials'!Q121+'Dynamic Materials'!AQ121, 0)</f>
        <v>0</v>
      </c>
      <c r="W112" s="1">
        <f>'Dynamic Materials'!R121</f>
        <v>0</v>
      </c>
      <c r="X112" s="1">
        <f>'Dynamic Materials'!T121</f>
        <v>0</v>
      </c>
      <c r="Y112" s="1">
        <f>IFERROR('Dynamic Materials'!U121+'Dynamic Materials'!AQ121, 0)</f>
        <v>0</v>
      </c>
      <c r="Z112" s="1">
        <f>IFERROR('Dynamic Materials'!S121+'Dynamic Materials'!AQ121, 0)</f>
        <v>0</v>
      </c>
      <c r="AA112" s="1">
        <f>'Dynamic Materials'!W121</f>
        <v>0</v>
      </c>
      <c r="AB112" s="1">
        <v>0</v>
      </c>
      <c r="AC112" s="1">
        <v>0</v>
      </c>
      <c r="AD112" s="209">
        <f>BZ112+200*Material_Impacts[[#This Row],[Truck (32+t)]]+1130*CB112</f>
        <v>2.6304850372493513E-4</v>
      </c>
      <c r="AE112" s="1">
        <v>0</v>
      </c>
      <c r="AF112" s="1">
        <v>0</v>
      </c>
      <c r="AG112" s="1"/>
      <c r="AH112" s="1">
        <v>0</v>
      </c>
      <c r="AI112" s="1">
        <f>'Dynamic Materials'!AG121</f>
        <v>0</v>
      </c>
      <c r="AJ112" s="1">
        <v>0</v>
      </c>
      <c r="AK112" s="1">
        <v>0</v>
      </c>
      <c r="AL112" s="1"/>
      <c r="AM112" s="1">
        <v>0</v>
      </c>
      <c r="AN112" s="1">
        <v>0</v>
      </c>
      <c r="AO112" s="1">
        <v>0</v>
      </c>
      <c r="AP112" s="1">
        <v>0</v>
      </c>
      <c r="AQ112" s="1">
        <f>'Dynamic Materials'!O121</f>
        <v>0</v>
      </c>
      <c r="AR112" s="1">
        <f>'Dynamic Materials'!P121</f>
        <v>0</v>
      </c>
      <c r="AS112" s="1"/>
      <c r="AT112" s="1" cm="1">
        <f t="array" aca="1" ref="AT112" ca="1">IFERROR(INDEX(Electricity_projection,MATCH($B112&amp;$A112,INDEX(Electricity_projection,0,3),0),MATCH(YEAR(TODAY()),Timeline_elec_projec,0)+3)*INDEX(Recyc_mat_energy_input,MATCH(AT$1,'Data Entry'!$B$91:$B$96,0),1),0)+Diesel_density*INDEX(Recyc_mat_energy_input,MATCH(AT$1,'Data Entry'!$B$91:$B$96,0),2)*INDEX(Indicators,ROW(),MATCH("Diesel Combustion",Materials!$1:$1,0))+INDEX(Recyc_mat_energy_input,MATCH(AT$1,'Data Entry'!$B$91:$B$96,0),3)*INDEX(Indicators,ROW(),MATCH("Water",Materials!$1:$1,0))+INDEX(Recyc_mat_energy_input,MATCH(AU$1,'Data Entry'!$B$91:$B$96,0),4)*INDEX(Indicators,ROW(),MATCH("Quarry Consumables (excl energy)",Materials!$1:$1,0))</f>
        <v>2.7675357053898995E-7</v>
      </c>
      <c r="AU112" s="1" cm="1">
        <f t="array" aca="1" ref="AU112" ca="1">IFERROR(INDEX(Electricity_projection,MATCH($B112&amp;$A112,INDEX(Electricity_projection,0,3),0),MATCH(YEAR(TODAY()),Timeline_elec_projec,0)+3)*INDEX(Recyc_mat_energy_input,MATCH(AU$1,'Data Entry'!$B$91:$B$96,0),1),0)+Diesel_density*INDEX(Recyc_mat_energy_input,MATCH(AU$1,'Data Entry'!$B$91:$B$96,0),2)*INDEX(Indicators,ROW(),MATCH("Diesel Combustion",Materials!$1:$1,0))+INDEX(Recyc_mat_energy_input,MATCH(AU$1,'Data Entry'!$B$91:$B$96,0),3)*INDEX(Indicators,ROW(),MATCH("Water",Materials!$1:$1,0))+INDEX(Recyc_mat_energy_input,MATCH(AU$1,'Data Entry'!$B$91:$B$96,0),4)*INDEX(Indicators,ROW(),MATCH("Quarry Consumables (excl energy)",Materials!$1:$1,0))</f>
        <v>1.7400987394995999E-7</v>
      </c>
      <c r="AV112" s="1" cm="1">
        <f t="array" aca="1" ref="AV112" ca="1">IFERROR(INDEX(Electricity_projection,MATCH($B112&amp;$A112,INDEX(Electricity_projection,0,3),0),MATCH(YEAR(TODAY()),Timeline_elec_projec,0)+3)*INDEX(Recyc_mat_energy_input,MATCH(AV$1,'Data Entry'!$B$91:$B$96,0),1),0)+Diesel_density*INDEX(Recyc_mat_energy_input,MATCH(AV$1,'Data Entry'!$B$91:$B$96,0),2)*INDEX(Indicators,ROW(),MATCH("Diesel Combustion",Materials!$1:$1,0))+INDEX(Recyc_mat_energy_input,MATCH(AV$1,'Data Entry'!$B$91:$B$96,0),3)*INDEX(Indicators,ROW(),MATCH("Water",Materials!$1:$1,0))+INDEX(Recyc_mat_energy_input,MATCH(AU$1,'Data Entry'!$B$91:$B$96,0),4)*INDEX(Indicators,ROW(),MATCH("Quarry Consumables (excl energy)",Materials!$1:$1,0))</f>
        <v>9.112832395689999E-8</v>
      </c>
      <c r="AW112" s="1"/>
      <c r="AX112" s="1"/>
      <c r="AY112" s="1"/>
      <c r="AZ112" s="1"/>
      <c r="BA112" s="1"/>
      <c r="BB112" s="1"/>
      <c r="BC112" s="1">
        <v>3.6049690000000001E-4</v>
      </c>
      <c r="BD112" s="1">
        <v>0</v>
      </c>
      <c r="BE112" s="1">
        <v>0</v>
      </c>
      <c r="BF112" s="1"/>
      <c r="BG112" s="1">
        <f>'Dynamic Materials'!V121</f>
        <v>0</v>
      </c>
      <c r="BH112" s="1"/>
      <c r="BI112" s="1" t="str" cm="1">
        <f t="array" aca="1" ref="BI112" ca="1">IFERROR(INDEX(Electricity_projection,MATCH($B112&amp;$A112,INDEX(Electricity_projection,0,3),0),MATCH(YEAR(TODAY()),Timeline_elec_projec,0)+3)*INDEX(Recyc_mat_energy_input,MATCH(BI$1,'Data Entry'!$B$91:$B$96,0),1)+Diesel_density*INDEX(Recyc_mat_energy_input,MATCH(BI$1,'Data Entry'!$B$91:$B$96,0),2)*INDEX(Indicators,ROW(),MATCH("Diesel Combustion",Materials!$1:$1,0)), "")</f>
        <v/>
      </c>
      <c r="BJ112" s="1"/>
      <c r="BK112" s="1" t="str" cm="1">
        <f t="array" aca="1" ref="BK112" ca="1">IFERROR(INDEX(Electricity_projection,MATCH($B112&amp;$A112,INDEX(Electricity_projection,0,3),0),MATCH(YEAR(TODAY()),Timeline_elec_projec,0)+3)*INDEX(Recyc_mat_energy_input,MATCH(BK$1,'Data Entry'!$B$91:$B$96,0),1)+Diesel_density*INDEX(Recyc_mat_energy_input,MATCH(BK$1,'Data Entry'!$B$91:$B$96,0),2)*INDEX(Indicators,ROW(),MATCH("Diesel Combustion",Materials!$1:$1,0)), "")</f>
        <v/>
      </c>
      <c r="BL112" s="1" t="str" cm="1">
        <f t="array" aca="1" ref="BL112" ca="1">IFERROR(INDEX(Electricity_projection,MATCH($B112&amp;$A112,INDEX(Electricity_projection,0,3),0),MATCH(YEAR(TODAY()),Timeline_elec_projec,0)+3)*INDEX(Recyc_mat_energy_input,MATCH(BL$1,'Data Entry'!$B$91:$B$96,0),1)+Diesel_density*INDEX(Recyc_mat_energy_input,MATCH(BL$1,'Data Entry'!$B$91:$B$96,0),2)*INDEX(Indicators,ROW(),MATCH("Diesel Combustion",Materials!$1:$1,0)), "")</f>
        <v/>
      </c>
      <c r="BM112" s="1"/>
      <c r="BN112" s="1">
        <v>0</v>
      </c>
      <c r="BO112" s="1">
        <v>0</v>
      </c>
      <c r="BP112" s="1">
        <v>0</v>
      </c>
      <c r="BQ112" s="1">
        <v>3.2805877000000001E-4</v>
      </c>
      <c r="BR112" s="1">
        <v>2.8882412999999999E-4</v>
      </c>
      <c r="BS112" s="443"/>
      <c r="BT112" s="443"/>
      <c r="BU112" s="443"/>
      <c r="BV112" s="443">
        <v>1</v>
      </c>
      <c r="BW112" s="1"/>
      <c r="BX112" s="1">
        <v>0</v>
      </c>
      <c r="BY112" s="1">
        <v>0</v>
      </c>
      <c r="BZ112" s="1">
        <v>2.6178949E-4</v>
      </c>
      <c r="CA112" s="1">
        <v>4.0000000000000001E-10</v>
      </c>
      <c r="CB112" s="1">
        <v>0</v>
      </c>
      <c r="CC112" s="1">
        <v>0</v>
      </c>
      <c r="CD112" s="1">
        <v>0</v>
      </c>
      <c r="CE112" s="1">
        <v>0</v>
      </c>
    </row>
    <row r="113" spans="15:69" hidden="1" x14ac:dyDescent="0.35">
      <c r="V113" s="3"/>
      <c r="W113" s="3"/>
      <c r="X113" s="523"/>
      <c r="Y113" s="523"/>
      <c r="Z113" s="523"/>
    </row>
    <row r="114" spans="15:69" hidden="1" x14ac:dyDescent="0.35">
      <c r="V114" s="3"/>
      <c r="W114" s="3"/>
      <c r="X114" s="523"/>
      <c r="Y114" s="523"/>
      <c r="Z114" s="523"/>
    </row>
    <row r="115" spans="15:69" hidden="1" x14ac:dyDescent="0.35">
      <c r="V115" s="3"/>
      <c r="W115" s="3"/>
      <c r="X115" s="523"/>
      <c r="Y115" s="523"/>
      <c r="Z115" s="523"/>
      <c r="AA115" s="1"/>
      <c r="AL115" s="1"/>
      <c r="AM115" s="1"/>
      <c r="AP115" s="1"/>
      <c r="AS115" s="1"/>
      <c r="BB115" s="453"/>
    </row>
    <row r="116" spans="15:69" hidden="1" x14ac:dyDescent="0.35">
      <c r="O116" s="1"/>
      <c r="Q116" s="1"/>
      <c r="V116" s="3"/>
      <c r="W116" s="3"/>
      <c r="X116" s="523"/>
      <c r="Y116" s="523"/>
      <c r="Z116" s="523"/>
      <c r="AL116" s="1"/>
      <c r="AP116" s="1"/>
      <c r="AS116" s="1"/>
      <c r="AU116" s="1"/>
      <c r="AV116" s="1"/>
      <c r="BB116" s="453"/>
    </row>
    <row r="117" spans="15:69" hidden="1" x14ac:dyDescent="0.35">
      <c r="Q117" s="1"/>
      <c r="S117" s="1"/>
      <c r="V117" s="3"/>
      <c r="W117" s="3"/>
      <c r="X117" s="523"/>
      <c r="Y117" s="523"/>
      <c r="Z117" s="523"/>
      <c r="AA117" s="1"/>
      <c r="AL117" s="1"/>
      <c r="AM117" s="1"/>
      <c r="AP117" s="1"/>
      <c r="AS117" s="1"/>
      <c r="AU117" s="1"/>
      <c r="AV117" s="1"/>
      <c r="BB117" s="453"/>
    </row>
    <row r="118" spans="15:69" hidden="1" x14ac:dyDescent="0.35">
      <c r="O118" s="1"/>
      <c r="Q118" s="1"/>
      <c r="S118" s="1"/>
      <c r="V118" s="3"/>
      <c r="W118" s="3"/>
      <c r="X118" s="523"/>
      <c r="Y118" s="523"/>
      <c r="Z118" s="523"/>
      <c r="AA118" s="1"/>
      <c r="AL118" s="1"/>
      <c r="AN118" s="1"/>
      <c r="AP118" s="1"/>
      <c r="AU118" s="1"/>
      <c r="AV118" s="1"/>
      <c r="BB118" s="453"/>
      <c r="BN118" s="1"/>
      <c r="BQ118" s="1"/>
    </row>
    <row r="119" spans="15:69" hidden="1" x14ac:dyDescent="0.35">
      <c r="O119" s="1"/>
      <c r="Q119" s="1"/>
      <c r="V119" s="3"/>
      <c r="W119" s="3"/>
      <c r="X119" s="523"/>
      <c r="Y119" s="523"/>
      <c r="Z119" s="523"/>
      <c r="AA119" s="1"/>
      <c r="AL119" s="1"/>
      <c r="AM119" s="1"/>
      <c r="AN119" s="1"/>
      <c r="AP119" s="1"/>
      <c r="AS119" s="1"/>
      <c r="AU119" s="1"/>
      <c r="AV119" s="1"/>
      <c r="BB119" s="453"/>
      <c r="BN119" s="1"/>
      <c r="BQ119" s="1"/>
    </row>
    <row r="120" spans="15:69" hidden="1" x14ac:dyDescent="0.35">
      <c r="O120" s="1"/>
      <c r="Q120" s="1"/>
      <c r="V120" s="3"/>
      <c r="W120" s="3"/>
      <c r="X120" s="523"/>
      <c r="Y120" s="523"/>
      <c r="Z120" s="523"/>
      <c r="AA120" s="1"/>
      <c r="AL120" s="1"/>
      <c r="AM120" s="1"/>
      <c r="AP120" s="1"/>
      <c r="AS120" s="1"/>
      <c r="AU120" s="1"/>
      <c r="AV120" s="1"/>
      <c r="BB120" s="453"/>
      <c r="BN120" s="1"/>
      <c r="BQ120" s="1"/>
    </row>
    <row r="121" spans="15:69" hidden="1" x14ac:dyDescent="0.35">
      <c r="O121" s="1"/>
      <c r="Q121" s="1"/>
      <c r="S121" s="1"/>
      <c r="V121" s="3"/>
      <c r="W121" s="3"/>
      <c r="X121" s="523"/>
      <c r="Y121" s="523"/>
      <c r="Z121" s="523"/>
      <c r="AA121" s="1"/>
      <c r="AL121" s="1"/>
      <c r="AM121" s="1"/>
      <c r="AN121" s="1"/>
      <c r="AP121" s="1"/>
      <c r="AS121" s="1"/>
      <c r="AU121" s="1"/>
      <c r="AV121" s="1"/>
      <c r="BB121" s="453"/>
      <c r="BN121" s="1"/>
    </row>
    <row r="122" spans="15:69" hidden="1" x14ac:dyDescent="0.35">
      <c r="O122" s="1"/>
      <c r="Q122" s="1"/>
      <c r="V122" s="3"/>
      <c r="W122" s="3"/>
      <c r="X122" s="523"/>
      <c r="Y122" s="523"/>
      <c r="Z122" s="523"/>
      <c r="AL122" s="1"/>
      <c r="AM122" s="1"/>
      <c r="AN122" s="1"/>
      <c r="AP122" s="1"/>
      <c r="AS122" s="1"/>
      <c r="AU122" s="1"/>
      <c r="AV122" s="1"/>
      <c r="BB122" s="453"/>
      <c r="BN122" s="1"/>
      <c r="BQ122" s="1"/>
    </row>
    <row r="123" spans="15:69" hidden="1" x14ac:dyDescent="0.35">
      <c r="Q123" s="1"/>
      <c r="T123" s="1"/>
      <c r="V123" s="3"/>
      <c r="W123" s="3"/>
      <c r="X123" s="523"/>
      <c r="Y123" s="523"/>
      <c r="Z123" s="523"/>
      <c r="AL123" s="1"/>
      <c r="AN123" s="1"/>
      <c r="AP123" s="1"/>
      <c r="AS123" s="1"/>
      <c r="AU123" s="1"/>
      <c r="AV123" s="1"/>
      <c r="BB123" s="453"/>
      <c r="BN123" s="1"/>
      <c r="BQ123" s="1"/>
    </row>
    <row r="124" spans="15:69" hidden="1" x14ac:dyDescent="0.35">
      <c r="O124" s="1"/>
      <c r="Q124" s="1"/>
      <c r="T124" s="1"/>
      <c r="V124" s="3"/>
      <c r="W124" s="3"/>
      <c r="X124" s="523"/>
      <c r="Y124" s="523"/>
      <c r="Z124" s="523"/>
      <c r="AA124" s="1"/>
      <c r="AL124" s="1"/>
      <c r="AM124" s="1"/>
      <c r="AN124" s="1"/>
      <c r="AS124" s="1"/>
      <c r="AU124" s="1"/>
      <c r="AV124" s="1"/>
      <c r="BN124" s="1"/>
    </row>
    <row r="125" spans="15:69" hidden="1" x14ac:dyDescent="0.35">
      <c r="O125" s="1"/>
      <c r="Q125" s="1"/>
      <c r="T125" s="1"/>
      <c r="V125" s="3"/>
      <c r="W125" s="3"/>
      <c r="X125" s="523"/>
      <c r="Y125" s="523"/>
      <c r="Z125" s="523"/>
      <c r="AL125" s="1"/>
      <c r="AP125" s="1"/>
      <c r="AS125" s="1"/>
      <c r="AU125" s="1"/>
      <c r="AV125" s="1"/>
      <c r="BB125" s="453"/>
      <c r="BN125" s="1"/>
      <c r="BQ125" s="1"/>
    </row>
    <row r="126" spans="15:69" hidden="1" x14ac:dyDescent="0.35">
      <c r="Q126" s="1"/>
      <c r="T126" s="1"/>
      <c r="V126" s="3"/>
      <c r="W126" s="3"/>
      <c r="X126" s="523"/>
      <c r="Y126" s="523"/>
      <c r="Z126" s="523"/>
      <c r="AL126" s="1"/>
      <c r="AN126" s="1"/>
      <c r="AS126" s="1"/>
      <c r="AU126" s="1"/>
      <c r="AV126" s="1"/>
      <c r="BN126" s="1"/>
    </row>
    <row r="127" spans="15:69" hidden="1" x14ac:dyDescent="0.35">
      <c r="Q127" s="1"/>
      <c r="V127" s="3"/>
      <c r="W127" s="3"/>
      <c r="X127" s="523"/>
      <c r="Y127" s="523"/>
      <c r="Z127" s="523"/>
      <c r="AL127" s="1"/>
      <c r="AU127" s="1"/>
      <c r="AV127" s="1"/>
    </row>
    <row r="128" spans="15:69" hidden="1" x14ac:dyDescent="0.35">
      <c r="Q128" s="1"/>
      <c r="T128" s="1"/>
      <c r="V128" s="3"/>
      <c r="W128" s="3"/>
      <c r="X128" s="523"/>
      <c r="Y128" s="523"/>
      <c r="Z128" s="523"/>
      <c r="AL128" s="1"/>
      <c r="AS128" s="1"/>
      <c r="AU128" s="1"/>
      <c r="AV128" s="1"/>
      <c r="BN128" s="1"/>
      <c r="BQ128" s="1"/>
    </row>
    <row r="129" spans="17:66" hidden="1" x14ac:dyDescent="0.35">
      <c r="V129" s="3"/>
      <c r="W129" s="3"/>
      <c r="X129" s="523"/>
      <c r="Y129" s="523"/>
      <c r="Z129" s="523"/>
      <c r="AL129" s="1"/>
      <c r="AU129" s="1"/>
      <c r="AV129" s="1"/>
      <c r="BN129" s="1"/>
    </row>
    <row r="130" spans="17:66" hidden="1" x14ac:dyDescent="0.35">
      <c r="V130" s="3"/>
      <c r="W130" s="3"/>
      <c r="X130" s="523"/>
      <c r="Y130" s="523"/>
      <c r="Z130" s="523"/>
      <c r="AU130" s="1"/>
      <c r="AV130" s="1"/>
    </row>
    <row r="131" spans="17:66" hidden="1" x14ac:dyDescent="0.35">
      <c r="V131" s="3"/>
      <c r="W131" s="3"/>
      <c r="X131" s="523"/>
      <c r="Y131" s="523"/>
      <c r="Z131" s="523"/>
      <c r="AL131" s="1"/>
      <c r="AU131" s="1"/>
      <c r="AV131" s="1"/>
    </row>
    <row r="132" spans="17:66" hidden="1" x14ac:dyDescent="0.35">
      <c r="V132" s="3"/>
      <c r="W132" s="3"/>
      <c r="X132" s="523"/>
      <c r="Y132" s="523"/>
      <c r="Z132" s="523"/>
    </row>
    <row r="133" spans="17:66" hidden="1" x14ac:dyDescent="0.35">
      <c r="V133" s="3"/>
      <c r="W133" s="3"/>
      <c r="X133" s="523"/>
      <c r="Y133" s="523"/>
      <c r="Z133" s="523"/>
    </row>
    <row r="134" spans="17:66" hidden="1" x14ac:dyDescent="0.35">
      <c r="V134" s="3"/>
      <c r="W134" s="3"/>
      <c r="X134" s="523"/>
      <c r="Y134" s="523"/>
      <c r="Z134" s="523"/>
      <c r="AL134" s="1"/>
      <c r="AU134" s="1"/>
      <c r="AV134" s="1"/>
    </row>
    <row r="135" spans="17:66" hidden="1" x14ac:dyDescent="0.35">
      <c r="V135" s="3"/>
      <c r="W135" s="3"/>
      <c r="X135" s="523"/>
      <c r="Y135" s="523"/>
      <c r="Z135" s="523"/>
      <c r="AL135" s="1"/>
      <c r="AU135" s="1"/>
      <c r="AV135" s="1"/>
    </row>
    <row r="136" spans="17:66" hidden="1" x14ac:dyDescent="0.35">
      <c r="Q136" s="1"/>
      <c r="V136" s="3"/>
      <c r="W136" s="3"/>
      <c r="X136" s="523"/>
      <c r="Y136" s="523"/>
      <c r="Z136" s="523"/>
      <c r="AU136" s="1"/>
      <c r="AV136" s="1"/>
    </row>
    <row r="137" spans="17:66" hidden="1" x14ac:dyDescent="0.35">
      <c r="V137" s="3"/>
      <c r="W137" s="3"/>
      <c r="X137" s="523"/>
      <c r="Y137" s="523"/>
      <c r="Z137" s="523"/>
      <c r="AU137" s="1"/>
      <c r="AV137" s="1"/>
      <c r="BN137" s="1"/>
    </row>
    <row r="138" spans="17:66" x14ac:dyDescent="0.35">
      <c r="BB138"/>
    </row>
    <row r="139" spans="17:66" x14ac:dyDescent="0.35">
      <c r="BB139"/>
    </row>
  </sheetData>
  <dataConsolidate link="1"/>
  <phoneticPr fontId="3" type="noConversion"/>
  <pageMargins left="0.7" right="0.7" top="0.75" bottom="0.75" header="0.3" footer="0.3"/>
  <pageSetup paperSize="9" orientation="portrait"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9FC8-3D72-467E-A00A-8D7BFE1F235B}">
  <sheetPr codeName="Sheet5">
    <tabColor theme="0" tint="-0.499984740745262"/>
  </sheetPr>
  <dimension ref="A1:AQ121"/>
  <sheetViews>
    <sheetView workbookViewId="0">
      <selection activeCell="B20" sqref="B20:D20"/>
    </sheetView>
  </sheetViews>
  <sheetFormatPr defaultRowHeight="14.5" x14ac:dyDescent="0.35"/>
  <cols>
    <col min="1" max="1" width="27.81640625" bestFit="1" customWidth="1"/>
    <col min="2" max="2" width="19.81640625" customWidth="1"/>
    <col min="3" max="3" width="18" customWidth="1"/>
    <col min="4" max="4" width="18.81640625" customWidth="1"/>
    <col min="5" max="7" width="11.81640625" customWidth="1"/>
    <col min="8" max="12" width="22.453125" customWidth="1"/>
    <col min="13" max="13" width="11.1796875" style="4" customWidth="1"/>
    <col min="14" max="14" width="17" customWidth="1"/>
    <col min="15" max="15" width="13" style="4" customWidth="1"/>
    <col min="16" max="16" width="13" customWidth="1"/>
    <col min="17" max="17" width="13" style="4" customWidth="1"/>
    <col min="18" max="20" width="13" customWidth="1"/>
    <col min="21" max="21" width="13" style="4" customWidth="1"/>
    <col min="22" max="22" width="13" customWidth="1"/>
    <col min="23" max="24" width="13" style="4" customWidth="1"/>
    <col min="25" max="25" width="15.7265625" bestFit="1" customWidth="1"/>
    <col min="26" max="26" width="21.453125" customWidth="1"/>
    <col min="27" max="27" width="23.1796875" customWidth="1"/>
    <col min="28" max="28" width="19.453125" customWidth="1"/>
    <col min="29" max="29" width="13.26953125" customWidth="1"/>
    <col min="31" max="31" width="15.7265625" bestFit="1" customWidth="1"/>
    <col min="32" max="34" width="17.54296875" customWidth="1"/>
    <col min="37" max="37" width="31.1796875" customWidth="1"/>
    <col min="38" max="38" width="7.7265625" customWidth="1"/>
    <col min="39" max="39" width="26.81640625" bestFit="1" customWidth="1"/>
    <col min="40" max="40" width="29" bestFit="1" customWidth="1"/>
    <col min="41" max="41" width="20.453125" bestFit="1" customWidth="1"/>
    <col min="42" max="42" width="28.453125" customWidth="1"/>
    <col min="43" max="43" width="29.26953125" bestFit="1" customWidth="1"/>
  </cols>
  <sheetData>
    <row r="1" spans="1:43" s="2" customFormat="1" ht="43.5" x14ac:dyDescent="0.35">
      <c r="A1" s="507"/>
      <c r="B1" s="338" t="s">
        <v>100</v>
      </c>
      <c r="C1" s="339" t="s">
        <v>101</v>
      </c>
      <c r="D1" s="339" t="s">
        <v>102</v>
      </c>
      <c r="E1" s="339" t="s">
        <v>103</v>
      </c>
      <c r="F1" s="339" t="s">
        <v>104</v>
      </c>
      <c r="G1" s="339" t="s">
        <v>105</v>
      </c>
      <c r="H1" s="339" t="s">
        <v>727</v>
      </c>
      <c r="I1" s="340" t="s">
        <v>107</v>
      </c>
      <c r="J1" s="339" t="s">
        <v>794</v>
      </c>
      <c r="K1" s="339" t="s">
        <v>795</v>
      </c>
      <c r="L1" s="340" t="s">
        <v>796</v>
      </c>
      <c r="M1" s="4"/>
      <c r="P1" s="506"/>
      <c r="AF1" s="555" t="s">
        <v>794</v>
      </c>
      <c r="AG1" s="555" t="s">
        <v>795</v>
      </c>
      <c r="AH1" s="555" t="s">
        <v>796</v>
      </c>
      <c r="AK1" s="527" t="s">
        <v>797</v>
      </c>
      <c r="AL1" s="527"/>
      <c r="AM1" s="527" t="s">
        <v>148</v>
      </c>
      <c r="AN1" s="527" t="s">
        <v>798</v>
      </c>
      <c r="AO1" s="527" t="s">
        <v>799</v>
      </c>
      <c r="AP1" s="527" t="s">
        <v>800</v>
      </c>
      <c r="AQ1" s="527" t="s">
        <v>801</v>
      </c>
    </row>
    <row r="2" spans="1:43" x14ac:dyDescent="0.35">
      <c r="A2" s="95" t="s">
        <v>110</v>
      </c>
      <c r="B2" s="546" cm="1">
        <f t="array" ref="B2:H10">Wearing_Composition</f>
        <v>0.94</v>
      </c>
      <c r="C2" s="547">
        <v>0</v>
      </c>
      <c r="D2" s="547">
        <v>0</v>
      </c>
      <c r="E2" s="547">
        <v>0.06</v>
      </c>
      <c r="F2" s="547">
        <v>0</v>
      </c>
      <c r="G2" s="547">
        <v>0</v>
      </c>
      <c r="H2" s="547">
        <v>0</v>
      </c>
      <c r="I2" s="548">
        <v>0</v>
      </c>
      <c r="J2" s="546">
        <f>IF('Data Entry'!B64="Epoxy Chip Seal", 'Data Entry'!K64, 0)</f>
        <v>0</v>
      </c>
      <c r="K2" s="547">
        <f>IF('Data Entry'!B64="Asphalt (Epoxy SMA)", 'Data Entry'!K64, 0)</f>
        <v>0</v>
      </c>
      <c r="L2" s="548">
        <f>IF('Data Entry'!B64="Asphalt (EMOGPA)", 'Data Entry'!K64, 0)</f>
        <v>0</v>
      </c>
      <c r="P2" s="4"/>
      <c r="S2" s="4"/>
      <c r="T2" s="4"/>
      <c r="V2" s="4"/>
      <c r="AE2" s="16" t="s">
        <v>802</v>
      </c>
      <c r="AF2" s="54">
        <v>0</v>
      </c>
      <c r="AG2" s="556">
        <v>0</v>
      </c>
      <c r="AH2" s="557">
        <v>0</v>
      </c>
      <c r="AK2" s="16" t="s">
        <v>724</v>
      </c>
      <c r="AL2" s="560" t="s">
        <v>803</v>
      </c>
      <c r="AM2" s="389">
        <v>6.9708404777651988E-3</v>
      </c>
      <c r="AN2" s="390">
        <v>5.9492300079887978E-3</v>
      </c>
      <c r="AO2" s="390">
        <v>1.6010401258919555E-4</v>
      </c>
      <c r="AP2" s="391">
        <v>1.6010401258919555E-4</v>
      </c>
    </row>
    <row r="3" spans="1:43" x14ac:dyDescent="0.35">
      <c r="A3" s="102" t="s">
        <v>804</v>
      </c>
      <c r="B3" s="549">
        <v>0.94</v>
      </c>
      <c r="C3" s="550">
        <v>0</v>
      </c>
      <c r="D3" s="550">
        <v>0</v>
      </c>
      <c r="E3" s="550">
        <v>0</v>
      </c>
      <c r="F3" s="550">
        <v>0</v>
      </c>
      <c r="G3" s="550">
        <v>0</v>
      </c>
      <c r="H3" s="550">
        <v>0</v>
      </c>
      <c r="I3" s="551">
        <v>0</v>
      </c>
      <c r="J3" s="549">
        <f>IF('Data Entry'!B65="Epoxy Chip Seal", 'Data Entry'!K65, 0)</f>
        <v>0.06</v>
      </c>
      <c r="K3" s="550">
        <f>IF('Data Entry'!B65="Asphalt (Epoxy SMA)", 'Data Entry'!K65, 0)</f>
        <v>0</v>
      </c>
      <c r="L3" s="551">
        <f>IF('Data Entry'!B65="Asphalt (EMOGPA)", 'Data Entry'!K65, 0)</f>
        <v>0</v>
      </c>
      <c r="P3" s="4"/>
      <c r="S3" s="4"/>
      <c r="T3" s="4"/>
      <c r="V3" s="4"/>
      <c r="AE3" s="8" t="s">
        <v>805</v>
      </c>
      <c r="AF3" s="55">
        <v>0.15</v>
      </c>
      <c r="AG3" s="21">
        <v>0.1</v>
      </c>
      <c r="AH3" s="558">
        <v>0.1</v>
      </c>
      <c r="AK3" s="8" t="s">
        <v>620</v>
      </c>
      <c r="AL3" s="11" t="s">
        <v>806</v>
      </c>
      <c r="AM3" s="392">
        <v>0</v>
      </c>
      <c r="AN3" s="393">
        <v>0</v>
      </c>
      <c r="AO3" s="393">
        <v>0.27248</v>
      </c>
      <c r="AP3" s="394">
        <v>0.23161000000000001</v>
      </c>
    </row>
    <row r="4" spans="1:43" x14ac:dyDescent="0.35">
      <c r="A4" s="102" t="s">
        <v>112</v>
      </c>
      <c r="B4" s="549">
        <v>0.53</v>
      </c>
      <c r="C4" s="550">
        <v>0</v>
      </c>
      <c r="D4" s="550">
        <v>0.4</v>
      </c>
      <c r="E4" s="550">
        <v>7.0000000000000007E-2</v>
      </c>
      <c r="F4" s="550">
        <v>0</v>
      </c>
      <c r="G4" s="550">
        <v>0</v>
      </c>
      <c r="H4" s="550">
        <v>0</v>
      </c>
      <c r="I4" s="551">
        <v>0</v>
      </c>
      <c r="J4" s="549">
        <f>IF('Data Entry'!B66="Epoxy Chip Seal", 'Data Entry'!K66, 0)</f>
        <v>0</v>
      </c>
      <c r="K4" s="550">
        <f>IF('Data Entry'!B66="Asphalt (Epoxy SMA)", 'Data Entry'!K66, 0)</f>
        <v>0</v>
      </c>
      <c r="L4" s="551">
        <f>IF('Data Entry'!B66="Asphalt (EMOGPA)", 'Data Entry'!K66, 0)</f>
        <v>0</v>
      </c>
      <c r="P4" s="4"/>
      <c r="S4" s="4"/>
      <c r="T4" s="4"/>
      <c r="V4" s="4"/>
      <c r="AE4" s="8" t="s">
        <v>807</v>
      </c>
      <c r="AF4" s="55">
        <v>0.15</v>
      </c>
      <c r="AG4" s="21">
        <v>0.1</v>
      </c>
      <c r="AH4" s="558">
        <v>0.1</v>
      </c>
      <c r="AK4" s="17" t="s">
        <v>808</v>
      </c>
      <c r="AL4" s="561" t="s">
        <v>806</v>
      </c>
      <c r="AM4" s="395">
        <v>3.1954070454387529E-2</v>
      </c>
      <c r="AN4" s="396">
        <v>4.951963836389054E-2</v>
      </c>
      <c r="AO4" s="396">
        <v>3.1954070454387529E-2</v>
      </c>
      <c r="AP4" s="397">
        <v>3.1954070454387529E-2</v>
      </c>
    </row>
    <row r="5" spans="1:43" x14ac:dyDescent="0.35">
      <c r="A5" s="102" t="s">
        <v>113</v>
      </c>
      <c r="B5" s="549">
        <v>0.53</v>
      </c>
      <c r="C5" s="550">
        <v>0</v>
      </c>
      <c r="D5" s="550">
        <v>0.4</v>
      </c>
      <c r="E5" s="550">
        <v>5.2499999999999998E-2</v>
      </c>
      <c r="F5" s="550">
        <v>0</v>
      </c>
      <c r="G5" s="550">
        <v>0</v>
      </c>
      <c r="H5" s="550">
        <v>0</v>
      </c>
      <c r="I5" s="551">
        <v>0</v>
      </c>
      <c r="J5" s="549">
        <f>IF('Data Entry'!B67="Epoxy Chip Seal", 'Data Entry'!K67, 0)</f>
        <v>0</v>
      </c>
      <c r="K5" s="550">
        <f>IF('Data Entry'!B67="Asphalt (Epoxy SMA)", 'Data Entry'!K67, 0)</f>
        <v>1.7500000000000002E-2</v>
      </c>
      <c r="L5" s="551">
        <f>IF('Data Entry'!B67="Asphalt (EMOGPA)", 'Data Entry'!K67, 0)</f>
        <v>0</v>
      </c>
      <c r="P5" s="4"/>
      <c r="S5" s="4"/>
      <c r="T5" s="4"/>
      <c r="V5" s="4"/>
      <c r="AE5" s="17" t="s">
        <v>103</v>
      </c>
      <c r="AF5" s="56">
        <v>0.7</v>
      </c>
      <c r="AG5" s="41">
        <v>0.8</v>
      </c>
      <c r="AH5" s="559">
        <v>0.8</v>
      </c>
    </row>
    <row r="6" spans="1:43" x14ac:dyDescent="0.35">
      <c r="A6" s="102" t="s">
        <v>114</v>
      </c>
      <c r="B6" s="549">
        <v>0.94</v>
      </c>
      <c r="C6" s="550">
        <v>0</v>
      </c>
      <c r="D6" s="550">
        <v>0</v>
      </c>
      <c r="E6" s="550">
        <v>0.06</v>
      </c>
      <c r="F6" s="550">
        <v>0</v>
      </c>
      <c r="G6" s="550">
        <v>0</v>
      </c>
      <c r="H6" s="550">
        <v>0</v>
      </c>
      <c r="I6" s="551">
        <v>0</v>
      </c>
      <c r="J6" s="549">
        <f>IF('Data Entry'!B68="Epoxy Chip Seal", 'Data Entry'!K68, 0)</f>
        <v>0</v>
      </c>
      <c r="K6" s="550">
        <f>IF('Data Entry'!B68="Asphalt (Epoxy SMA)", 'Data Entry'!K68, 0)</f>
        <v>0</v>
      </c>
      <c r="L6" s="551">
        <f>IF('Data Entry'!B68="Asphalt (EMOGPA)", 'Data Entry'!K68, 0)</f>
        <v>0</v>
      </c>
      <c r="P6" s="4"/>
      <c r="S6" s="4"/>
      <c r="T6" s="4"/>
      <c r="V6" s="4"/>
    </row>
    <row r="7" spans="1:43" x14ac:dyDescent="0.35">
      <c r="A7" s="102" t="s">
        <v>115</v>
      </c>
      <c r="B7" s="549">
        <v>0.94</v>
      </c>
      <c r="C7" s="550">
        <v>0</v>
      </c>
      <c r="D7" s="550">
        <v>0</v>
      </c>
      <c r="E7" s="550">
        <v>4.4999999999999998E-2</v>
      </c>
      <c r="F7" s="550">
        <v>0</v>
      </c>
      <c r="G7" s="550">
        <v>0</v>
      </c>
      <c r="H7" s="550">
        <v>0</v>
      </c>
      <c r="I7" s="551">
        <v>0</v>
      </c>
      <c r="J7" s="549">
        <f>IF('Data Entry'!B69="Epoxy Chip Seal", 'Data Entry'!K69, 0)</f>
        <v>0</v>
      </c>
      <c r="K7" s="550">
        <f>IF('Data Entry'!B69="Asphalt (Epoxy SMA)", 'Data Entry'!K69, 0)</f>
        <v>0</v>
      </c>
      <c r="L7" s="551">
        <f>IF('Data Entry'!B69="Asphalt (EMOGPA)", 'Data Entry'!K69, 0)</f>
        <v>1.4999999999999999E-2</v>
      </c>
      <c r="P7" s="4"/>
      <c r="S7" s="4"/>
      <c r="T7" s="4"/>
      <c r="V7" s="4"/>
    </row>
    <row r="8" spans="1:43" x14ac:dyDescent="0.35">
      <c r="A8" s="102" t="s">
        <v>116</v>
      </c>
      <c r="B8" s="549">
        <v>0.95</v>
      </c>
      <c r="C8" s="550">
        <v>0</v>
      </c>
      <c r="D8" s="550">
        <v>0</v>
      </c>
      <c r="E8" s="550">
        <v>0.05</v>
      </c>
      <c r="F8" s="550">
        <v>0</v>
      </c>
      <c r="G8" s="550">
        <v>0</v>
      </c>
      <c r="H8" s="550">
        <v>0</v>
      </c>
      <c r="I8" s="551">
        <v>0</v>
      </c>
      <c r="J8" s="549">
        <f>IF('Data Entry'!B70="Epoxy Chip Seal", 'Data Entry'!K70, 0)</f>
        <v>0</v>
      </c>
      <c r="K8" s="550">
        <f>IF('Data Entry'!B70="Asphalt (Epoxy SMA)", 'Data Entry'!K70, 0)</f>
        <v>0</v>
      </c>
      <c r="L8" s="551">
        <f>IF('Data Entry'!B70="Asphalt (EMOGPA)", 'Data Entry'!K70, 0)</f>
        <v>0</v>
      </c>
      <c r="P8" s="4"/>
      <c r="S8" s="4"/>
      <c r="T8" s="4"/>
      <c r="V8" s="4"/>
    </row>
    <row r="9" spans="1:43" ht="17.25" customHeight="1" x14ac:dyDescent="0.35">
      <c r="A9" s="102" t="s">
        <v>117</v>
      </c>
      <c r="B9" s="549">
        <v>0.5</v>
      </c>
      <c r="C9" s="550">
        <v>0</v>
      </c>
      <c r="D9" s="550">
        <v>0.2</v>
      </c>
      <c r="E9" s="550">
        <v>0</v>
      </c>
      <c r="F9" s="550">
        <v>0.12</v>
      </c>
      <c r="G9" s="550">
        <v>0.15</v>
      </c>
      <c r="H9" s="550">
        <v>0.03</v>
      </c>
      <c r="I9" s="551">
        <v>0</v>
      </c>
      <c r="J9" s="549">
        <f>IF('Data Entry'!B71="Epoxy Chip Seal", 'Data Entry'!K71, 0)</f>
        <v>0</v>
      </c>
      <c r="K9" s="550">
        <f>IF('Data Entry'!B71="Asphalt (Epoxy SMA)", 'Data Entry'!K71, 0)</f>
        <v>0</v>
      </c>
      <c r="L9" s="551">
        <f>IF('Data Entry'!B71="Asphalt (EMOGPA)", 'Data Entry'!K71, 0)</f>
        <v>0</v>
      </c>
      <c r="P9" s="4"/>
      <c r="S9" s="4"/>
      <c r="T9" s="4"/>
      <c r="V9" s="4"/>
    </row>
    <row r="10" spans="1:43" x14ac:dyDescent="0.35">
      <c r="A10" s="96" t="s">
        <v>118</v>
      </c>
      <c r="B10" s="552">
        <v>0</v>
      </c>
      <c r="C10" s="553">
        <v>0</v>
      </c>
      <c r="D10" s="553">
        <v>0</v>
      </c>
      <c r="E10" s="553">
        <v>0</v>
      </c>
      <c r="F10" s="553">
        <v>0.67</v>
      </c>
      <c r="G10" s="553">
        <v>0.33</v>
      </c>
      <c r="H10" s="553">
        <v>0</v>
      </c>
      <c r="I10" s="554">
        <v>0</v>
      </c>
      <c r="J10" s="552">
        <f>IF('Data Entry'!B72="Epoxy Chip Seal", 'Data Entry'!K72, 0)</f>
        <v>0</v>
      </c>
      <c r="K10" s="553">
        <f>IF('Data Entry'!B72="Asphalt (Epoxy SMA)", 'Data Entry'!K72, 0)</f>
        <v>0</v>
      </c>
      <c r="L10" s="554">
        <f>IF('Data Entry'!B72="Asphalt (EMOGPA)", 'Data Entry'!K72, 0)</f>
        <v>0</v>
      </c>
      <c r="P10" s="4"/>
      <c r="S10" s="4"/>
      <c r="T10" s="4"/>
      <c r="V10" s="4"/>
    </row>
    <row r="11" spans="1:43" x14ac:dyDescent="0.35">
      <c r="P11" s="4"/>
      <c r="S11" s="4"/>
      <c r="T11" s="4"/>
      <c r="V11" s="4"/>
      <c r="Y11" s="2"/>
    </row>
    <row r="12" spans="1:43" x14ac:dyDescent="0.35">
      <c r="N12" s="4"/>
      <c r="P12" s="4"/>
      <c r="S12" s="4"/>
      <c r="T12" s="4"/>
      <c r="V12" s="4"/>
    </row>
    <row r="13" spans="1:43" x14ac:dyDescent="0.35">
      <c r="P13" s="4"/>
      <c r="S13" s="4"/>
      <c r="T13" s="4"/>
      <c r="V13" s="4"/>
    </row>
    <row r="14" spans="1:43" ht="43.5" x14ac:dyDescent="0.35">
      <c r="B14" s="528" t="s">
        <v>100</v>
      </c>
      <c r="C14" s="529" t="s">
        <v>101</v>
      </c>
      <c r="D14" s="529" t="s">
        <v>102</v>
      </c>
      <c r="E14" s="529" t="s">
        <v>103</v>
      </c>
      <c r="F14" s="529" t="s">
        <v>104</v>
      </c>
      <c r="G14" s="529" t="s">
        <v>105</v>
      </c>
      <c r="H14" s="529" t="s">
        <v>727</v>
      </c>
      <c r="I14" s="529" t="s">
        <v>107</v>
      </c>
      <c r="J14" s="573" t="s">
        <v>794</v>
      </c>
      <c r="K14" s="574" t="s">
        <v>795</v>
      </c>
      <c r="L14" s="575" t="s">
        <v>796</v>
      </c>
      <c r="O14" s="579" t="s">
        <v>110</v>
      </c>
      <c r="P14" s="580" t="s">
        <v>809</v>
      </c>
      <c r="Q14" s="580" t="s">
        <v>112</v>
      </c>
      <c r="R14" s="580" t="s">
        <v>113</v>
      </c>
      <c r="S14" s="580" t="s">
        <v>114</v>
      </c>
      <c r="T14" s="580" t="s">
        <v>115</v>
      </c>
      <c r="U14" s="580" t="s">
        <v>116</v>
      </c>
      <c r="V14" s="580" t="s">
        <v>117</v>
      </c>
      <c r="W14" s="581" t="s">
        <v>118</v>
      </c>
      <c r="Z14" s="579" t="s">
        <v>802</v>
      </c>
      <c r="AA14" s="580" t="s">
        <v>805</v>
      </c>
      <c r="AB14" s="580" t="s">
        <v>807</v>
      </c>
      <c r="AC14" s="581" t="s">
        <v>103</v>
      </c>
      <c r="AF14" s="579" t="s">
        <v>794</v>
      </c>
      <c r="AG14" s="580" t="s">
        <v>795</v>
      </c>
      <c r="AH14" s="581" t="s">
        <v>796</v>
      </c>
      <c r="AM14" s="579" t="s">
        <v>148</v>
      </c>
      <c r="AN14" s="580" t="s">
        <v>798</v>
      </c>
      <c r="AO14" s="580" t="s">
        <v>799</v>
      </c>
      <c r="AP14" s="580" t="s">
        <v>800</v>
      </c>
      <c r="AQ14" s="581" t="s">
        <v>801</v>
      </c>
    </row>
    <row r="15" spans="1:43" x14ac:dyDescent="0.35">
      <c r="A15" s="541" t="s">
        <v>810</v>
      </c>
      <c r="B15" s="542">
        <f>Materials!AT2</f>
        <v>1700</v>
      </c>
      <c r="C15" s="543">
        <f>Materials!AU2</f>
        <v>1700</v>
      </c>
      <c r="D15" s="543">
        <f>Materials!AV2</f>
        <v>1700</v>
      </c>
      <c r="E15" s="543">
        <f>Materials!AD2</f>
        <v>1060</v>
      </c>
      <c r="F15" s="543">
        <f>Materials!BC2</f>
        <v>1170</v>
      </c>
      <c r="G15" s="543">
        <f>Materials!AP2</f>
        <v>1000</v>
      </c>
      <c r="H15" s="543">
        <f>Materials!BN2</f>
        <v>8000</v>
      </c>
      <c r="I15" s="544"/>
      <c r="J15" s="576" cm="1">
        <f t="array" ref="J15:L15">AF15:AH15</f>
        <v>1099</v>
      </c>
      <c r="K15" s="577">
        <v>1086</v>
      </c>
      <c r="L15" s="578">
        <v>1086</v>
      </c>
      <c r="N15" s="571" t="s">
        <v>810</v>
      </c>
      <c r="O15" s="582">
        <f>SUMPRODUCT($B2:$L2, $B$15:$L$15)</f>
        <v>1661.6</v>
      </c>
      <c r="P15" s="582">
        <f>SUMPRODUCT($B3:$L3, $B$15:$L$15)</f>
        <v>1663.94</v>
      </c>
      <c r="Q15" s="582">
        <f>SUMPRODUCT($B4:$L4, $B$15:$L$15)</f>
        <v>1655.2</v>
      </c>
      <c r="R15" s="582">
        <f>SUMPRODUCT($B5:$L5, $B$15:$L$15)</f>
        <v>1655.6550000000002</v>
      </c>
      <c r="S15" s="582">
        <f>SUMPRODUCT($B6:$L6, $B$15:$L$15)</f>
        <v>1661.6</v>
      </c>
      <c r="T15" s="582">
        <f>SUMPRODUCT($B7:$L7, $B$15:$L$15)</f>
        <v>1661.99</v>
      </c>
      <c r="U15" s="582">
        <f>SUMPRODUCT($B8:$L8, $B$15:$L$15)</f>
        <v>1668</v>
      </c>
      <c r="V15" s="582">
        <f>SUMPRODUCT($B9:$L9, $B$15:$L$15)</f>
        <v>1720.4</v>
      </c>
      <c r="W15" s="583">
        <f>SUMPRODUCT($B10:$L10, $B$15:$L$15)</f>
        <v>1113.9000000000001</v>
      </c>
      <c r="Y15" s="572" t="s">
        <v>810</v>
      </c>
      <c r="Z15" s="584">
        <v>1300</v>
      </c>
      <c r="AA15" s="584">
        <v>1180</v>
      </c>
      <c r="AB15" s="584">
        <v>1200</v>
      </c>
      <c r="AC15" s="585">
        <v>1060</v>
      </c>
      <c r="AE15" s="572" t="s">
        <v>810</v>
      </c>
      <c r="AF15" s="584" cm="1">
        <f t="array" ref="AF15">SUMPRODUCT(TRANSPOSE($Z$15:$AC$15), AF2:AF5)</f>
        <v>1099</v>
      </c>
      <c r="AG15" s="584" cm="1">
        <f t="array" ref="AG15">SUMPRODUCT(TRANSPOSE($Z$15:$AC$15), AG2:AG5)</f>
        <v>1086</v>
      </c>
      <c r="AH15" s="585" cm="1">
        <f t="array" ref="AH15">SUMPRODUCT(TRANSPOSE($Z$15:$AC$15), AH2:AH5)</f>
        <v>1086</v>
      </c>
    </row>
    <row r="16" spans="1:43" x14ac:dyDescent="0.35">
      <c r="A16" t="str" cm="1">
        <f t="array" ref="A16">INDEX(Indicators,ROW()-9,4)</f>
        <v>A1AttributionalAP</v>
      </c>
      <c r="B16" s="540" cm="1">
        <f t="array" aca="1" ref="B16:I16" ca="1">INDEX(Indicators,ROW()-9,MATCH(Handle_Wearing_Course,Materials!$1:$1,0))</f>
        <v>1.5203369017192854E-5</v>
      </c>
      <c r="C16" s="1">
        <f ca="1"/>
        <v>1.1556588521892228E-5</v>
      </c>
      <c r="D16" s="1">
        <f ca="1"/>
        <v>2.1143460103248762E-5</v>
      </c>
      <c r="E16" s="1">
        <f ca="1"/>
        <v>4.8500550147077721E-3</v>
      </c>
      <c r="F16" s="1">
        <f ca="1"/>
        <v>8.2299999999999995E-4</v>
      </c>
      <c r="G16" s="1">
        <f ca="1"/>
        <v>2.17E-7</v>
      </c>
      <c r="H16" s="1">
        <f ca="1"/>
        <v>3.9899999999999998E-2</v>
      </c>
      <c r="I16" s="212">
        <f ca="1"/>
        <v>5.9640000000000006E-3</v>
      </c>
      <c r="J16" s="1" cm="1">
        <f t="array" ref="J16:L119">AF16:AH119</f>
        <v>6.5710000000000005E-3</v>
      </c>
      <c r="K16">
        <v>5.9640000000000006E-3</v>
      </c>
      <c r="L16" s="1">
        <v>5.9640000000000006E-3</v>
      </c>
      <c r="O16" s="1">
        <f ca="1">SUMPRODUCT(B16:L16,$B$2:$L$2)+INDEX(Indicators,MATCH(A16,Materials!$D:$D),MATCH("Truck (32+t)",Materials!$1:$1,0))*'Data Entry'!$C$64</f>
        <v>3.0529446775862758E-4</v>
      </c>
      <c r="P16" s="1">
        <f ca="1">SUMPRODUCT(B16:L16,$B$3:$L$3)+INDEX(Indicators,MATCH(A16,Materials!$D:$D),MATCH("Truck (32+t)",Materials!$1:$1,0))*'Data Entry'!$C$72</f>
        <v>4.0855116687616127E-4</v>
      </c>
      <c r="Q16" s="1">
        <f ca="1">SUMPRODUCT(B16:L16,$B$4:$L$4)+(INDEX(Indicators,MATCH(A16,Materials!$D:$D),MATCH("Truck (32+t)",Materials!$1:$1,0))*'Data Entry'!$C$66)+$AQ$16</f>
        <v>4.788790967440251E-4</v>
      </c>
      <c r="R16" s="1">
        <f ca="1">SUMPRODUCT(B16:L16,$B$5:$L$5)+(INDEX(Indicators,MATCH(A16,Materials!$D:$D),MATCH("Truck (32+t)",Materials!$1:$1,0))*'Data Entry'!$C$68)+$AQ$16</f>
        <v>4.9837313398663904E-4</v>
      </c>
      <c r="S16" s="1">
        <f ca="1">SUMPRODUCT(B16:L16,$B$6:$L$6)+(INDEX(Indicators,MATCH(A16,Materials!$D:$D),MATCH("Truck (32+t)",Materials!$1:$1,0))*'Data Entry'!$C$70)+$AQ$16</f>
        <v>4.2815454385269685E-4</v>
      </c>
      <c r="T16" s="1">
        <f ca="1">SUMPRODUCT(B16:L16,$B$7:$L$7)+(INDEX(Indicators,MATCH(A16,Materials!$D:$D),MATCH("Truck (32+t)",Materials!$1:$1,0))*'Data Entry'!$C$68)+$AQ$16</f>
        <v>4.4486371863208026E-4</v>
      </c>
      <c r="U16" s="1">
        <f ca="1">SUMPRODUCT(B16:L16,$B$8:$L$8)+(INDEX(Indicators,MATCH(A16,Materials!$D:$D),MATCH("Truck (32+t)",Materials!$1:$1,0))*'Data Entry'!$C$69)+$AQ$16</f>
        <v>3.7980602739579104E-4</v>
      </c>
      <c r="V16" s="1">
        <f ca="1">SUMPRODUCT(B16:L16,$B$9:$L$9)+INDEX(Indicators,MATCH(A16,Materials!$D:$D),MATCH("Truck (32+t)",Materials!$1:$1,0))*'Data Entry'!$C$71</f>
        <v>1.3076229265292462E-3</v>
      </c>
      <c r="W16" s="1">
        <f ca="1">SUMPRODUCT(B16:L16,$B$10:$L$10)+INDEX(Indicators,MATCH(A16,Materials!$D:$D),MATCH("Truck (32+t)",Materials!$1:$1,0))*'Data Entry'!$C$72</f>
        <v>5.5148160999999999E-4</v>
      </c>
      <c r="Z16">
        <v>1.452E-2</v>
      </c>
      <c r="AA16">
        <v>1.3799999999999999E-3</v>
      </c>
      <c r="AB16">
        <v>2.026E-2</v>
      </c>
      <c r="AC16" s="209">
        <v>4.7499999999999999E-3</v>
      </c>
      <c r="AD16" s="209"/>
      <c r="AF16" cm="1">
        <f t="array" ref="AF16">SUMPRODUCT($AF$2:$AF$5, TRANSPOSE($Z16:$AC16))</f>
        <v>6.5710000000000005E-3</v>
      </c>
      <c r="AG16" cm="1">
        <f t="array" ref="AG16">SUMPRODUCT($AG$2:$AG$5, TRANSPOSE($Z16:$AC16))</f>
        <v>5.9640000000000006E-3</v>
      </c>
      <c r="AH16" cm="1">
        <f t="array" ref="AH16">SUMPRODUCT($AH$2:$AH$5, TRANSPOSE($Z16:$AC16))</f>
        <v>5.9640000000000006E-3</v>
      </c>
      <c r="AK16" t="s">
        <v>379</v>
      </c>
      <c r="AL16" t="s">
        <v>54</v>
      </c>
      <c r="AM16" cm="1">
        <f t="array" aca="1" ref="AM16" ca="1">IFERROR(($AM$2*INDEX(Indicators,MATCH($A16,INDEX(Indicators,0,4),0),MATCH($AK$2,INDEX(Indicators,1,0),0)))+($AM$3*INDEX(Indicators,MATCH($A16,INDEX(Indicators,0,4),0),MATCH($AK$3,INDEX(Indicators,1,0),0)))+(INDEX(Electricity_projection,MATCH(AL16&amp;AK16,INDEX(Electricity_projection,0,3),0),MATCH(YEAR(TODAY()),Timeline_elec_projec,0)+3)*$AM$4), 0)</f>
        <v>1.2286007609406925E-4</v>
      </c>
      <c r="AN16" cm="1">
        <f t="array" aca="1" ref="AN16" ca="1">IFERROR(($AN$2*INDEX(Indicators,MATCH($A16,INDEX(Indicators,0,4),0),MATCH($AK$2,INDEX(Indicators,1,0),0)))+($AN$3*INDEX(Indicators,MATCH($A16,INDEX(Indicators,0,4),0),MATCH($AK$3,INDEX(Indicators,1,0),0)))+(INDEX(Electricity_projection,MATCH(AL16&amp;AK16,INDEX(Electricity_projection,0,3),0),MATCH(YEAR(TODAY()),Timeline_elec_projec,0)+3)*$AN$4), 0)</f>
        <v>1.1672025192162034E-4</v>
      </c>
      <c r="AO16" cm="1">
        <f t="array" aca="1" ref="AO16" ca="1">IFERROR(($AO$2*INDEX(Indicators,MATCH($A16,INDEX(Indicators,0,4),0),MATCH($AK$2,INDEX(Indicators,1,0),0)))+($AO$3*INDEX(Indicators,MATCH($A16,INDEX(Indicators,0,4),0),MATCH($AK$3,INDEX(Indicators,1,0),0)))+(INDEX(Electricity_projection,MATCH(AL16&amp;AK16,INDEX(Electricity_projection,0,3),0),MATCH(YEAR(TODAY()),Timeline_elec_projec,0)+3)*$AO$4), 0)</f>
        <v>4.3308758553288135E-5</v>
      </c>
      <c r="AP16" cm="1">
        <f t="array" aca="1" ref="AP16" ca="1">IFERROR(($AP$2*INDEX(Indicators,MATCH($A16,INDEX(Indicators,0,4),0),MATCH($AK$2,INDEX(Indicators,1,0),0)))+($AP$3*INDEX(Indicators,MATCH($A16,INDEX(Indicators,0,4),0),MATCH($AK$3,INDEX(Indicators,1,0),0)))+(INDEX(Electricity_projection,MATCH(AL16&amp;AK16,INDEX(Electricity_projection,0,3),0),MATCH(YEAR(TODAY()),Timeline_elec_projec,0)+3)*$AP$4), 0)</f>
        <v>3.9733504084288139E-5</v>
      </c>
      <c r="AQ16" cm="1">
        <f t="array" aca="1" ref="AQ16:AQ119" ca="1">INDEX(Asphalt_plant_emissions,0,MATCH(Asphalt_process,AM1:AP1,0))</f>
        <v>1.2286007609406925E-4</v>
      </c>
    </row>
    <row r="17" spans="1:43" x14ac:dyDescent="0.35">
      <c r="A17" t="str" cm="1">
        <f t="array" ref="A17">INDEX(Indicators,ROW()-9,4)</f>
        <v>A1AttributionalADPE</v>
      </c>
      <c r="B17" s="540" cm="1">
        <f t="array" aca="1" ref="B17:I17" ca="1">INDEX(Indicators,ROW()-9,MATCH(Handle_Wearing_Course,Materials!$1:$1,0))</f>
        <v>2.2187293622299998E-9</v>
      </c>
      <c r="C17" s="1">
        <f ca="1"/>
        <v>1.78300158692E-9</v>
      </c>
      <c r="D17" s="1">
        <f ca="1"/>
        <v>4.3144612813000003E-9</v>
      </c>
      <c r="E17" s="1">
        <f ca="1"/>
        <v>1.1047546974257868E-6</v>
      </c>
      <c r="F17" s="1">
        <f ca="1"/>
        <v>9.9900000000000005E-9</v>
      </c>
      <c r="G17" s="1">
        <f ca="1"/>
        <v>3.6700000000000003E-10</v>
      </c>
      <c r="H17" s="1">
        <f ca="1"/>
        <v>3.9700000000000002E-7</v>
      </c>
      <c r="I17" s="212">
        <f ca="1"/>
        <v>1.5331201000000003E-5</v>
      </c>
      <c r="J17" s="1">
        <v>2.1386801500000001E-5</v>
      </c>
      <c r="K17" s="1">
        <v>1.5331201000000003E-5</v>
      </c>
      <c r="L17" s="1">
        <v>1.5331201000000003E-5</v>
      </c>
      <c r="O17" s="1">
        <f ca="1">SUMPRODUCT(B17:L17,$B$2:$L$2)+INDEX(Indicators,MATCH(A17,Materials!$D:$D),MATCH("Truck (32+t)",Materials!$1:$1,0))*'Data Entry'!$C$64</f>
        <v>6.8370887446043418E-8</v>
      </c>
      <c r="P17" s="1">
        <f ca="1">SUMPRODUCT(B17:L17,$B$3:$L$3)+INDEX(Indicators,MATCH(A17,Materials!$D:$D),MATCH("Truck (32+t)",Materials!$1:$1,0))*'Data Entry'!$C$72</f>
        <v>1.2852936956004961E-6</v>
      </c>
      <c r="Q17" s="1">
        <f ca="1">SUMPRODUCT(B17:L17,$B$4:$L$4)+INDEX(Indicators,MATCH(A17,Materials!$D:$D),MATCH("Truck (32+t)",Materials!$1:$1,0))*'Data Entry'!$C$66+$AQ$16</f>
        <v>1.2294031063396355E-4</v>
      </c>
      <c r="R17" s="1">
        <f ca="1">SUMPRODUCT(B17:L17,$B$5:$L$5)+INDEX(Indicators,MATCH(A17,Materials!$D:$D),MATCH("Truck (32+t)",Materials!$1:$1,0))*'Data Entry'!$C$68+$AQ$16</f>
        <v>1.2318927344425861E-4</v>
      </c>
      <c r="S17" s="1">
        <f ca="1">SUMPRODUCT(B17:L17,$B$6:$L$6)+INDEX(Indicators,MATCH(A17,Materials!$D:$D),MATCH("Truck (32+t)",Materials!$1:$1,0))*'Data Entry'!$C$70+$AQ$16</f>
        <v>1.2292844698151529E-4</v>
      </c>
      <c r="T17" s="1">
        <f ca="1">SUMPRODUCT(B17:L17,$B$7:$L$7)+INDEX(Indicators,MATCH(A17,Materials!$D:$D),MATCH("Truck (32+t)",Materials!$1:$1,0))*'Data Entry'!$C$68+$AQ$16</f>
        <v>1.2314184367605391E-4</v>
      </c>
      <c r="U17" s="1">
        <f ca="1">SUMPRODUCT(B17:L17,$B$8:$L$8)+INDEX(Indicators,MATCH(A17,Materials!$D:$D),MATCH("Truck (32+t)",Materials!$1:$1,0))*'Data Entry'!$C$69+$AQ$16</f>
        <v>1.2291742162183467E-4</v>
      </c>
      <c r="V17" s="1">
        <f ca="1">SUMPRODUCT(B17:L17,$B$9:$L$9)+INDEX(Indicators,MATCH(A17,Materials!$D:$D),MATCH("Truck (32+t)",Materials!$1:$1,0))*'Data Entry'!$C$71</f>
        <v>1.5136106937375001E-8</v>
      </c>
      <c r="W17" s="1">
        <f ca="1">SUMPRODUCT(B17:L17,$B$10:$L$10)+INDEX(Indicators,MATCH(A17,Materials!$D:$D),MATCH("Truck (32+t)",Materials!$1:$1,0))*'Data Entry'!$C$72</f>
        <v>6.8144100000000007E-9</v>
      </c>
      <c r="Z17" s="1">
        <v>5.0049800000000003E-5</v>
      </c>
      <c r="AA17" s="1">
        <v>7.5520099999999997E-6</v>
      </c>
      <c r="AB17">
        <v>1.2E-4</v>
      </c>
      <c r="AC17" s="209">
        <v>3.2200000000000001E-6</v>
      </c>
      <c r="AD17" s="209"/>
      <c r="AF17" cm="1">
        <f t="array" ref="AF17">SUMPRODUCT($AF$2:$AF$5, TRANSPOSE($Z17:$AC17))</f>
        <v>2.1386801500000001E-5</v>
      </c>
      <c r="AG17" cm="1">
        <f t="array" ref="AG17">SUMPRODUCT($AG$2:$AG$5, TRANSPOSE($Z17:$AC17))</f>
        <v>1.5331201000000003E-5</v>
      </c>
      <c r="AH17" cm="1">
        <f t="array" ref="AH17">SUMPRODUCT($AH$2:$AH$5, TRANSPOSE($Z17:$AC17))</f>
        <v>1.5331201000000003E-5</v>
      </c>
      <c r="AK17" t="s">
        <v>391</v>
      </c>
      <c r="AL17" t="s">
        <v>54</v>
      </c>
      <c r="AM17" cm="1">
        <f t="array" aca="1" ref="AM17" ca="1">IFERROR(($AM$2*INDEX(Indicators,MATCH($A17,INDEX(Indicators,0,4),0),MATCH($AK$2,INDEX(Indicators,1,0),0)))+($AM$3*INDEX(Indicators,MATCH($A17,INDEX(Indicators,0,4),0),MATCH($AK$3,INDEX(Indicators,1,0),0)))+(INDEX(Electricity_projection,MATCH(AL17&amp;AK17,INDEX(Electricity_projection,0,3),0),MATCH(YEAR(TODAY()),Timeline_elec_projec,0)+3)*$AM$4), 0)</f>
        <v>1.2725540032151657E-8</v>
      </c>
      <c r="AN17" cm="1">
        <f t="array" aca="1" ref="AN17" ca="1">IFERROR(($AN$2*INDEX(Indicators,MATCH($A17,INDEX(Indicators,0,4),0),MATCH($AK$2,INDEX(Indicators,1,0),0)))+($AN$3*INDEX(Indicators,MATCH($A17,INDEX(Indicators,0,4),0),MATCH($AK$3,INDEX(Indicators,1,0),0)))+(INDEX(Electricity_projection,MATCH(AL17&amp;AK17,INDEX(Electricity_projection,0,3),0),MATCH(YEAR(TODAY()),Timeline_elec_projec,0)+3)*$AN$4), 0)</f>
        <v>1.3518021135974466E-8</v>
      </c>
      <c r="AO17" cm="1">
        <f t="array" aca="1" ref="AO17" ca="1">IFERROR(($AO$2*INDEX(Indicators,MATCH($A17,INDEX(Indicators,0,4),0),MATCH($AK$2,INDEX(Indicators,1,0),0)))+($AO$3*INDEX(Indicators,MATCH($A17,INDEX(Indicators,0,4),0),MATCH($AK$3,INDEX(Indicators,1,0),0)))+(INDEX(Electricity_projection,MATCH(AL17&amp;AK17,INDEX(Electricity_projection,0,3),0),MATCH(YEAR(TODAY()),Timeline_elec_projec,0)+3)*$AO$4), 0)</f>
        <v>5.1367748002292071E-8</v>
      </c>
      <c r="AP17" cm="1">
        <f t="array" aca="1" ref="AP17" ca="1">IFERROR(($AP$2*INDEX(Indicators,MATCH($A17,INDEX(Indicators,0,4),0),MATCH($AK$2,INDEX(Indicators,1,0),0)))+($AP$3*INDEX(Indicators,MATCH($A17,INDEX(Indicators,0,4),0),MATCH($AK$3,INDEX(Indicators,1,0),0)))+(INDEX(Electricity_projection,MATCH(AL17&amp;AK17,INDEX(Electricity_projection,0,3),0),MATCH(YEAR(TODAY()),Timeline_elec_projec,0)+3)*$AP$4), 0)</f>
        <v>4.4266135932292068E-8</v>
      </c>
      <c r="AQ17">
        <f ca="1"/>
        <v>1.2725540032151657E-8</v>
      </c>
    </row>
    <row r="18" spans="1:43" x14ac:dyDescent="0.35">
      <c r="A18" t="str" cm="1">
        <f t="array" ref="A18">INDEX(Indicators,ROW()-9,4)</f>
        <v>A1AttributionalADPF</v>
      </c>
      <c r="B18" s="540" cm="1">
        <f t="array" aca="1" ref="B18:I18" ca="1">INDEX(Indicators,ROW()-9,MATCH(Handle_Wearing_Course,Materials!$1:$1,0))</f>
        <v>5.0719814080029998E-2</v>
      </c>
      <c r="C18" s="1">
        <f ca="1"/>
        <v>3.3750019138120001E-2</v>
      </c>
      <c r="D18" s="1">
        <f ca="1"/>
        <v>3.2427055199299989E-2</v>
      </c>
      <c r="E18" s="1">
        <f ca="1"/>
        <v>45.444030707294885</v>
      </c>
      <c r="F18" s="1">
        <f ca="1"/>
        <v>2.86</v>
      </c>
      <c r="G18" s="1">
        <f ca="1"/>
        <v>6.2E-4</v>
      </c>
      <c r="H18" s="1">
        <f ca="1"/>
        <v>49.1</v>
      </c>
      <c r="I18" s="212">
        <f ca="1"/>
        <v>48.742361000000002</v>
      </c>
      <c r="J18" s="1">
        <v>49.673956500000003</v>
      </c>
      <c r="K18" s="1">
        <v>48.742361000000002</v>
      </c>
      <c r="L18" s="1">
        <v>48.742361000000002</v>
      </c>
      <c r="O18" s="1">
        <f ca="1">SUMPRODUCT(B18:L18,$B$2:$L$2)+INDEX(Indicators,MATCH(A18,Materials!$D:$D),MATCH("Truck (32+t)",Materials!$1:$1,0))*'Data Entry'!$C$64</f>
        <v>2.7743184676729209</v>
      </c>
      <c r="P18" s="1">
        <f ca="1">SUMPRODUCT(B18:L18,$B$3:$L$3)+INDEX(Indicators,MATCH(A18,Materials!$D:$D),MATCH("Truck (32+t)",Materials!$1:$1,0))*'Data Entry'!$C$72</f>
        <v>3.0281140152352282</v>
      </c>
      <c r="Q18" s="1">
        <f ca="1">SUMPRODUCT(B18:L18,$B$4:$L$4)+INDEX(Indicators,MATCH(A18,Materials!$D:$D),MATCH("Truck (32+t)",Materials!$1:$1,0))*'Data Entry'!$C$66+$AQ$16</f>
        <v>3.2210573331288725</v>
      </c>
      <c r="R18" s="1">
        <f ca="1">SUMPRODUCT(B18:L18,$B$5:$L$5)+INDEX(Indicators,MATCH(A18,Materials!$D:$D),MATCH("Truck (32+t)",Materials!$1:$1,0))*'Data Entry'!$C$68+$AQ$16</f>
        <v>3.2787781132512119</v>
      </c>
      <c r="S18" s="1">
        <f ca="1">SUMPRODUCT(B18:L18,$B$6:$L$6)+INDEX(Indicators,MATCH(A18,Materials!$D:$D),MATCH("Truck (32+t)",Materials!$1:$1,0))*'Data Entry'!$C$70+$AQ$16</f>
        <v>2.774441327749015</v>
      </c>
      <c r="T18" s="1">
        <f ca="1">SUMPRODUCT(B18:L18,$B$7:$L$7)+INDEX(Indicators,MATCH(A18,Materials!$D:$D),MATCH("Truck (32+t)",Materials!$1:$1,0))*'Data Entry'!$C$68+$AQ$16</f>
        <v>2.8239162821395922</v>
      </c>
      <c r="U18" s="1">
        <f ca="1">SUMPRODUCT(B18:L18,$B$8:$L$8)+INDEX(Indicators,MATCH(A18,Materials!$D:$D),MATCH("Truck (32+t)",Materials!$1:$1,0))*'Data Entry'!$C$69+$AQ$16</f>
        <v>2.3205082188168671</v>
      </c>
      <c r="V18" s="1">
        <f ca="1">SUMPRODUCT(B18:L18,$B$9:$L$9)+INDEX(Indicators,MATCH(A18,Materials!$D:$D),MATCH("Truck (32+t)",Materials!$1:$1,0))*'Data Entry'!$C$71</f>
        <v>1.8481383180798749</v>
      </c>
      <c r="W18" s="1">
        <f ca="1">SUMPRODUCT(B18:L18,$B$10:$L$10)+INDEX(Indicators,MATCH(A18,Materials!$D:$D),MATCH("Truck (32+t)",Materials!$1:$1,0))*'Data Entry'!$C$72</f>
        <v>1.9164046000000001</v>
      </c>
      <c r="Z18">
        <v>97.540270000000007</v>
      </c>
      <c r="AA18">
        <v>5.6610500000000004</v>
      </c>
      <c r="AB18">
        <v>106.72920000000001</v>
      </c>
      <c r="AC18" s="209">
        <v>46.879170000000002</v>
      </c>
      <c r="AD18" s="209"/>
      <c r="AF18" cm="1">
        <f t="array" ref="AF18">SUMPRODUCT($AF$2:$AF$5, TRANSPOSE($Z18:$AC18))</f>
        <v>49.673956500000003</v>
      </c>
      <c r="AG18" cm="1">
        <f t="array" ref="AG18">SUMPRODUCT($AG$2:$AG$5, TRANSPOSE($Z18:$AC18))</f>
        <v>48.742361000000002</v>
      </c>
      <c r="AH18" cm="1">
        <f t="array" ref="AH18">SUMPRODUCT($AH$2:$AH$5, TRANSPOSE($Z18:$AC18))</f>
        <v>48.742361000000002</v>
      </c>
      <c r="AK18" t="s">
        <v>489</v>
      </c>
      <c r="AL18" t="s">
        <v>54</v>
      </c>
      <c r="AM18" cm="1">
        <f t="array" aca="1" ref="AM18" ca="1">IFERROR(($AM$2*INDEX(Indicators,MATCH($A18,INDEX(Indicators,0,4),0),MATCH($AK$2,INDEX(Indicators,1,0),0)))+($AM$3*INDEX(Indicators,MATCH($A18,INDEX(Indicators,0,4),0),MATCH($AK$3,INDEX(Indicators,1,0),0)))+(INDEX(Electricity_projection,MATCH(AL18&amp;AK18,INDEX(Electricity_projection,0,3),0),MATCH(YEAR(TODAY()),Timeline_elec_projec,0)+3)*$AM$4), 0)</f>
        <v>0.35663138463312483</v>
      </c>
      <c r="AN18" cm="1">
        <f t="array" aca="1" ref="AN18" ca="1">IFERROR(($AN$2*INDEX(Indicators,MATCH($A18,INDEX(Indicators,0,4),0),MATCH($AK$2,INDEX(Indicators,1,0),0)))+($AN$3*INDEX(Indicators,MATCH($A18,INDEX(Indicators,0,4),0),MATCH($AK$3,INDEX(Indicators,1,0),0)))+(INDEX(Electricity_projection,MATCH(AL18&amp;AK18,INDEX(Electricity_projection,0,3),0),MATCH(YEAR(TODAY()),Timeline_elec_projec,0)+3)*$AN$4), 0)</f>
        <v>0.31598403518991836</v>
      </c>
      <c r="AO18" cm="1">
        <f t="array" aca="1" ref="AO18" ca="1">IFERROR(($AO$2*INDEX(Indicators,MATCH($A18,INDEX(Indicators,0,4),0),MATCH($AK$2,INDEX(Indicators,1,0),0)))+($AO$3*INDEX(Indicators,MATCH($A18,INDEX(Indicators,0,4),0),MATCH($AK$3,INDEX(Indicators,1,0),0)))+(INDEX(Electricity_projection,MATCH(AL18&amp;AK18,INDEX(Electricity_projection,0,3),0),MATCH(YEAR(TODAY()),Timeline_elec_projec,0)+3)*$AO$4), 0)</f>
        <v>0.41752273242310811</v>
      </c>
      <c r="AP18" cm="1">
        <f t="array" aca="1" ref="AP18" ca="1">IFERROR(($AP$2*INDEX(Indicators,MATCH($A18,INDEX(Indicators,0,4),0),MATCH($AK$2,INDEX(Indicators,1,0),0)))+($AP$3*INDEX(Indicators,MATCH($A18,INDEX(Indicators,0,4),0),MATCH($AK$3,INDEX(Indicators,1,0),0)))+(INDEX(Electricity_projection,MATCH(AL18&amp;AK18,INDEX(Electricity_projection,0,3),0),MATCH(YEAR(TODAY()),Timeline_elec_projec,0)+3)*$AP$4), 0)</f>
        <v>0.35857143572310812</v>
      </c>
      <c r="AQ18">
        <f ca="1"/>
        <v>0.35663138463312483</v>
      </c>
    </row>
    <row r="19" spans="1:43" x14ac:dyDescent="0.35">
      <c r="A19" t="str" cm="1">
        <f t="array" ref="A19">INDEX(Indicators,ROW()-9,4)</f>
        <v>A1AttributionalEP</v>
      </c>
      <c r="B19" s="540" cm="1">
        <f t="array" aca="1" ref="B19:I19" ca="1">INDEX(Indicators,ROW()-9,MATCH(Handle_Wearing_Course,Materials!$1:$1,0))</f>
        <v>3.0244849118473853E-6</v>
      </c>
      <c r="C19" s="1">
        <f ca="1"/>
        <v>2.2599931123229359E-6</v>
      </c>
      <c r="D19" s="1">
        <f ca="1"/>
        <v>4.0366698468354319E-6</v>
      </c>
      <c r="E19" s="1">
        <f ca="1"/>
        <v>5.6804529204403337E-4</v>
      </c>
      <c r="F19" s="1">
        <f ca="1"/>
        <v>2.0699999999999999E-4</v>
      </c>
      <c r="G19" s="1">
        <f ca="1"/>
        <v>1.43E-7</v>
      </c>
      <c r="H19" s="1">
        <f ca="1"/>
        <v>1.98E-3</v>
      </c>
      <c r="I19" s="212">
        <f ca="1"/>
        <v>1.2260000000000001E-3</v>
      </c>
      <c r="J19" s="1">
        <v>1.529E-3</v>
      </c>
      <c r="K19" s="1">
        <v>1.2260000000000001E-3</v>
      </c>
      <c r="L19" s="1">
        <v>1.2260000000000001E-3</v>
      </c>
      <c r="O19" s="1">
        <f ca="1">SUMPRODUCT(B19:L19,$B$2:$L$2)+INDEX(Indicators,MATCH(A19,Materials!$D:$D),MATCH("Truck (32+t)",Materials!$1:$1,0))*'Data Entry'!$C$64</f>
        <v>3.692573333977854E-5</v>
      </c>
      <c r="P19" s="1">
        <f ca="1">SUMPRODUCT(B19:L19,$B$3:$L$3)+INDEX(Indicators,MATCH(A19,Materials!$D:$D),MATCH("Truck (32+t)",Materials!$1:$1,0))*'Data Entry'!$C$72</f>
        <v>9.458301581713654E-5</v>
      </c>
      <c r="Q19" s="1">
        <f ca="1">SUMPRODUCT(B19:L19,$B$4:$L$4)+INDEX(Indicators,MATCH(A19,Materials!$D:$D),MATCH("Truck (32+t)",Materials!$1:$1,0))*'Data Entry'!$C$66+$AQ$16</f>
        <v>1.6584089147916487E-4</v>
      </c>
      <c r="R19" s="1">
        <f ca="1">SUMPRODUCT(B19:L19,$B$5:$L$5)+INDEX(Indicators,MATCH(A19,Materials!$D:$D),MATCH("Truck (32+t)",Materials!$1:$1,0))*'Data Entry'!$C$68+$AQ$16</f>
        <v>1.7735509886839429E-4</v>
      </c>
      <c r="S19" s="1">
        <f ca="1">SUMPRODUCT(B19:L19,$B$6:$L$6)+INDEX(Indicators,MATCH(A19,Materials!$D:$D),MATCH("Truck (32+t)",Materials!$1:$1,0))*'Data Entry'!$C$70+$AQ$16</f>
        <v>1.5978580943384779E-4</v>
      </c>
      <c r="T19" s="1">
        <f ca="1">SUMPRODUCT(B19:L19,$B$7:$L$7)+INDEX(Indicators,MATCH(A19,Materials!$D:$D),MATCH("Truck (32+t)",Materials!$1:$1,0))*'Data Entry'!$C$68+$AQ$16</f>
        <v>1.696551300531873E-4</v>
      </c>
      <c r="U19" s="1">
        <f ca="1">SUMPRODUCT(B19:L19,$B$8:$L$8)+INDEX(Indicators,MATCH(A19,Materials!$D:$D),MATCH("Truck (32+t)",Materials!$1:$1,0))*'Data Entry'!$C$69+$AQ$16</f>
        <v>1.5413560136252593E-4</v>
      </c>
      <c r="V19" s="1">
        <f ca="1">SUMPRODUCT(B19:L19,$B$9:$L$9)+INDEX(Indicators,MATCH(A19,Materials!$D:$D),MATCH("Truck (32+t)",Materials!$1:$1,0))*'Data Entry'!$C$71</f>
        <v>8.6581026425290778E-5</v>
      </c>
      <c r="W19" s="1">
        <f ca="1">SUMPRODUCT(B19:L19,$B$10:$L$10)+INDEX(Indicators,MATCH(A19,Materials!$D:$D),MATCH("Truck (32+t)",Materials!$1:$1,0))*'Data Entry'!$C$72</f>
        <v>1.3873719E-4</v>
      </c>
      <c r="Z19">
        <v>5.6299999999999996E-3</v>
      </c>
      <c r="AA19">
        <v>4.6000000000000001E-4</v>
      </c>
      <c r="AB19">
        <v>6.8399999999999997E-3</v>
      </c>
      <c r="AC19" s="209">
        <v>6.2E-4</v>
      </c>
      <c r="AD19" s="209"/>
      <c r="AF19" cm="1">
        <f t="array" ref="AF19">SUMPRODUCT($AF$2:$AF$5, TRANSPOSE($Z19:$AC19))</f>
        <v>1.529E-3</v>
      </c>
      <c r="AG19" cm="1">
        <f t="array" ref="AG19">SUMPRODUCT($AG$2:$AG$5, TRANSPOSE($Z19:$AC19))</f>
        <v>1.2260000000000001E-3</v>
      </c>
      <c r="AH19" cm="1">
        <f t="array" ref="AH19">SUMPRODUCT($AH$2:$AH$5, TRANSPOSE($Z19:$AC19))</f>
        <v>1.2260000000000001E-3</v>
      </c>
      <c r="AK19" t="s">
        <v>491</v>
      </c>
      <c r="AL19" t="s">
        <v>54</v>
      </c>
      <c r="AM19" cm="1">
        <f t="array" aca="1" ref="AM19" ca="1">IFERROR(($AM$2*INDEX(Indicators,MATCH($A19,INDEX(Indicators,0,4),0),MATCH($AK$2,INDEX(Indicators,1,0),0)))+($AM$3*INDEX(Indicators,MATCH($A19,INDEX(Indicators,0,4),0),MATCH($AK$3,INDEX(Indicators,1,0),0)))+(INDEX(Electricity_projection,MATCH(AL19&amp;AK19,INDEX(Electricity_projection,0,3),0),MATCH(YEAR(TODAY()),Timeline_elec_projec,0)+3)*$AM$4), 0)</f>
        <v>2.5744684337996796E-5</v>
      </c>
      <c r="AN19" cm="1">
        <f t="array" aca="1" ref="AN19" ca="1">IFERROR(($AN$2*INDEX(Indicators,MATCH($A19,INDEX(Indicators,0,4),0),MATCH($AK$2,INDEX(Indicators,1,0),0)))+($AN$3*INDEX(Indicators,MATCH($A19,INDEX(Indicators,0,4),0),MATCH($AK$3,INDEX(Indicators,1,0),0)))+(INDEX(Electricity_projection,MATCH(AL19&amp;AK19,INDEX(Electricity_projection,0,3),0),MATCH(YEAR(TODAY()),Timeline_elec_projec,0)+3)*$AN$4), 0)</f>
        <v>2.4215075705935306E-5</v>
      </c>
      <c r="AO19" cm="1">
        <f t="array" aca="1" ref="AO19" ca="1">IFERROR(($AO$2*INDEX(Indicators,MATCH($A19,INDEX(Indicators,0,4),0),MATCH($AK$2,INDEX(Indicators,1,0),0)))+($AO$3*INDEX(Indicators,MATCH($A19,INDEX(Indicators,0,4),0),MATCH($AK$3,INDEX(Indicators,1,0),0)))+(INDEX(Electricity_projection,MATCH(AL19&amp;AK19,INDEX(Electricity_projection,0,3),0),MATCH(YEAR(TODAY()),Timeline_elec_projec,0)+3)*$AO$4), 0)</f>
        <v>9.7102915948654007E-6</v>
      </c>
      <c r="AP19" cm="1">
        <f t="array" aca="1" ref="AP19" ca="1">IFERROR(($AP$2*INDEX(Indicators,MATCH($A19,INDEX(Indicators,0,4),0),MATCH($AK$2,INDEX(Indicators,1,0),0)))+($AP$3*INDEX(Indicators,MATCH($A19,INDEX(Indicators,0,4),0),MATCH($AK$3,INDEX(Indicators,1,0),0)))+(INDEX(Electricity_projection,MATCH(AL19&amp;AK19,INDEX(Electricity_projection,0,3),0),MATCH(YEAR(TODAY()),Timeline_elec_projec,0)+3)*$AP$4), 0)</f>
        <v>8.8146909368654007E-6</v>
      </c>
      <c r="AQ19">
        <f ca="1"/>
        <v>2.5744684337996796E-5</v>
      </c>
    </row>
    <row r="20" spans="1:43" x14ac:dyDescent="0.35">
      <c r="A20" t="str" cm="1">
        <f t="array" ref="A20">INDEX(Indicators,ROW()-9,4)</f>
        <v>A1AttributionalGWP</v>
      </c>
      <c r="B20" s="540" cm="1">
        <f t="array" ref="B20:I20">INDEX(Indicators,ROW()-9,MATCH(Handle_Wearing_Course,Materials!$1:$1,0))</f>
        <v>4.5500000000000002E-3</v>
      </c>
      <c r="C20" s="1">
        <v>4.5500000000000002E-3</v>
      </c>
      <c r="D20" s="1">
        <v>4.5500000000000002E-3</v>
      </c>
      <c r="E20" s="1">
        <v>0.42299999999999999</v>
      </c>
      <c r="F20" s="1">
        <v>0.69899999999999995</v>
      </c>
      <c r="G20" s="1">
        <v>3.1000000000000001E-5</v>
      </c>
      <c r="H20" s="1">
        <v>3.9</v>
      </c>
      <c r="I20" s="212">
        <v>0.81985799999999998</v>
      </c>
      <c r="J20" s="1">
        <v>1.0182869999999999</v>
      </c>
      <c r="K20" s="1">
        <v>0.81985799999999998</v>
      </c>
      <c r="L20" s="1">
        <v>0.81985799999999998</v>
      </c>
      <c r="O20" s="1">
        <f>SUMPRODUCT(B20:L20,$B$2:$L$2)+INDEX(Indicators,MATCH(A20,Materials!$D:$D),MATCH("Truck (32+t)",Materials!$1:$1,0))*'Data Entry'!$C$64</f>
        <v>2.9656999999999999E-2</v>
      </c>
      <c r="P20" s="1">
        <f>SUMPRODUCT(B20:L20,$B$3:$L$3)+INDEX(Indicators,MATCH(A20,Materials!$D:$D),MATCH("Truck (32+t)",Materials!$1:$1,0))*'Data Entry'!$C$72</f>
        <v>6.5374219999999997E-2</v>
      </c>
      <c r="Q20" s="1">
        <f ca="1">SUMPRODUCT(B20:L20,$B$4:$L$4)+INDEX(Indicators,MATCH(A20,Materials!$D:$D),MATCH("Truck (32+t)",Materials!$1:$1,0))*'Data Entry'!$C$66+$AQ$16</f>
        <v>3.3964360076094074E-2</v>
      </c>
      <c r="R20" s="1">
        <f ca="1">SUMPRODUCT(B20:L20,$B$5:$L$5)+INDEX(Indicators,MATCH(A20,Materials!$D:$D),MATCH("Truck (32+t)",Materials!$1:$1,0))*'Data Entry'!$C$68+$AQ$20</f>
        <v>6.3381355588838756E-2</v>
      </c>
      <c r="S20" s="1">
        <f ca="1">SUMPRODUCT(B20:L20,$B$6:$L$6)+INDEX(Indicators,MATCH(A20,Materials!$D:$D),MATCH("Truck (32+t)",Materials!$1:$1,0))*'Data Entry'!$C$70+$AQ$16</f>
        <v>2.977986007609407E-2</v>
      </c>
      <c r="T20" s="1">
        <f ca="1">SUMPRODUCT(B20:L20,$B$7:$L$7)+INDEX(Indicators,MATCH(A20,Materials!$D:$D),MATCH("Truck (32+t)",Materials!$1:$1,0))*'Data Entry'!$C$68+$AQ$16</f>
        <v>3.5732730076094073E-2</v>
      </c>
      <c r="U20" s="1">
        <f ca="1">SUMPRODUCT(B20:L20,$B$8:$L$8)+INDEX(Indicators,MATCH(A20,Materials!$D:$D),MATCH("Truck (32+t)",Materials!$1:$1,0))*'Data Entry'!$C$69+$AQ$16</f>
        <v>2.5595360076094073E-2</v>
      </c>
      <c r="V20" s="1">
        <f>SUMPRODUCT(B20:L20,$B$9:$L$9)+INDEX(Indicators,MATCH(A20,Materials!$D:$D),MATCH("Truck (32+t)",Materials!$1:$1,0))*'Data Entry'!$C$71</f>
        <v>0.20406964999999999</v>
      </c>
      <c r="W20" s="1">
        <f>SUMPRODUCT(B20:L20,$B$10:$L$10)+INDEX(Indicators,MATCH(A20,Materials!$D:$D),MATCH("Truck (32+t)",Materials!$1:$1,0))*'Data Entry'!$C$72</f>
        <v>0.46834023000000002</v>
      </c>
      <c r="Z20">
        <v>3.47763</v>
      </c>
      <c r="AA20">
        <v>0.34547</v>
      </c>
      <c r="AB20">
        <v>4.4691099999999997</v>
      </c>
      <c r="AC20" s="209">
        <v>0.42299999999999999</v>
      </c>
      <c r="AD20" s="209"/>
      <c r="AF20" cm="1">
        <f t="array" ref="AF20">SUMPRODUCT($AF$2:$AF$5, TRANSPOSE($Z20:$AC20))</f>
        <v>1.0182869999999999</v>
      </c>
      <c r="AG20" cm="1">
        <f t="array" ref="AG20">SUMPRODUCT($AG$2:$AG$5, TRANSPOSE($Z20:$AC20))</f>
        <v>0.81985799999999998</v>
      </c>
      <c r="AH20" cm="1">
        <f t="array" ref="AH20">SUMPRODUCT($AH$2:$AH$5, TRANSPOSE($Z20:$AC20))</f>
        <v>0.81985799999999998</v>
      </c>
      <c r="AK20" t="s">
        <v>382</v>
      </c>
      <c r="AL20" t="s">
        <v>54</v>
      </c>
      <c r="AM20" cm="1">
        <f t="array" aca="1" ref="AM20" ca="1">IFERROR(($AM$2*INDEX(Indicators,MATCH($A20,INDEX(Indicators,0,4),0),MATCH($AK$2,INDEX(Indicators,1,0),0)))+($AM$3*INDEX(Indicators,MATCH($A20,INDEX(Indicators,0,4),0),MATCH($AK$3,INDEX(Indicators,1,0),0)))+(INDEX(Electricity_projection,MATCH(AL20&amp;AK20,INDEX(Electricity_projection,0,3),0),MATCH(YEAR(TODAY()),Timeline_elec_projec,0)+3)*$AM$4), 0)</f>
        <v>2.2594840588838767E-2</v>
      </c>
      <c r="AN20" cm="1">
        <f t="array" aca="1" ref="AN20" ca="1">IFERROR(($AN$2*INDEX(Indicators,MATCH($A20,INDEX(Indicators,0,4),0),MATCH($AK$2,INDEX(Indicators,1,0),0)))+($AN$3*INDEX(Indicators,MATCH($A20,INDEX(Indicators,0,4),0),MATCH($AK$3,INDEX(Indicators,1,0),0)))+(INDEX(Electricity_projection,MATCH(AL20&amp;AK20,INDEX(Electricity_projection,0,3),0),MATCH(YEAR(TODAY()),Timeline_elec_projec,0)+3)*$AN$4), 0)</f>
        <v>2.0278463620022415E-2</v>
      </c>
      <c r="AO20" cm="1">
        <f t="array" aca="1" ref="AO20" ca="1">IFERROR(($AO$2*INDEX(Indicators,MATCH($A20,INDEX(Indicators,0,4),0),MATCH($AK$2,INDEX(Indicators,1,0),0)))+($AO$3*INDEX(Indicators,MATCH($A20,INDEX(Indicators,0,4),0),MATCH($AK$3,INDEX(Indicators,1,0),0)))+(INDEX(Electricity_projection,MATCH(AL20&amp;AK20,INDEX(Electricity_projection,0,3),0),MATCH(YEAR(TODAY()),Timeline_elec_projec,0)+3)*$AO$4), 0)</f>
        <v>2.4672715520007577E-2</v>
      </c>
      <c r="AP20" cm="1">
        <f t="array" aca="1" ref="AP20" ca="1">IFERROR(($AP$2*INDEX(Indicators,MATCH($A20,INDEX(Indicators,0,4),0),MATCH($AK$2,INDEX(Indicators,1,0),0)))+($AP$3*INDEX(Indicators,MATCH($A20,INDEX(Indicators,0,4),0),MATCH($AK$3,INDEX(Indicators,1,0),0)))+(INDEX(Electricity_projection,MATCH(AL20&amp;AK20,INDEX(Electricity_projection,0,3),0),MATCH(YEAR(TODAY()),Timeline_elec_projec,0)+3)*$AP$4), 0)</f>
        <v>2.1259253120007576E-2</v>
      </c>
      <c r="AQ20">
        <f ca="1"/>
        <v>2.2594840588838767E-2</v>
      </c>
    </row>
    <row r="21" spans="1:43" x14ac:dyDescent="0.35">
      <c r="A21" t="str" cm="1">
        <f t="array" ref="A21">INDEX(Indicators,ROW()-9,4)</f>
        <v>A1AttributionalODP</v>
      </c>
      <c r="B21" s="540" cm="1">
        <f t="array" aca="1" ref="B21:I21" ca="1">INDEX(Indicators,ROW()-9,MATCH(Handle_Wearing_Course,Materials!$1:$1,0))</f>
        <v>6.2119679414000004E-10</v>
      </c>
      <c r="C21" s="1">
        <f ca="1"/>
        <v>3.8971446056000004E-10</v>
      </c>
      <c r="D21" s="1">
        <f ca="1"/>
        <v>2.1601500339999997E-10</v>
      </c>
      <c r="E21" s="1">
        <f ca="1"/>
        <v>5.9879456496044861E-7</v>
      </c>
      <c r="F21" s="1">
        <f ca="1"/>
        <v>5.2300000000000002E-15</v>
      </c>
      <c r="G21" s="1">
        <f ca="1"/>
        <v>1.1700000000000001E-11</v>
      </c>
      <c r="H21" s="1">
        <f ca="1"/>
        <v>2.4900000000000001E-12</v>
      </c>
      <c r="I21" s="212">
        <f ca="1"/>
        <v>5.5281710000000001E-7</v>
      </c>
      <c r="J21" s="1">
        <v>5.2622564999999991E-7</v>
      </c>
      <c r="K21" s="1">
        <v>5.5281710000000001E-7</v>
      </c>
      <c r="L21" s="1">
        <v>5.5281710000000001E-7</v>
      </c>
      <c r="O21" s="1">
        <f ca="1">SUMPRODUCT(B21:L21,$B$2:$L$2)+INDEX(Indicators,MATCH(A21,Materials!$D:$D),MATCH("Truck (32+t)",Materials!$1:$1,0))*'Data Entry'!$C$64</f>
        <v>3.6511598884118512E-8</v>
      </c>
      <c r="P21" s="1">
        <f ca="1">SUMPRODUCT(B21:L21,$B$3:$L$3)+INDEX(Indicators,MATCH(A21,Materials!$D:$D),MATCH("Truck (32+t)",Materials!$1:$1,0))*'Data Entry'!$C$72</f>
        <v>3.2157463986491588E-8</v>
      </c>
      <c r="Q21" s="1">
        <f ca="1">SUMPRODUCT(B21:L21,$B$4:$L$4)+INDEX(Indicators,MATCH(A21,Materials!$D:$D),MATCH("Truck (32+t)",Materials!$1:$1,0))*'Data Entry'!$C$66+$AQ$16</f>
        <v>1.2290240735391873E-4</v>
      </c>
      <c r="R21" s="1">
        <f ca="1">SUMPRODUCT(B21:L21,$B$5:$L$5)+INDEX(Indicators,MATCH(A21,Materials!$D:$D),MATCH("Truck (32+t)",Materials!$1:$1,0))*'Data Entry'!$C$68+$AQ$16</f>
        <v>1.2290160274828192E-4</v>
      </c>
      <c r="S21" s="1">
        <f ca="1">SUMPRODUCT(B21:L21,$B$6:$L$6)+INDEX(Indicators,MATCH(A21,Materials!$D:$D),MATCH("Truck (32+t)",Materials!$1:$1,0))*'Data Entry'!$C$70+$AQ$16</f>
        <v>1.2289658769295338E-4</v>
      </c>
      <c r="T21" s="1">
        <f ca="1">SUMPRODUCT(B21:L21,$B$7:$L$7)+INDEX(Indicators,MATCH(A21,Materials!$D:$D),MATCH("Truck (32+t)",Materials!$1:$1,0))*'Data Entry'!$C$68+$AQ$16</f>
        <v>1.2289589803097896E-4</v>
      </c>
      <c r="U21" s="1">
        <f ca="1">SUMPRODUCT(B21:L21,$B$8:$L$8)+INDEX(Indicators,MATCH(A21,Materials!$D:$D),MATCH("Truck (32+t)",Materials!$1:$1,0))*'Data Entry'!$C$69+$AQ$16</f>
        <v>1.228906059592717E-4</v>
      </c>
      <c r="V21" s="1">
        <f ca="1">SUMPRODUCT(B21:L21,$B$9:$L$9)+INDEX(Indicators,MATCH(A21,Materials!$D:$D),MATCH("Truck (32+t)",Materials!$1:$1,0))*'Data Entry'!$C$71</f>
        <v>3.5563172534999999E-10</v>
      </c>
      <c r="W21" s="1">
        <f ca="1">SUMPRODUCT(B21:L21,$B$10:$L$10)+INDEX(Indicators,MATCH(A21,Materials!$D:$D),MATCH("Truck (32+t)",Materials!$1:$1,0))*'Data Entry'!$C$72</f>
        <v>3.8645041000000007E-12</v>
      </c>
      <c r="Z21" s="1">
        <v>1.47763E-7</v>
      </c>
      <c r="AA21" s="1">
        <v>1.4460699999999999E-7</v>
      </c>
      <c r="AB21" s="1">
        <v>5.3556399999999996E-7</v>
      </c>
      <c r="AC21" s="209">
        <v>6.06E-7</v>
      </c>
      <c r="AD21" s="209"/>
      <c r="AF21" cm="1">
        <f t="array" ref="AF21">SUMPRODUCT($AF$2:$AF$5, TRANSPOSE($Z21:$AC21))</f>
        <v>5.2622564999999991E-7</v>
      </c>
      <c r="AG21" cm="1">
        <f t="array" ref="AG21">SUMPRODUCT($AG$2:$AG$5, TRANSPOSE($Z21:$AC21))</f>
        <v>5.5281710000000001E-7</v>
      </c>
      <c r="AH21" cm="1">
        <f t="array" ref="AH21">SUMPRODUCT($AH$2:$AH$5, TRANSPOSE($Z21:$AC21))</f>
        <v>5.5281710000000001E-7</v>
      </c>
      <c r="AK21" t="s">
        <v>403</v>
      </c>
      <c r="AL21" t="s">
        <v>54</v>
      </c>
      <c r="AM21" cm="1">
        <f t="array" aca="1" ref="AM21" ca="1">IFERROR(($AM$2*INDEX(Indicators,MATCH($A21,INDEX(Indicators,0,4),0),MATCH($AK$2,INDEX(Indicators,1,0),0)))+($AM$3*INDEX(Indicators,MATCH($A21,INDEX(Indicators,0,4),0),MATCH($AK$3,INDEX(Indicators,1,0),0)))+(INDEX(Electricity_projection,MATCH(AL21&amp;AK21,INDEX(Electricity_projection,0,3),0),MATCH(YEAR(TODAY()),Timeline_elec_projec,0)+3)*$AM$4), 0)</f>
        <v>4.4904698631816418E-9</v>
      </c>
      <c r="AN21" cm="1">
        <f t="array" aca="1" ref="AN21" ca="1">IFERROR(($AN$2*INDEX(Indicators,MATCH($A21,INDEX(Indicators,0,4),0),MATCH($AK$2,INDEX(Indicators,1,0),0)))+($AN$3*INDEX(Indicators,MATCH($A21,INDEX(Indicators,0,4),0),MATCH($AK$3,INDEX(Indicators,1,0),0)))+(INDEX(Electricity_projection,MATCH(AL21&amp;AK21,INDEX(Electricity_projection,0,3),0),MATCH(YEAR(TODAY()),Timeline_elec_projec,0)+3)*$AN$4), 0)</f>
        <v>3.8420725910389437E-9</v>
      </c>
      <c r="AO21" cm="1">
        <f t="array" aca="1" ref="AO21" ca="1">IFERROR(($AO$2*INDEX(Indicators,MATCH($A21,INDEX(Indicators,0,4),0),MATCH($AK$2,INDEX(Indicators,1,0),0)))+($AO$3*INDEX(Indicators,MATCH($A21,INDEX(Indicators,0,4),0),MATCH($AK$3,INDEX(Indicators,1,0),0)))+(INDEX(Electricity_projection,MATCH(AL21&amp;AK21,INDEX(Electricity_projection,0,3),0),MATCH(YEAR(TODAY()),Timeline_elec_projec,0)+3)*$AO$4), 0)</f>
        <v>2.6049976079749153E-9</v>
      </c>
      <c r="AP21" cm="1">
        <f t="array" aca="1" ref="AP21" ca="1">IFERROR(($AP$2*INDEX(Indicators,MATCH($A21,INDEX(Indicators,0,4),0),MATCH($AK$2,INDEX(Indicators,1,0),0)))+($AP$3*INDEX(Indicators,MATCH($A21,INDEX(Indicators,0,4),0),MATCH($AK$3,INDEX(Indicators,1,0),0)))+(INDEX(Electricity_projection,MATCH(AL21&amp;AK21,INDEX(Electricity_projection,0,3),0),MATCH(YEAR(TODAY()),Timeline_elec_projec,0)+3)*$AP$4), 0)</f>
        <v>2.2317788984749155E-9</v>
      </c>
      <c r="AQ21">
        <f ca="1"/>
        <v>4.4904698631816418E-9</v>
      </c>
    </row>
    <row r="22" spans="1:43" x14ac:dyDescent="0.35">
      <c r="A22" t="str" cm="1">
        <f t="array" ref="A22">INDEX(Indicators,ROW()-9,4)</f>
        <v>A1AttributionalPOCP</v>
      </c>
      <c r="B22" s="540" cm="1">
        <f t="array" aca="1" ref="B22:I22" ca="1">INDEX(Indicators,ROW()-9,MATCH(Handle_Wearing_Course,Materials!$1:$1,0))</f>
        <v>-1.7003151592225781E-6</v>
      </c>
      <c r="C22" s="1">
        <f ca="1"/>
        <v>-1.0213404620493213E-6</v>
      </c>
      <c r="D22" s="1">
        <f ca="1"/>
        <v>-1.7581803807662278E-7</v>
      </c>
      <c r="E22" s="1">
        <f ca="1"/>
        <v>1.6233333083458495E-4</v>
      </c>
      <c r="F22" s="1">
        <f ca="1"/>
        <v>6.8300000000000007E-5</v>
      </c>
      <c r="G22" s="1">
        <f ca="1"/>
        <v>8.8699999999999994E-9</v>
      </c>
      <c r="H22" s="1">
        <f ca="1"/>
        <v>1.9300000000000001E-3</v>
      </c>
      <c r="I22" s="212">
        <f ca="1"/>
        <v>4.056170400000001E-4</v>
      </c>
      <c r="J22" s="1">
        <v>5.0842556E-4</v>
      </c>
      <c r="K22" s="1">
        <v>4.056170400000001E-4</v>
      </c>
      <c r="L22" s="1">
        <v>4.056170400000001E-4</v>
      </c>
      <c r="O22" s="1">
        <f ca="1">SUMPRODUCT(B22:L22,$B$2:$L$2)+INDEX(Indicators,MATCH(A22,Materials!$D:$D),MATCH("Truck (32+t)",Materials!$1:$1,0))*'Data Entry'!$C$64</f>
        <v>8.1417036004058743E-6</v>
      </c>
      <c r="P22" s="1">
        <f ca="1">SUMPRODUCT(B22:L22,$B$3:$L$3)+INDEX(Indicators,MATCH(A22,Materials!$D:$D),MATCH("Truck (32+t)",Materials!$1:$1,0))*'Data Entry'!$C$72</f>
        <v>2.8907237350330775E-5</v>
      </c>
      <c r="Q22" s="1">
        <f ca="1">SUMPRODUCT(B22:L22,$B$4:$L$4)+INDEX(Indicators,MATCH(A22,Materials!$D:$D),MATCH("Truck (32+t)",Materials!$1:$1,0))*'Data Entry'!$C$66+$AQ$16</f>
        <v>1.332519150028716E-4</v>
      </c>
      <c r="R22" s="1">
        <f ca="1">SUMPRODUCT(B22:L22,$B$5:$L$5)+INDEX(Indicators,MATCH(A22,Materials!$D:$D),MATCH("Truck (32+t)",Materials!$1:$1,0))*'Data Entry'!$C$68+$AQ$16</f>
        <v>1.3750937991326633E-4</v>
      </c>
      <c r="S22" s="1">
        <f ca="1">SUMPRODUCT(B22:L22,$B$6:$L$6)+INDEX(Indicators,MATCH(A22,Materials!$D:$D),MATCH("Truck (32+t)",Materials!$1:$1,0))*'Data Entry'!$C$70+$AQ$16</f>
        <v>1.3100177969447514E-4</v>
      </c>
      <c r="T22" s="1">
        <f ca="1">SUMPRODUCT(B22:L22,$B$7:$L$7)+INDEX(Indicators,MATCH(A22,Materials!$D:$D),MATCH("Truck (32+t)",Materials!$1:$1,0))*'Data Entry'!$C$68+$AQ$16</f>
        <v>1.3465103533195634E-4</v>
      </c>
      <c r="U22" s="1">
        <f ca="1">SUMPRODUCT(B22:L22,$B$8:$L$8)+INDEX(Indicators,MATCH(A22,Materials!$D:$D),MATCH("Truck (32+t)",Materials!$1:$1,0))*'Data Entry'!$C$69+$AQ$16</f>
        <v>1.2936144323453706E-4</v>
      </c>
      <c r="V22" s="1">
        <f ca="1">SUMPRODUCT(B22:L22,$B$9:$L$9)+INDEX(Indicators,MATCH(A22,Materials!$D:$D),MATCH("Truck (32+t)",Materials!$1:$1,0))*'Data Entry'!$C$71</f>
        <v>6.5212009312773383E-5</v>
      </c>
      <c r="W22" s="1">
        <f ca="1">SUMPRODUCT(B22:L22,$B$10:$L$10)+INDEX(Indicators,MATCH(A22,Materials!$D:$D),MATCH("Truck (32+t)",Materials!$1:$1,0))*'Data Entry'!$C$72</f>
        <v>4.5763927100000003E-5</v>
      </c>
      <c r="Z22">
        <v>2.6099999999999999E-3</v>
      </c>
      <c r="AA22" s="1">
        <v>6.6170399999999999E-5</v>
      </c>
      <c r="AB22">
        <v>2.3900000000000002E-3</v>
      </c>
      <c r="AC22" s="209">
        <v>2.0000000000000001E-4</v>
      </c>
      <c r="AD22" s="209"/>
      <c r="AF22" cm="1">
        <f t="array" ref="AF22">SUMPRODUCT($AF$2:$AF$5, TRANSPOSE($Z22:$AC22))</f>
        <v>5.0842556E-4</v>
      </c>
      <c r="AG22" cm="1">
        <f t="array" ref="AG22">SUMPRODUCT($AG$2:$AG$5, TRANSPOSE($Z22:$AC22))</f>
        <v>4.056170400000001E-4</v>
      </c>
      <c r="AH22" cm="1">
        <f t="array" ref="AH22">SUMPRODUCT($AH$2:$AH$5, TRANSPOSE($Z22:$AC22))</f>
        <v>4.056170400000001E-4</v>
      </c>
      <c r="AK22" t="s">
        <v>495</v>
      </c>
      <c r="AL22" t="s">
        <v>54</v>
      </c>
      <c r="AM22" cm="1">
        <f t="array" aca="1" ref="AM22" ca="1">IFERROR(($AM$2*INDEX(Indicators,MATCH($A22,INDEX(Indicators,0,4),0),MATCH($AK$2,INDEX(Indicators,1,0),0)))+($AM$3*INDEX(Indicators,MATCH($A22,INDEX(Indicators,0,4),0),MATCH($AK$3,INDEX(Indicators,1,0),0)))+(INDEX(Electricity_projection,MATCH(AL22&amp;AK22,INDEX(Electricity_projection,0,3),0),MATCH(YEAR(TODAY()),Timeline_elec_projec,0)+3)*$AM$4), 0)</f>
        <v>8.1637239350878318E-6</v>
      </c>
      <c r="AN22" cm="1">
        <f t="array" aca="1" ref="AN22" ca="1">IFERROR(($AN$2*INDEX(Indicators,MATCH($A22,INDEX(Indicators,0,4),0),MATCH($AK$2,INDEX(Indicators,1,0),0)))+($AN$3*INDEX(Indicators,MATCH($A22,INDEX(Indicators,0,4),0),MATCH($AK$3,INDEX(Indicators,1,0),0)))+(INDEX(Electricity_projection,MATCH(AL22&amp;AK22,INDEX(Electricity_projection,0,3),0),MATCH(YEAR(TODAY()),Timeline_elec_projec,0)+3)*$AN$4), 0)</f>
        <v>7.2484880914882427E-6</v>
      </c>
      <c r="AO22" cm="1">
        <f t="array" aca="1" ref="AO22" ca="1">IFERROR(($AO$2*INDEX(Indicators,MATCH($A22,INDEX(Indicators,0,4),0),MATCH($AK$2,INDEX(Indicators,1,0),0)))+($AO$3*INDEX(Indicators,MATCH($A22,INDEX(Indicators,0,4),0),MATCH($AK$3,INDEX(Indicators,1,0),0)))+(INDEX(Electricity_projection,MATCH(AL22&amp;AK22,INDEX(Electricity_projection,0,3),0),MATCH(YEAR(TODAY()),Timeline_elec_projec,0)+3)*$AO$4), 0)</f>
        <v>3.0152327615009625E-6</v>
      </c>
      <c r="AP22" cm="1">
        <f t="array" aca="1" ref="AP22" ca="1">IFERROR(($AP$2*INDEX(Indicators,MATCH($A22,INDEX(Indicators,0,4),0),MATCH($AK$2,INDEX(Indicators,1,0),0)))+($AP$3*INDEX(Indicators,MATCH($A22,INDEX(Indicators,0,4),0),MATCH($AK$3,INDEX(Indicators,1,0),0)))+(INDEX(Electricity_projection,MATCH(AL22&amp;AK22,INDEX(Electricity_projection,0,3),0),MATCH(YEAR(TODAY()),Timeline_elec_projec,0)+3)*$AP$4), 0)</f>
        <v>2.6502791921009627E-6</v>
      </c>
      <c r="AQ22">
        <f ca="1"/>
        <v>8.1637239350878318E-6</v>
      </c>
    </row>
    <row r="23" spans="1:43" x14ac:dyDescent="0.35">
      <c r="A23" t="str" cm="1">
        <f t="array" ref="A23">INDEX(Indicators,ROW()-9,4)</f>
        <v>A1AttributionalCFU</v>
      </c>
      <c r="B23" s="540" cm="1">
        <f t="array" aca="1" ref="B23:I23" ca="1">INDEX(Indicators,ROW()-9,MATCH(Handle_Wearing_Course,Materials!$1:$1,0))</f>
        <v>0</v>
      </c>
      <c r="C23" s="1">
        <f ca="1"/>
        <v>0</v>
      </c>
      <c r="D23" s="1">
        <f ca="1"/>
        <v>0</v>
      </c>
      <c r="E23" s="1">
        <f ca="1"/>
        <v>0</v>
      </c>
      <c r="F23" s="1">
        <f ca="1"/>
        <v>2.7100000000000001E-5</v>
      </c>
      <c r="G23" s="1">
        <f ca="1"/>
        <v>0</v>
      </c>
      <c r="H23" s="1">
        <f ca="1"/>
        <v>0</v>
      </c>
      <c r="I23" s="212">
        <f ca="1"/>
        <v>0</v>
      </c>
      <c r="J23" s="1">
        <v>0</v>
      </c>
      <c r="K23" s="1">
        <v>0</v>
      </c>
      <c r="L23" s="1">
        <v>0</v>
      </c>
      <c r="O23" s="1">
        <f ca="1">SUMPRODUCT(B23:L23,$B$2:$L$2)+INDEX(Indicators,MATCH(A23,Materials!$D:$D),MATCH("Truck (32+t)",Materials!$1:$1,0))*'Data Entry'!$C$64</f>
        <v>0</v>
      </c>
      <c r="P23" s="1">
        <f ca="1">SUMPRODUCT(B23:L23,$B$3:$L$3)+INDEX(Indicators,MATCH(A23,Materials!$D:$D),MATCH("Truck (32+t)",Materials!$1:$1,0))*'Data Entry'!$C$72</f>
        <v>0</v>
      </c>
      <c r="Q23" s="1">
        <f ca="1">SUMPRODUCT(B23:L23,$B$4:$L$4)+INDEX(Indicators,MATCH(A23,Materials!$D:$D),MATCH("Truck (32+t)",Materials!$1:$1,0))*'Data Entry'!$C$66+$AQ$16</f>
        <v>1.2286007609406925E-4</v>
      </c>
      <c r="R23" s="1">
        <f ca="1">SUMPRODUCT(B23:L23,$B$5:$L$5)+INDEX(Indicators,MATCH(A23,Materials!$D:$D),MATCH("Truck (32+t)",Materials!$1:$1,0))*'Data Entry'!$C$68+$AQ$16</f>
        <v>1.2286007609406925E-4</v>
      </c>
      <c r="S23" s="1">
        <f ca="1">SUMPRODUCT(B23:L23,$B$6:$L$6)+INDEX(Indicators,MATCH(A23,Materials!$D:$D),MATCH("Truck (32+t)",Materials!$1:$1,0))*'Data Entry'!$C$70+$AQ$16</f>
        <v>1.2286007609406925E-4</v>
      </c>
      <c r="T23" s="1">
        <f ca="1">SUMPRODUCT(B23:L23,$B$7:$L$7)+INDEX(Indicators,MATCH(A23,Materials!$D:$D),MATCH("Truck (32+t)",Materials!$1:$1,0))*'Data Entry'!$C$68+$AQ$16</f>
        <v>1.2286007609406925E-4</v>
      </c>
      <c r="U23" s="1">
        <f ca="1">SUMPRODUCT(B23:L23,$B$8:$L$8)+INDEX(Indicators,MATCH(A23,Materials!$D:$D),MATCH("Truck (32+t)",Materials!$1:$1,0))*'Data Entry'!$C$69+$AQ$16</f>
        <v>1.2286007609406925E-4</v>
      </c>
      <c r="V23" s="1">
        <f ca="1">SUMPRODUCT(B23:L23,$B$9:$L$9)+INDEX(Indicators,MATCH(A23,Materials!$D:$D),MATCH("Truck (32+t)",Materials!$1:$1,0))*'Data Entry'!$C$71</f>
        <v>3.252E-6</v>
      </c>
      <c r="W23" s="1">
        <f ca="1">SUMPRODUCT(B23:L23,$B$10:$L$10)+INDEX(Indicators,MATCH(A23,Materials!$D:$D),MATCH("Truck (32+t)",Materials!$1:$1,0))*'Data Entry'!$C$72</f>
        <v>1.8157000000000003E-5</v>
      </c>
      <c r="Z23">
        <v>0</v>
      </c>
      <c r="AA23">
        <v>0</v>
      </c>
      <c r="AB23">
        <v>0</v>
      </c>
      <c r="AC23" s="209">
        <v>0</v>
      </c>
      <c r="AD23" s="209"/>
      <c r="AF23" cm="1">
        <f t="array" ref="AF23">SUMPRODUCT($AF$2:$AF$5, TRANSPOSE($Z23:$AC23))</f>
        <v>0</v>
      </c>
      <c r="AG23" cm="1">
        <f t="array" ref="AG23">SUMPRODUCT($AG$2:$AG$5, TRANSPOSE($Z23:$AC23))</f>
        <v>0</v>
      </c>
      <c r="AH23" cm="1">
        <f t="array" ref="AH23">SUMPRODUCT($AH$2:$AH$5, TRANSPOSE($Z23:$AC23))</f>
        <v>0</v>
      </c>
      <c r="AK23" t="s">
        <v>497</v>
      </c>
      <c r="AL23" t="s">
        <v>54</v>
      </c>
      <c r="AM23" cm="1">
        <f t="array" aca="1" ref="AM23" ca="1">IFERROR(($AM$2*INDEX(Indicators,MATCH($A23,INDEX(Indicators,0,4),0),MATCH($AK$2,INDEX(Indicators,1,0),0)))+($AM$3*INDEX(Indicators,MATCH($A23,INDEX(Indicators,0,4),0),MATCH($AK$3,INDEX(Indicators,1,0),0)))+(INDEX(Electricity_projection,MATCH(AL23&amp;AK23,INDEX(Electricity_projection,0,3),0),MATCH(YEAR(TODAY()),Timeline_elec_projec,0)+3)*$AM$4), 0)</f>
        <v>0</v>
      </c>
      <c r="AN23" cm="1">
        <f t="array" aca="1" ref="AN23" ca="1">IFERROR(($AN$2*INDEX(Indicators,MATCH($A23,INDEX(Indicators,0,4),0),MATCH($AK$2,INDEX(Indicators,1,0),0)))+($AN$3*INDEX(Indicators,MATCH($A23,INDEX(Indicators,0,4),0),MATCH($AK$3,INDEX(Indicators,1,0),0)))+(INDEX(Electricity_projection,MATCH(AL23&amp;AK23,INDEX(Electricity_projection,0,3),0),MATCH(YEAR(TODAY()),Timeline_elec_projec,0)+3)*$AN$4), 0)</f>
        <v>0</v>
      </c>
      <c r="AO23" cm="1">
        <f t="array" aca="1" ref="AO23" ca="1">IFERROR(($AO$2*INDEX(Indicators,MATCH($A23,INDEX(Indicators,0,4),0),MATCH($AK$2,INDEX(Indicators,1,0),0)))+($AO$3*INDEX(Indicators,MATCH($A23,INDEX(Indicators,0,4),0),MATCH($AK$3,INDEX(Indicators,1,0),0)))+(INDEX(Electricity_projection,MATCH(AL23&amp;AK23,INDEX(Electricity_projection,0,3),0),MATCH(YEAR(TODAY()),Timeline_elec_projec,0)+3)*$AO$4), 0)</f>
        <v>0</v>
      </c>
      <c r="AP23" cm="1">
        <f t="array" aca="1" ref="AP23" ca="1">IFERROR(($AP$2*INDEX(Indicators,MATCH($A23,INDEX(Indicators,0,4),0),MATCH($AK$2,INDEX(Indicators,1,0),0)))+($AP$3*INDEX(Indicators,MATCH($A23,INDEX(Indicators,0,4),0),MATCH($AK$3,INDEX(Indicators,1,0),0)))+(INDEX(Electricity_projection,MATCH(AL23&amp;AK23,INDEX(Electricity_projection,0,3),0),MATCH(YEAR(TODAY()),Timeline_elec_projec,0)+3)*$AP$4), 0)</f>
        <v>0</v>
      </c>
      <c r="AQ23">
        <f ca="1"/>
        <v>0</v>
      </c>
    </row>
    <row r="24" spans="1:43" x14ac:dyDescent="0.35">
      <c r="A24" t="str" cm="1">
        <f t="array" ref="A24">INDEX(Indicators,ROW()-9,4)</f>
        <v>A1AttributionalEE</v>
      </c>
      <c r="B24" s="540" cm="1">
        <f t="array" aca="1" ref="B24:I24" ca="1">INDEX(Indicators,ROW()-9,MATCH(Handle_Wearing_Course,Materials!$1:$1,0))</f>
        <v>0</v>
      </c>
      <c r="C24" s="1">
        <f ca="1"/>
        <v>0</v>
      </c>
      <c r="D24" s="1">
        <f ca="1"/>
        <v>0</v>
      </c>
      <c r="E24" s="1">
        <f ca="1"/>
        <v>0</v>
      </c>
      <c r="F24" s="1">
        <f ca="1"/>
        <v>0</v>
      </c>
      <c r="G24" s="1">
        <f ca="1"/>
        <v>0</v>
      </c>
      <c r="H24" s="1">
        <f ca="1"/>
        <v>0</v>
      </c>
      <c r="I24" s="212">
        <f ca="1"/>
        <v>0</v>
      </c>
      <c r="J24" s="1">
        <v>0</v>
      </c>
      <c r="K24" s="1">
        <v>0</v>
      </c>
      <c r="L24" s="1">
        <v>0</v>
      </c>
      <c r="O24" s="1">
        <f ca="1">SUMPRODUCT(B24:L24,$B$2:$L$2)+INDEX(Indicators,MATCH(A24,Materials!$D:$D),MATCH("Truck (32+t)",Materials!$1:$1,0))*'Data Entry'!$C$64</f>
        <v>0</v>
      </c>
      <c r="P24" s="1">
        <f ca="1">SUMPRODUCT(B24:L24,$B$3:$L$3)+INDEX(Indicators,MATCH(A24,Materials!$D:$D),MATCH("Truck (32+t)",Materials!$1:$1,0))*'Data Entry'!$C$72</f>
        <v>0</v>
      </c>
      <c r="Q24" s="1">
        <f ca="1">SUMPRODUCT(B24:L24,$B$4:$L$4)+INDEX(Indicators,MATCH(A24,Materials!$D:$D),MATCH("Truck (32+t)",Materials!$1:$1,0))*'Data Entry'!$C$66+$AQ$16</f>
        <v>1.2286007609406925E-4</v>
      </c>
      <c r="R24" s="1">
        <f ca="1">SUMPRODUCT(B24:L24,$B$5:$L$5)+INDEX(Indicators,MATCH(A24,Materials!$D:$D),MATCH("Truck (32+t)",Materials!$1:$1,0))*'Data Entry'!$C$68+$AQ$16</f>
        <v>1.2286007609406925E-4</v>
      </c>
      <c r="S24" s="1">
        <f ca="1">SUMPRODUCT(B24:L24,$B$6:$L$6)+INDEX(Indicators,MATCH(A24,Materials!$D:$D),MATCH("Truck (32+t)",Materials!$1:$1,0))*'Data Entry'!$C$70+$AQ$16</f>
        <v>1.2286007609406925E-4</v>
      </c>
      <c r="T24" s="1">
        <f ca="1">SUMPRODUCT(B24:L24,$B$7:$L$7)+INDEX(Indicators,MATCH(A24,Materials!$D:$D),MATCH("Truck (32+t)",Materials!$1:$1,0))*'Data Entry'!$C$68+$AQ$16</f>
        <v>1.2286007609406925E-4</v>
      </c>
      <c r="U24" s="1">
        <f ca="1">SUMPRODUCT(B24:L24,$B$8:$L$8)+INDEX(Indicators,MATCH(A24,Materials!$D:$D),MATCH("Truck (32+t)",Materials!$1:$1,0))*'Data Entry'!$C$69+$AQ$16</f>
        <v>1.2286007609406925E-4</v>
      </c>
      <c r="V24" s="1">
        <f ca="1">SUMPRODUCT(B24:L24,$B$9:$L$9)+INDEX(Indicators,MATCH(A24,Materials!$D:$D),MATCH("Truck (32+t)",Materials!$1:$1,0))*'Data Entry'!$C$71</f>
        <v>0</v>
      </c>
      <c r="W24" s="1">
        <f ca="1">SUMPRODUCT(B24:L24,$B$10:$L$10)+INDEX(Indicators,MATCH(A24,Materials!$D:$D),MATCH("Truck (32+t)",Materials!$1:$1,0))*'Data Entry'!$C$72</f>
        <v>0</v>
      </c>
      <c r="Z24">
        <v>0</v>
      </c>
      <c r="AA24">
        <v>0</v>
      </c>
      <c r="AB24">
        <v>0</v>
      </c>
      <c r="AC24" s="209">
        <v>0</v>
      </c>
      <c r="AD24" s="209"/>
      <c r="AF24" cm="1">
        <f t="array" ref="AF24">SUMPRODUCT($AF$2:$AF$5, TRANSPOSE($Z24:$AC24))</f>
        <v>0</v>
      </c>
      <c r="AG24" cm="1">
        <f t="array" ref="AG24">SUMPRODUCT($AG$2:$AG$5, TRANSPOSE($Z24:$AC24))</f>
        <v>0</v>
      </c>
      <c r="AH24" cm="1">
        <f t="array" ref="AH24">SUMPRODUCT($AH$2:$AH$5, TRANSPOSE($Z24:$AC24))</f>
        <v>0</v>
      </c>
      <c r="AK24" t="s">
        <v>499</v>
      </c>
      <c r="AL24" t="s">
        <v>54</v>
      </c>
      <c r="AM24" cm="1">
        <f t="array" aca="1" ref="AM24" ca="1">IFERROR(($AM$2*INDEX(Indicators,MATCH($A24,INDEX(Indicators,0,4),0),MATCH($AK$2,INDEX(Indicators,1,0),0)))+($AM$3*INDEX(Indicators,MATCH($A24,INDEX(Indicators,0,4),0),MATCH($AK$3,INDEX(Indicators,1,0),0)))+(INDEX(Electricity_projection,MATCH(AL24&amp;AK24,INDEX(Electricity_projection,0,3),0),MATCH(YEAR(TODAY()),Timeline_elec_projec,0)+3)*$AM$4), 0)</f>
        <v>0</v>
      </c>
      <c r="AN24" cm="1">
        <f t="array" aca="1" ref="AN24" ca="1">IFERROR(($AN$2*INDEX(Indicators,MATCH($A24,INDEX(Indicators,0,4),0),MATCH($AK$2,INDEX(Indicators,1,0),0)))+($AN$3*INDEX(Indicators,MATCH($A24,INDEX(Indicators,0,4),0),MATCH($AK$3,INDEX(Indicators,1,0),0)))+(INDEX(Electricity_projection,MATCH(AL24&amp;AK24,INDEX(Electricity_projection,0,3),0),MATCH(YEAR(TODAY()),Timeline_elec_projec,0)+3)*$AN$4), 0)</f>
        <v>0</v>
      </c>
      <c r="AO24" cm="1">
        <f t="array" aca="1" ref="AO24" ca="1">IFERROR(($AO$2*INDEX(Indicators,MATCH($A24,INDEX(Indicators,0,4),0),MATCH($AK$2,INDEX(Indicators,1,0),0)))+($AO$3*INDEX(Indicators,MATCH($A24,INDEX(Indicators,0,4),0),MATCH($AK$3,INDEX(Indicators,1,0),0)))+(INDEX(Electricity_projection,MATCH(AL24&amp;AK24,INDEX(Electricity_projection,0,3),0),MATCH(YEAR(TODAY()),Timeline_elec_projec,0)+3)*$AO$4), 0)</f>
        <v>0</v>
      </c>
      <c r="AP24" cm="1">
        <f t="array" aca="1" ref="AP24" ca="1">IFERROR(($AP$2*INDEX(Indicators,MATCH($A24,INDEX(Indicators,0,4),0),MATCH($AK$2,INDEX(Indicators,1,0),0)))+($AP$3*INDEX(Indicators,MATCH($A24,INDEX(Indicators,0,4),0),MATCH($AK$3,INDEX(Indicators,1,0),0)))+(INDEX(Electricity_projection,MATCH(AL24&amp;AK24,INDEX(Electricity_projection,0,3),0),MATCH(YEAR(TODAY()),Timeline_elec_projec,0)+3)*$AP$4), 0)</f>
        <v>0</v>
      </c>
      <c r="AQ24">
        <f ca="1"/>
        <v>0</v>
      </c>
    </row>
    <row r="25" spans="1:43" x14ac:dyDescent="0.35">
      <c r="A25" t="str" cm="1">
        <f t="array" ref="A25">INDEX(Indicators,ROW()-9,4)</f>
        <v>A1AttributionalMER</v>
      </c>
      <c r="B25" s="540" cm="1">
        <f t="array" aca="1" ref="B25:I25" ca="1">INDEX(Indicators,ROW()-9,MATCH(Handle_Wearing_Course,Materials!$1:$1,0))</f>
        <v>0</v>
      </c>
      <c r="C25" s="1">
        <f ca="1"/>
        <v>0</v>
      </c>
      <c r="D25" s="1">
        <f ca="1"/>
        <v>0</v>
      </c>
      <c r="E25" s="1">
        <f ca="1"/>
        <v>0</v>
      </c>
      <c r="F25" s="1">
        <f ca="1"/>
        <v>0</v>
      </c>
      <c r="G25" s="1">
        <f ca="1"/>
        <v>0</v>
      </c>
      <c r="H25" s="1">
        <f ca="1"/>
        <v>0</v>
      </c>
      <c r="I25" s="212">
        <f ca="1"/>
        <v>0</v>
      </c>
      <c r="J25" s="1">
        <v>0</v>
      </c>
      <c r="K25" s="1">
        <v>0</v>
      </c>
      <c r="L25" s="1">
        <v>0</v>
      </c>
      <c r="O25" s="1">
        <f ca="1">SUMPRODUCT(B25:L25,$B$2:$L$2)+INDEX(Indicators,MATCH(A25,Materials!$D:$D),MATCH("Truck (32+t)",Materials!$1:$1,0))*'Data Entry'!$C$64</f>
        <v>0</v>
      </c>
      <c r="P25" s="1">
        <f ca="1">SUMPRODUCT(B25:L25,$B$3:$L$3)+INDEX(Indicators,MATCH(A25,Materials!$D:$D),MATCH("Truck (32+t)",Materials!$1:$1,0))*'Data Entry'!$C$72</f>
        <v>0</v>
      </c>
      <c r="Q25" s="1">
        <f ca="1">SUMPRODUCT(B25:L25,$B$4:$L$4)+INDEX(Indicators,MATCH(A25,Materials!$D:$D),MATCH("Truck (32+t)",Materials!$1:$1,0))*'Data Entry'!$C$66+$AQ$16</f>
        <v>1.2286007609406925E-4</v>
      </c>
      <c r="R25" s="1">
        <f ca="1">SUMPRODUCT(B25:L25,$B$5:$L$5)+INDEX(Indicators,MATCH(A25,Materials!$D:$D),MATCH("Truck (32+t)",Materials!$1:$1,0))*'Data Entry'!$C$68+$AQ$16</f>
        <v>1.2286007609406925E-4</v>
      </c>
      <c r="S25" s="1">
        <f ca="1">SUMPRODUCT(B25:L25,$B$6:$L$6)+INDEX(Indicators,MATCH(A25,Materials!$D:$D),MATCH("Truck (32+t)",Materials!$1:$1,0))*'Data Entry'!$C$70+$AQ$16</f>
        <v>1.2286007609406925E-4</v>
      </c>
      <c r="T25" s="1">
        <f ca="1">SUMPRODUCT(B25:L25,$B$7:$L$7)+INDEX(Indicators,MATCH(A25,Materials!$D:$D),MATCH("Truck (32+t)",Materials!$1:$1,0))*'Data Entry'!$C$68+$AQ$16</f>
        <v>1.2286007609406925E-4</v>
      </c>
      <c r="U25" s="1">
        <f ca="1">SUMPRODUCT(B25:L25,$B$8:$L$8)+INDEX(Indicators,MATCH(A25,Materials!$D:$D),MATCH("Truck (32+t)",Materials!$1:$1,0))*'Data Entry'!$C$69+$AQ$16</f>
        <v>1.2286007609406925E-4</v>
      </c>
      <c r="V25" s="1">
        <f ca="1">SUMPRODUCT(B25:L25,$B$9:$L$9)+INDEX(Indicators,MATCH(A25,Materials!$D:$D),MATCH("Truck (32+t)",Materials!$1:$1,0))*'Data Entry'!$C$71</f>
        <v>0</v>
      </c>
      <c r="W25" s="1">
        <f ca="1">SUMPRODUCT(B25:L25,$B$10:$L$10)+INDEX(Indicators,MATCH(A25,Materials!$D:$D),MATCH("Truck (32+t)",Materials!$1:$1,0))*'Data Entry'!$C$72</f>
        <v>0</v>
      </c>
      <c r="Z25">
        <v>0</v>
      </c>
      <c r="AA25">
        <v>0</v>
      </c>
      <c r="AB25">
        <v>0</v>
      </c>
      <c r="AC25" s="209">
        <v>0</v>
      </c>
      <c r="AD25" s="209"/>
      <c r="AF25" cm="1">
        <f t="array" ref="AF25">SUMPRODUCT($AF$2:$AF$5, TRANSPOSE($Z25:$AC25))</f>
        <v>0</v>
      </c>
      <c r="AG25" cm="1">
        <f t="array" ref="AG25">SUMPRODUCT($AG$2:$AG$5, TRANSPOSE($Z25:$AC25))</f>
        <v>0</v>
      </c>
      <c r="AH25" cm="1">
        <f t="array" ref="AH25">SUMPRODUCT($AH$2:$AH$5, TRANSPOSE($Z25:$AC25))</f>
        <v>0</v>
      </c>
      <c r="AK25" t="s">
        <v>501</v>
      </c>
      <c r="AL25" t="s">
        <v>54</v>
      </c>
      <c r="AM25" cm="1">
        <f t="array" aca="1" ref="AM25" ca="1">IFERROR(($AM$2*INDEX(Indicators,MATCH($A25,INDEX(Indicators,0,4),0),MATCH($AK$2,INDEX(Indicators,1,0),0)))+($AM$3*INDEX(Indicators,MATCH($A25,INDEX(Indicators,0,4),0),MATCH($AK$3,INDEX(Indicators,1,0),0)))+(INDEX(Electricity_projection,MATCH(AL25&amp;AK25,INDEX(Electricity_projection,0,3),0),MATCH(YEAR(TODAY()),Timeline_elec_projec,0)+3)*$AM$4), 0)</f>
        <v>0</v>
      </c>
      <c r="AN25" cm="1">
        <f t="array" aca="1" ref="AN25" ca="1">IFERROR(($AN$2*INDEX(Indicators,MATCH($A25,INDEX(Indicators,0,4),0),MATCH($AK$2,INDEX(Indicators,1,0),0)))+($AN$3*INDEX(Indicators,MATCH($A25,INDEX(Indicators,0,4),0),MATCH($AK$3,INDEX(Indicators,1,0),0)))+(INDEX(Electricity_projection,MATCH(AL25&amp;AK25,INDEX(Electricity_projection,0,3),0),MATCH(YEAR(TODAY()),Timeline_elec_projec,0)+3)*$AN$4), 0)</f>
        <v>0</v>
      </c>
      <c r="AO25" cm="1">
        <f t="array" aca="1" ref="AO25" ca="1">IFERROR(($AO$2*INDEX(Indicators,MATCH($A25,INDEX(Indicators,0,4),0),MATCH($AK$2,INDEX(Indicators,1,0),0)))+($AO$3*INDEX(Indicators,MATCH($A25,INDEX(Indicators,0,4),0),MATCH($AK$3,INDEX(Indicators,1,0),0)))+(INDEX(Electricity_projection,MATCH(AL25&amp;AK25,INDEX(Electricity_projection,0,3),0),MATCH(YEAR(TODAY()),Timeline_elec_projec,0)+3)*$AO$4), 0)</f>
        <v>0</v>
      </c>
      <c r="AP25" cm="1">
        <f t="array" aca="1" ref="AP25" ca="1">IFERROR(($AP$2*INDEX(Indicators,MATCH($A25,INDEX(Indicators,0,4),0),MATCH($AK$2,INDEX(Indicators,1,0),0)))+($AP$3*INDEX(Indicators,MATCH($A25,INDEX(Indicators,0,4),0),MATCH($AK$3,INDEX(Indicators,1,0),0)))+(INDEX(Electricity_projection,MATCH(AL25&amp;AK25,INDEX(Electricity_projection,0,3),0),MATCH(YEAR(TODAY()),Timeline_elec_projec,0)+3)*$AP$4), 0)</f>
        <v>0</v>
      </c>
      <c r="AQ25">
        <f ca="1"/>
        <v>0</v>
      </c>
    </row>
    <row r="26" spans="1:43" x14ac:dyDescent="0.35">
      <c r="A26" t="str" cm="1">
        <f t="array" ref="A26">INDEX(Indicators,ROW()-9,4)</f>
        <v>A1AttributionalMFR</v>
      </c>
      <c r="B26" s="540" cm="1">
        <f t="array" aca="1" ref="B26:I26" ca="1">INDEX(Indicators,ROW()-9,MATCH(Handle_Wearing_Course,Materials!$1:$1,0))</f>
        <v>0</v>
      </c>
      <c r="C26" s="1">
        <f ca="1"/>
        <v>0</v>
      </c>
      <c r="D26" s="1">
        <f ca="1"/>
        <v>0</v>
      </c>
      <c r="E26" s="1">
        <f ca="1"/>
        <v>0</v>
      </c>
      <c r="F26" s="1">
        <f ca="1"/>
        <v>0</v>
      </c>
      <c r="G26" s="1">
        <f ca="1"/>
        <v>0</v>
      </c>
      <c r="H26" s="1">
        <f ca="1"/>
        <v>0</v>
      </c>
      <c r="I26" s="212">
        <f ca="1"/>
        <v>0</v>
      </c>
      <c r="J26" s="1">
        <v>0</v>
      </c>
      <c r="K26" s="1">
        <v>0</v>
      </c>
      <c r="L26" s="1">
        <v>0</v>
      </c>
      <c r="O26" s="1">
        <f ca="1">SUMPRODUCT(B26:L26,$B$2:$L$2)+INDEX(Indicators,MATCH(A26,Materials!$D:$D),MATCH("Truck (32+t)",Materials!$1:$1,0))*'Data Entry'!$C$64</f>
        <v>0</v>
      </c>
      <c r="P26" s="1">
        <f ca="1">SUMPRODUCT(B26:L26,$B$3:$L$3)+INDEX(Indicators,MATCH(A26,Materials!$D:$D),MATCH("Truck (32+t)",Materials!$1:$1,0))*'Data Entry'!$C$72</f>
        <v>0</v>
      </c>
      <c r="Q26" s="1">
        <f ca="1">SUMPRODUCT(B26:L26,$B$4:$L$4)+INDEX(Indicators,MATCH(A26,Materials!$D:$D),MATCH("Truck (32+t)",Materials!$1:$1,0))*'Data Entry'!$C$66+$AQ$16</f>
        <v>1.2286007609406925E-4</v>
      </c>
      <c r="R26" s="1">
        <f ca="1">SUMPRODUCT(B26:L26,$B$5:$L$5)+INDEX(Indicators,MATCH(A26,Materials!$D:$D),MATCH("Truck (32+t)",Materials!$1:$1,0))*'Data Entry'!$C$68+$AQ$16</f>
        <v>1.2286007609406925E-4</v>
      </c>
      <c r="S26" s="1">
        <f ca="1">SUMPRODUCT(B26:L26,$B$6:$L$6)+INDEX(Indicators,MATCH(A26,Materials!$D:$D),MATCH("Truck (32+t)",Materials!$1:$1,0))*'Data Entry'!$C$70+$AQ$16</f>
        <v>1.2286007609406925E-4</v>
      </c>
      <c r="T26" s="1">
        <f ca="1">SUMPRODUCT(B26:L26,$B$7:$L$7)+INDEX(Indicators,MATCH(A26,Materials!$D:$D),MATCH("Truck (32+t)",Materials!$1:$1,0))*'Data Entry'!$C$68+$AQ$16</f>
        <v>1.2286007609406925E-4</v>
      </c>
      <c r="U26" s="1">
        <f ca="1">SUMPRODUCT(B26:L26,$B$8:$L$8)+INDEX(Indicators,MATCH(A26,Materials!$D:$D),MATCH("Truck (32+t)",Materials!$1:$1,0))*'Data Entry'!$C$69+$AQ$16</f>
        <v>1.2286007609406925E-4</v>
      </c>
      <c r="V26" s="1">
        <f ca="1">SUMPRODUCT(B26:L26,$B$9:$L$9)+INDEX(Indicators,MATCH(A26,Materials!$D:$D),MATCH("Truck (32+t)",Materials!$1:$1,0))*'Data Entry'!$C$71</f>
        <v>0</v>
      </c>
      <c r="W26" s="1">
        <f ca="1">SUMPRODUCT(B26:L26,$B$10:$L$10)+INDEX(Indicators,MATCH(A26,Materials!$D:$D),MATCH("Truck (32+t)",Materials!$1:$1,0))*'Data Entry'!$C$72</f>
        <v>0</v>
      </c>
      <c r="Z26">
        <v>0</v>
      </c>
      <c r="AA26">
        <v>0</v>
      </c>
      <c r="AB26">
        <v>0</v>
      </c>
      <c r="AC26" s="209">
        <v>0</v>
      </c>
      <c r="AD26" s="209"/>
      <c r="AF26" cm="1">
        <f t="array" ref="AF26">SUMPRODUCT($AF$2:$AF$5, TRANSPOSE($Z26:$AC26))</f>
        <v>0</v>
      </c>
      <c r="AG26" cm="1">
        <f t="array" ref="AG26">SUMPRODUCT($AG$2:$AG$5, TRANSPOSE($Z26:$AC26))</f>
        <v>0</v>
      </c>
      <c r="AH26" cm="1">
        <f t="array" ref="AH26">SUMPRODUCT($AH$2:$AH$5, TRANSPOSE($Z26:$AC26))</f>
        <v>0</v>
      </c>
      <c r="AK26" t="s">
        <v>503</v>
      </c>
      <c r="AL26" t="s">
        <v>54</v>
      </c>
      <c r="AM26" cm="1">
        <f t="array" aca="1" ref="AM26" ca="1">IFERROR(($AM$2*INDEX(Indicators,MATCH($A26,INDEX(Indicators,0,4),0),MATCH($AK$2,INDEX(Indicators,1,0),0)))+($AM$3*INDEX(Indicators,MATCH($A26,INDEX(Indicators,0,4),0),MATCH($AK$3,INDEX(Indicators,1,0),0)))+(INDEX(Electricity_projection,MATCH(AL26&amp;AK26,INDEX(Electricity_projection,0,3),0),MATCH(YEAR(TODAY()),Timeline_elec_projec,0)+3)*$AM$4), 0)</f>
        <v>0</v>
      </c>
      <c r="AN26" cm="1">
        <f t="array" aca="1" ref="AN26" ca="1">IFERROR(($AN$2*INDEX(Indicators,MATCH($A26,INDEX(Indicators,0,4),0),MATCH($AK$2,INDEX(Indicators,1,0),0)))+($AN$3*INDEX(Indicators,MATCH($A26,INDEX(Indicators,0,4),0),MATCH($AK$3,INDEX(Indicators,1,0),0)))+(INDEX(Electricity_projection,MATCH(AL26&amp;AK26,INDEX(Electricity_projection,0,3),0),MATCH(YEAR(TODAY()),Timeline_elec_projec,0)+3)*$AN$4), 0)</f>
        <v>0</v>
      </c>
      <c r="AO26" cm="1">
        <f t="array" aca="1" ref="AO26" ca="1">IFERROR(($AO$2*INDEX(Indicators,MATCH($A26,INDEX(Indicators,0,4),0),MATCH($AK$2,INDEX(Indicators,1,0),0)))+($AO$3*INDEX(Indicators,MATCH($A26,INDEX(Indicators,0,4),0),MATCH($AK$3,INDEX(Indicators,1,0),0)))+(INDEX(Electricity_projection,MATCH(AL26&amp;AK26,INDEX(Electricity_projection,0,3),0),MATCH(YEAR(TODAY()),Timeline_elec_projec,0)+3)*$AO$4), 0)</f>
        <v>0</v>
      </c>
      <c r="AP26" cm="1">
        <f t="array" aca="1" ref="AP26" ca="1">IFERROR(($AP$2*INDEX(Indicators,MATCH($A26,INDEX(Indicators,0,4),0),MATCH($AK$2,INDEX(Indicators,1,0),0)))+($AP$3*INDEX(Indicators,MATCH($A26,INDEX(Indicators,0,4),0),MATCH($AK$3,INDEX(Indicators,1,0),0)))+(INDEX(Electricity_projection,MATCH(AL26&amp;AK26,INDEX(Electricity_projection,0,3),0),MATCH(YEAR(TODAY()),Timeline_elec_projec,0)+3)*$AP$4), 0)</f>
        <v>0</v>
      </c>
      <c r="AQ26">
        <f ca="1"/>
        <v>0</v>
      </c>
    </row>
    <row r="27" spans="1:43" x14ac:dyDescent="0.35">
      <c r="A27" t="str" cm="1">
        <f t="array" ref="A27">INDEX(Indicators,ROW()-9,4)</f>
        <v>A1AttributionalPENRT</v>
      </c>
      <c r="B27" s="540" cm="1">
        <f t="array" aca="1" ref="B27:I27" ca="1">INDEX(Indicators,ROW()-9,MATCH(Handle_Wearing_Course,Materials!$1:$1,0))</f>
        <v>5.1265138357380002E-2</v>
      </c>
      <c r="C27" s="1">
        <f ca="1"/>
        <v>3.3839408657519998E-2</v>
      </c>
      <c r="D27" s="1">
        <f ca="1"/>
        <v>3.2552436727799991E-2</v>
      </c>
      <c r="E27" s="1">
        <f ca="1"/>
        <v>45.545737910964149</v>
      </c>
      <c r="F27" s="1">
        <f ca="1"/>
        <v>2.86</v>
      </c>
      <c r="G27" s="1">
        <f ca="1"/>
        <v>2.0200000000000001E-3</v>
      </c>
      <c r="H27" s="1">
        <f ca="1"/>
        <v>49.4</v>
      </c>
      <c r="I27" s="212">
        <f ca="1"/>
        <v>49.401332000000011</v>
      </c>
      <c r="J27" s="1">
        <v>50.600138000000001</v>
      </c>
      <c r="K27" s="1">
        <v>49.401332000000011</v>
      </c>
      <c r="L27" s="1">
        <v>49.401332000000011</v>
      </c>
      <c r="O27" s="1">
        <f ca="1">SUMPRODUCT(B27:L27,$B$2:$L$2)+INDEX(Indicators,MATCH(A27,Materials!$D:$D),MATCH("Truck (32+t)",Materials!$1:$1,0))*'Data Entry'!$C$64</f>
        <v>2.780933504713786</v>
      </c>
      <c r="P27" s="1">
        <f ca="1">SUMPRODUCT(B27:L27,$B$3:$L$3)+INDEX(Indicators,MATCH(A27,Materials!$D:$D),MATCH("Truck (32+t)",Materials!$1:$1,0))*'Data Entry'!$C$72</f>
        <v>3.0841975100559371</v>
      </c>
      <c r="Q27" s="1">
        <f ca="1">SUMPRODUCT(B27:L27,$B$4:$L$4)+INDEX(Indicators,MATCH(A27,Materials!$D:$D),MATCH("Truck (32+t)",Materials!$1:$1,0))*'Data Entry'!$C$66+$AQ$16</f>
        <v>3.2285160118641163</v>
      </c>
      <c r="R27" s="1">
        <f ca="1">SUMPRODUCT(B27:L27,$B$5:$L$5)+INDEX(Indicators,MATCH(A27,Materials!$D:$D),MATCH("Truck (32+t)",Materials!$1:$1,0))*'Data Entry'!$C$68+$AQ$16</f>
        <v>3.2959889084222436</v>
      </c>
      <c r="S27" s="1">
        <f ca="1">SUMPRODUCT(B27:L27,$B$6:$L$6)+INDEX(Indicators,MATCH(A27,Materials!$D:$D),MATCH("Truck (32+t)",Materials!$1:$1,0))*'Data Entry'!$C$70+$AQ$16</f>
        <v>2.7810563647898801</v>
      </c>
      <c r="T27" s="1">
        <f ca="1">SUMPRODUCT(B27:L27,$B$7:$L$7)+INDEX(Indicators,MATCH(A27,Materials!$D:$D),MATCH("Truck (32+t)",Materials!$1:$1,0))*'Data Entry'!$C$68+$AQ$16</f>
        <v>2.8388902761254178</v>
      </c>
      <c r="U27" s="1">
        <f ca="1">SUMPRODUCT(B27:L27,$B$8:$L$8)+INDEX(Indicators,MATCH(A27,Materials!$D:$D),MATCH("Truck (32+t)",Materials!$1:$1,0))*'Data Entry'!$C$69+$AQ$16</f>
        <v>2.3261116370638129</v>
      </c>
      <c r="V27" s="1">
        <f ca="1">SUMPRODUCT(B27:L27,$B$9:$L$9)+INDEX(Indicators,MATCH(A27,Materials!$D:$D),MATCH("Truck (32+t)",Materials!$1:$1,0))*'Data Entry'!$C$71</f>
        <v>1.8576460565242499</v>
      </c>
      <c r="W27" s="1">
        <f ca="1">SUMPRODUCT(B27:L27,$B$10:$L$10)+INDEX(Indicators,MATCH(A27,Materials!$D:$D),MATCH("Truck (32+t)",Materials!$1:$1,0))*'Data Entry'!$C$72</f>
        <v>1.9168666000000001</v>
      </c>
      <c r="Z27">
        <v>101.31142</v>
      </c>
      <c r="AA27">
        <v>5.99397</v>
      </c>
      <c r="AB27">
        <v>111.98959000000001</v>
      </c>
      <c r="AC27" s="209">
        <v>47.003720000000001</v>
      </c>
      <c r="AD27" s="209"/>
      <c r="AF27" cm="1">
        <f t="array" ref="AF27">SUMPRODUCT($AF$2:$AF$5, TRANSPOSE($Z27:$AC27))</f>
        <v>50.600138000000001</v>
      </c>
      <c r="AG27" cm="1">
        <f t="array" ref="AG27">SUMPRODUCT($AG$2:$AG$5, TRANSPOSE($Z27:$AC27))</f>
        <v>49.401332000000011</v>
      </c>
      <c r="AH27" cm="1">
        <f t="array" ref="AH27">SUMPRODUCT($AH$2:$AH$5, TRANSPOSE($Z27:$AC27))</f>
        <v>49.401332000000011</v>
      </c>
      <c r="AK27" t="s">
        <v>409</v>
      </c>
      <c r="AL27" t="s">
        <v>54</v>
      </c>
      <c r="AM27" cm="1">
        <f t="array" aca="1" ref="AM27" ca="1">IFERROR(($AM$2*INDEX(Indicators,MATCH($A27,INDEX(Indicators,0,4),0),MATCH($AK$2,INDEX(Indicators,1,0),0)))+($AM$3*INDEX(Indicators,MATCH($A27,INDEX(Indicators,0,4),0),MATCH($AK$3,INDEX(Indicators,1,0),0)))+(INDEX(Electricity_projection,MATCH(AL27&amp;AK27,INDEX(Electricity_projection,0,3),0),MATCH(YEAR(TODAY()),Timeline_elec_projec,0)+3)*$AM$4), 0)</f>
        <v>0.35748310443023401</v>
      </c>
      <c r="AN27" cm="1">
        <f t="array" aca="1" ref="AN27" ca="1">IFERROR(($AN$2*INDEX(Indicators,MATCH($A27,INDEX(Indicators,0,4),0),MATCH($AK$2,INDEX(Indicators,1,0),0)))+($AN$3*INDEX(Indicators,MATCH($A27,INDEX(Indicators,0,4),0),MATCH($AK$3,INDEX(Indicators,1,0),0)))+(INDEX(Electricity_projection,MATCH(AL27&amp;AK27,INDEX(Electricity_projection,0,3),0),MATCH(YEAR(TODAY()),Timeline_elec_projec,0)+3)*$AN$4), 0)</f>
        <v>0.31677273296530351</v>
      </c>
      <c r="AO27" cm="1">
        <f t="array" aca="1" ref="AO27" ca="1">IFERROR(($AO$2*INDEX(Indicators,MATCH($A27,INDEX(Indicators,0,4),0),MATCH($AK$2,INDEX(Indicators,1,0),0)))+($AO$3*INDEX(Indicators,MATCH($A27,INDEX(Indicators,0,4),0),MATCH($AK$3,INDEX(Indicators,1,0),0)))+(INDEX(Electricity_projection,MATCH(AL27&amp;AK27,INDEX(Electricity_projection,0,3),0),MATCH(YEAR(TODAY()),Timeline_elec_projec,0)+3)*$AO$4), 0)</f>
        <v>0.42105954031410375</v>
      </c>
      <c r="AP27" cm="1">
        <f t="array" aca="1" ref="AP27" ca="1">IFERROR(($AP$2*INDEX(Indicators,MATCH($A27,INDEX(Indicators,0,4),0),MATCH($AK$2,INDEX(Indicators,1,0),0)))+($AP$3*INDEX(Indicators,MATCH($A27,INDEX(Indicators,0,4),0),MATCH($AK$3,INDEX(Indicators,1,0),0)))+(INDEX(Electricity_projection,MATCH(AL27&amp;AK27,INDEX(Electricity_projection,0,3),0),MATCH(YEAR(TODAY()),Timeline_elec_projec,0)+3)*$AP$4), 0)</f>
        <v>0.36159369031410382</v>
      </c>
      <c r="AQ27">
        <f ca="1"/>
        <v>0.35748310443023401</v>
      </c>
    </row>
    <row r="28" spans="1:43" x14ac:dyDescent="0.35">
      <c r="A28" t="str" cm="1">
        <f t="array" ref="A28">INDEX(Indicators,ROW()-9,4)</f>
        <v>A1AttributionalPERT</v>
      </c>
      <c r="B28" s="540" cm="1">
        <f t="array" aca="1" ref="B28:I28" ca="1">INDEX(Indicators,ROW()-9,MATCH(Handle_Wearing_Course,Materials!$1:$1,0))</f>
        <v>5.9537555943800016E-3</v>
      </c>
      <c r="C28" s="1">
        <f ca="1"/>
        <v>6.3819398055200002E-3</v>
      </c>
      <c r="D28" s="1">
        <f ca="1"/>
        <v>2.4417861197800001E-2</v>
      </c>
      <c r="E28" s="1">
        <f ca="1"/>
        <v>9.0389676197350027E-2</v>
      </c>
      <c r="F28" s="1">
        <f ca="1"/>
        <v>0.69799999999999995</v>
      </c>
      <c r="G28" s="1">
        <f ca="1"/>
        <v>1.14E-3</v>
      </c>
      <c r="H28" s="1">
        <f ca="1"/>
        <v>6.83</v>
      </c>
      <c r="I28" s="212">
        <f ca="1"/>
        <v>0.42964800000000003</v>
      </c>
      <c r="J28" s="1">
        <v>0.58805699999999994</v>
      </c>
      <c r="K28" s="1">
        <v>0.42964800000000003</v>
      </c>
      <c r="L28" s="1">
        <v>0.42964800000000003</v>
      </c>
      <c r="O28" s="1">
        <f ca="1">SUMPRODUCT(B28:L28,$B$2:$L$2)+INDEX(Indicators,MATCH(A28,Materials!$D:$D),MATCH("Truck (32+t)",Materials!$1:$1,0))*'Data Entry'!$C$64</f>
        <v>1.1019910830558203E-2</v>
      </c>
      <c r="P28" s="1">
        <f ca="1">SUMPRODUCT(B28:L28,$B$3:$L$3)+INDEX(Indicators,MATCH(A28,Materials!$D:$D),MATCH("Truck (32+t)",Materials!$1:$1,0))*'Data Entry'!$C$72</f>
        <v>4.0879950258717199E-2</v>
      </c>
      <c r="Q28" s="1">
        <f ca="1">SUMPRODUCT(B28:L28,$B$4:$L$4)+INDEX(Indicators,MATCH(A28,Materials!$D:$D),MATCH("Truck (32+t)",Materials!$1:$1,0))*'Data Entry'!$C$66+$AQ$16</f>
        <v>1.9372772354049977E-2</v>
      </c>
      <c r="R28" s="1">
        <f ca="1">SUMPRODUCT(B28:L28,$B$5:$L$5)+INDEX(Indicators,MATCH(A28,Materials!$D:$D),MATCH("Truck (32+t)",Materials!$1:$1,0))*'Data Entry'!$C$68+$AQ$16</f>
        <v>2.5309793020596352E-2</v>
      </c>
      <c r="S28" s="1">
        <f ca="1">SUMPRODUCT(B28:L28,$B$6:$L$6)+INDEX(Indicators,MATCH(A28,Materials!$D:$D),MATCH("Truck (32+t)",Materials!$1:$1,0))*'Data Entry'!$C$70+$AQ$16</f>
        <v>1.1142770906652272E-2</v>
      </c>
      <c r="T28" s="1">
        <f ca="1">SUMPRODUCT(B28:L28,$B$7:$L$7)+INDEX(Indicators,MATCH(A28,Materials!$D:$D),MATCH("Truck (32+t)",Materials!$1:$1,0))*'Data Entry'!$C$68+$AQ$16</f>
        <v>1.6231645763692022E-2</v>
      </c>
      <c r="U28" s="1">
        <f ca="1">SUMPRODUCT(B28:L28,$B$8:$L$8)+INDEX(Indicators,MATCH(A28,Materials!$D:$D),MATCH("Truck (32+t)",Materials!$1:$1,0))*'Data Entry'!$C$69+$AQ$16</f>
        <v>1.0298411700622572E-2</v>
      </c>
      <c r="V28" s="1">
        <f ca="1">SUMPRODUCT(B28:L28,$B$9:$L$9)+INDEX(Indicators,MATCH(A28,Materials!$D:$D),MATCH("Truck (32+t)",Materials!$1:$1,0))*'Data Entry'!$C$71</f>
        <v>0.29669145003675002</v>
      </c>
      <c r="W28" s="1">
        <f ca="1">SUMPRODUCT(B28:L28,$B$10:$L$10)+INDEX(Indicators,MATCH(A28,Materials!$D:$D),MATCH("Truck (32+t)",Materials!$1:$1,0))*'Data Entry'!$C$72</f>
        <v>0.46803620000000001</v>
      </c>
      <c r="Z28">
        <v>2.1498599999999999</v>
      </c>
      <c r="AA28">
        <v>0.29894999999999999</v>
      </c>
      <c r="AB28">
        <v>3.0948899999999999</v>
      </c>
      <c r="AC28" s="209">
        <v>0.11283</v>
      </c>
      <c r="AD28" s="209"/>
      <c r="AF28" cm="1">
        <f t="array" ref="AF28">SUMPRODUCT($AF$2:$AF$5, TRANSPOSE($Z28:$AC28))</f>
        <v>0.58805699999999994</v>
      </c>
      <c r="AG28" cm="1">
        <f t="array" ref="AG28">SUMPRODUCT($AG$2:$AG$5, TRANSPOSE($Z28:$AC28))</f>
        <v>0.42964800000000003</v>
      </c>
      <c r="AH28" cm="1">
        <f t="array" ref="AH28">SUMPRODUCT($AH$2:$AH$5, TRANSPOSE($Z28:$AC28))</f>
        <v>0.42964800000000003</v>
      </c>
      <c r="AK28" t="s">
        <v>411</v>
      </c>
      <c r="AL28" t="s">
        <v>54</v>
      </c>
      <c r="AM28" cm="1">
        <f t="array" aca="1" ref="AM28" ca="1">IFERROR(($AM$2*INDEX(Indicators,MATCH($A28,INDEX(Indicators,0,4),0),MATCH($AK$2,INDEX(Indicators,1,0),0)))+($AM$3*INDEX(Indicators,MATCH($A28,INDEX(Indicators,0,4),0),MATCH($AK$3,INDEX(Indicators,1,0),0)))+(INDEX(Electricity_projection,MATCH(AL28&amp;AK28,INDEX(Electricity_projection,0,3),0),MATCH(YEAR(TODAY()),Timeline_elec_projec,0)+3)*$AM$4), 0)</f>
        <v>2.4450678322971521E-2</v>
      </c>
      <c r="AN28" cm="1">
        <f t="array" aca="1" ref="AN28" ca="1">IFERROR(($AN$2*INDEX(Indicators,MATCH($A28,INDEX(Indicators,0,4),0),MATCH($AK$2,INDEX(Indicators,1,0),0)))+($AN$3*INDEX(Indicators,MATCH($A28,INDEX(Indicators,0,4),0),MATCH($AK$3,INDEX(Indicators,1,0),0)))+(INDEX(Electricity_projection,MATCH(AL28&amp;AK28,INDEX(Electricity_projection,0,3),0),MATCH(YEAR(TODAY()),Timeline_elec_projec,0)+3)*$AN$4), 0)</f>
        <v>3.7430153475455703E-2</v>
      </c>
      <c r="AO28" cm="1">
        <f t="array" aca="1" ref="AO28" ca="1">IFERROR(($AO$2*INDEX(Indicators,MATCH($A28,INDEX(Indicators,0,4),0),MATCH($AK$2,INDEX(Indicators,1,0),0)))+($AO$3*INDEX(Indicators,MATCH($A28,INDEX(Indicators,0,4),0),MATCH($AK$3,INDEX(Indicators,1,0),0)))+(INDEX(Electricity_projection,MATCH(AL28&amp;AK28,INDEX(Electricity_projection,0,3),0),MATCH(YEAR(TODAY()),Timeline_elec_projec,0)+3)*$AO$4), 0)</f>
        <v>2.7217424114591889E-2</v>
      </c>
      <c r="AP28" cm="1">
        <f t="array" aca="1" ref="AP28" ca="1">IFERROR(($AP$2*INDEX(Indicators,MATCH($A28,INDEX(Indicators,0,4),0),MATCH($AK$2,INDEX(Indicators,1,0),0)))+($AP$3*INDEX(Indicators,MATCH($A28,INDEX(Indicators,0,4),0),MATCH($AK$3,INDEX(Indicators,1,0),0)))+(INDEX(Electricity_projection,MATCH(AL28&amp;AK28,INDEX(Electricity_projection,0,3),0),MATCH(YEAR(TODAY()),Timeline_elec_projec,0)+3)*$AP$4), 0)</f>
        <v>2.670532301459189E-2</v>
      </c>
      <c r="AQ28">
        <f ca="1"/>
        <v>2.4450678322971521E-2</v>
      </c>
    </row>
    <row r="29" spans="1:43" x14ac:dyDescent="0.35">
      <c r="A29" t="str" cm="1">
        <f t="array" ref="A29">INDEX(Indicators,ROW()-9,4)</f>
        <v>A1AttributionalFW</v>
      </c>
      <c r="B29" s="540" cm="1">
        <f t="array" aca="1" ref="B29:I29" ca="1">INDEX(Indicators,ROW()-9,MATCH(Handle_Wearing_Course,Materials!$1:$1,0))</f>
        <v>2.6975127006899999E-3</v>
      </c>
      <c r="C29" s="1">
        <f ca="1"/>
        <v>2.7171161676000001E-4</v>
      </c>
      <c r="D29" s="1">
        <f ca="1"/>
        <v>1.4199618389999999E-4</v>
      </c>
      <c r="E29" s="1">
        <f ca="1"/>
        <v>0.42016234469270081</v>
      </c>
      <c r="F29" s="1">
        <f ca="1"/>
        <v>2.0100000000000001E-3</v>
      </c>
      <c r="G29" s="1">
        <f ca="1"/>
        <v>7.5500000000000003E-3</v>
      </c>
      <c r="H29" s="1">
        <f ca="1"/>
        <v>4.5400000000000003E-2</v>
      </c>
      <c r="I29" s="212">
        <f ca="1"/>
        <v>1.842991</v>
      </c>
      <c r="J29" s="1">
        <v>2.5121264999999999</v>
      </c>
      <c r="K29" s="1">
        <v>1.842991</v>
      </c>
      <c r="L29" s="1">
        <v>1.842991</v>
      </c>
      <c r="O29" s="1">
        <f ca="1">SUMPRODUCT(B29:L29,$B$2:$L$2)+INDEX(Indicators,MATCH(A29,Materials!$D:$D),MATCH("Truck (32+t)",Materials!$1:$1,0))*'Data Entry'!$C$64</f>
        <v>2.7745402620210649E-2</v>
      </c>
      <c r="P29" s="1">
        <f ca="1">SUMPRODUCT(B29:L29,$B$3:$L$3)+INDEX(Indicators,MATCH(A29,Materials!$D:$D),MATCH("Truck (32+t)",Materials!$1:$1,0))*'Data Entry'!$C$72</f>
        <v>0.15326325193864859</v>
      </c>
      <c r="Q29" s="1">
        <f ca="1">SUMPRODUCT(B29:L29,$B$4:$L$4)+INDEX(Indicators,MATCH(A29,Materials!$D:$D),MATCH("Truck (32+t)",Materials!$1:$1,0))*'Data Entry'!$C$66+$AQ$16</f>
        <v>3.1020704409508829E-2</v>
      </c>
      <c r="R29" s="1">
        <f ca="1">SUMPRODUCT(B29:L29,$B$5:$L$5)+INDEX(Indicators,MATCH(A29,Materials!$D:$D),MATCH("Truck (32+t)",Materials!$1:$1,0))*'Data Entry'!$C$68+$AQ$16</f>
        <v>5.5920205877386567E-2</v>
      </c>
      <c r="S29" s="1">
        <f ca="1">SUMPRODUCT(B29:L29,$B$6:$L$6)+INDEX(Indicators,MATCH(A29,Materials!$D:$D),MATCH("Truck (32+t)",Materials!$1:$1,0))*'Data Entry'!$C$70+$AQ$16</f>
        <v>2.786826269630472E-2</v>
      </c>
      <c r="T29" s="1">
        <f ca="1">SUMPRODUCT(B29:L29,$B$7:$L$7)+INDEX(Indicators,MATCH(A29,Materials!$D:$D),MATCH("Truck (32+t)",Materials!$1:$1,0))*'Data Entry'!$C$68+$AQ$16</f>
        <v>4.9210692525914208E-2</v>
      </c>
      <c r="U29" s="1">
        <f ca="1">SUMPRODUCT(B29:L29,$B$8:$L$8)+INDEX(Indicators,MATCH(A29,Materials!$D:$D),MATCH("Truck (32+t)",Materials!$1:$1,0))*'Data Entry'!$C$69+$AQ$16</f>
        <v>2.3693614376384613E-2</v>
      </c>
      <c r="V29" s="1">
        <f ca="1">SUMPRODUCT(B29:L29,$B$9:$L$9)+INDEX(Indicators,MATCH(A29,Materials!$D:$D),MATCH("Truck (32+t)",Materials!$1:$1,0))*'Data Entry'!$C$71</f>
        <v>4.112855587125E-3</v>
      </c>
      <c r="W29" s="1">
        <f ca="1">SUMPRODUCT(B29:L29,$B$10:$L$10)+INDEX(Indicators,MATCH(A29,Materials!$D:$D),MATCH("Truck (32+t)",Materials!$1:$1,0))*'Data Entry'!$C$72</f>
        <v>3.8382000000000004E-3</v>
      </c>
      <c r="Z29">
        <v>9.2210999999999999</v>
      </c>
      <c r="AA29">
        <v>1.4611799999999999</v>
      </c>
      <c r="AB29">
        <v>12.93097</v>
      </c>
      <c r="AC29" s="209">
        <v>0.50471999999999995</v>
      </c>
      <c r="AD29" s="209"/>
      <c r="AF29" cm="1">
        <f t="array" ref="AF29">SUMPRODUCT($AF$2:$AF$5, TRANSPOSE($Z29:$AC29))</f>
        <v>2.5121264999999999</v>
      </c>
      <c r="AG29" cm="1">
        <f t="array" ref="AG29">SUMPRODUCT($AG$2:$AG$5, TRANSPOSE($Z29:$AC29))</f>
        <v>1.842991</v>
      </c>
      <c r="AH29" cm="1">
        <f t="array" ref="AH29">SUMPRODUCT($AH$2:$AH$5, TRANSPOSE($Z29:$AC29))</f>
        <v>1.842991</v>
      </c>
      <c r="AK29" t="s">
        <v>413</v>
      </c>
      <c r="AL29" t="s">
        <v>54</v>
      </c>
      <c r="AM29" cm="1">
        <f t="array" aca="1" ref="AM29" ca="1">IFERROR(($AM$2*INDEX(Indicators,MATCH($A29,INDEX(Indicators,0,4),0),MATCH($AK$2,INDEX(Indicators,1,0),0)))+($AM$3*INDEX(Indicators,MATCH($A29,INDEX(Indicators,0,4),0),MATCH($AK$3,INDEX(Indicators,1,0),0)))+(INDEX(Electricity_projection,MATCH(AL29&amp;AK29,INDEX(Electricity_projection,0,3),0),MATCH(YEAR(TODAY()),Timeline_elec_projec,0)+3)*$AM$4), 0)</f>
        <v>0</v>
      </c>
      <c r="AN29" cm="1">
        <f t="array" aca="1" ref="AN29" ca="1">IFERROR(($AN$2*INDEX(Indicators,MATCH($A29,INDEX(Indicators,0,4),0),MATCH($AK$2,INDEX(Indicators,1,0),0)))+($AN$3*INDEX(Indicators,MATCH($A29,INDEX(Indicators,0,4),0),MATCH($AK$3,INDEX(Indicators,1,0),0)))+(INDEX(Electricity_projection,MATCH(AL29&amp;AK29,INDEX(Electricity_projection,0,3),0),MATCH(YEAR(TODAY()),Timeline_elec_projec,0)+3)*$AN$4), 0)</f>
        <v>0</v>
      </c>
      <c r="AO29" cm="1">
        <f t="array" aca="1" ref="AO29" ca="1">IFERROR(($AO$2*INDEX(Indicators,MATCH($A29,INDEX(Indicators,0,4),0),MATCH($AK$2,INDEX(Indicators,1,0),0)))+($AO$3*INDEX(Indicators,MATCH($A29,INDEX(Indicators,0,4),0),MATCH($AK$3,INDEX(Indicators,1,0),0)))+(INDEX(Electricity_projection,MATCH(AL29&amp;AK29,INDEX(Electricity_projection,0,3),0),MATCH(YEAR(TODAY()),Timeline_elec_projec,0)+3)*$AO$4), 0)</f>
        <v>0</v>
      </c>
      <c r="AP29" cm="1">
        <f t="array" aca="1" ref="AP29" ca="1">IFERROR(($AP$2*INDEX(Indicators,MATCH($A29,INDEX(Indicators,0,4),0),MATCH($AK$2,INDEX(Indicators,1,0),0)))+($AP$3*INDEX(Indicators,MATCH($A29,INDEX(Indicators,0,4),0),MATCH($AK$3,INDEX(Indicators,1,0),0)))+(INDEX(Electricity_projection,MATCH(AL29&amp;AK29,INDEX(Electricity_projection,0,3),0),MATCH(YEAR(TODAY()),Timeline_elec_projec,0)+3)*$AP$4), 0)</f>
        <v>0</v>
      </c>
      <c r="AQ29">
        <f ca="1"/>
        <v>0</v>
      </c>
    </row>
    <row r="30" spans="1:43" x14ac:dyDescent="0.35">
      <c r="A30" t="str" cm="1">
        <f t="array" ref="A30">INDEX(Indicators,ROW()-9,4)</f>
        <v>A1AttributionalSM</v>
      </c>
      <c r="B30" s="540" cm="1">
        <f t="array" aca="1" ref="B30:I30" ca="1">INDEX(Indicators,ROW()-9,MATCH(Handle_Wearing_Course,Materials!$1:$1,0))</f>
        <v>0</v>
      </c>
      <c r="C30" s="1">
        <f ca="1"/>
        <v>0</v>
      </c>
      <c r="D30" s="1">
        <f ca="1"/>
        <v>0</v>
      </c>
      <c r="E30" s="1">
        <f ca="1"/>
        <v>0</v>
      </c>
      <c r="F30" s="1">
        <f ca="1"/>
        <v>9.2499999999999995E-3</v>
      </c>
      <c r="G30" s="1">
        <f ca="1"/>
        <v>0</v>
      </c>
      <c r="H30" s="1">
        <f ca="1"/>
        <v>0</v>
      </c>
      <c r="I30" s="212">
        <f ca="1"/>
        <v>0</v>
      </c>
      <c r="J30" s="1">
        <v>0</v>
      </c>
      <c r="K30" s="1">
        <v>0</v>
      </c>
      <c r="L30" s="1">
        <v>0</v>
      </c>
      <c r="O30" s="1">
        <f ca="1">SUMPRODUCT(B30:L30,$B$2:$L$2)+INDEX(Indicators,MATCH(A30,Materials!$D:$D),MATCH("Truck (32+t)",Materials!$1:$1,0))*'Data Entry'!$C$64</f>
        <v>0</v>
      </c>
      <c r="P30" s="1">
        <f ca="1">SUMPRODUCT(B30:L30,$B$3:$L$3)+INDEX(Indicators,MATCH(A30,Materials!$D:$D),MATCH("Truck (32+t)",Materials!$1:$1,0))*'Data Entry'!$C$72</f>
        <v>0</v>
      </c>
      <c r="Q30" s="1">
        <f ca="1">SUMPRODUCT(B30:L30,$B$4:$L$4)+INDEX(Indicators,MATCH(A30,Materials!$D:$D),MATCH("Truck (32+t)",Materials!$1:$1,0))*'Data Entry'!$C$66+$AQ$16</f>
        <v>1.2286007609406925E-4</v>
      </c>
      <c r="R30" s="1">
        <f ca="1">SUMPRODUCT(B30:L30,$B$5:$L$5)+INDEX(Indicators,MATCH(A30,Materials!$D:$D),MATCH("Truck (32+t)",Materials!$1:$1,0))*'Data Entry'!$C$68+$AQ$16</f>
        <v>1.2286007609406925E-4</v>
      </c>
      <c r="S30" s="1">
        <f ca="1">SUMPRODUCT(B30:L30,$B$6:$L$6)+INDEX(Indicators,MATCH(A30,Materials!$D:$D),MATCH("Truck (32+t)",Materials!$1:$1,0))*'Data Entry'!$C$70+$AQ$16</f>
        <v>1.2286007609406925E-4</v>
      </c>
      <c r="T30" s="1">
        <f ca="1">SUMPRODUCT(B30:L30,$B$7:$L$7)+INDEX(Indicators,MATCH(A30,Materials!$D:$D),MATCH("Truck (32+t)",Materials!$1:$1,0))*'Data Entry'!$C$68+$AQ$16</f>
        <v>1.2286007609406925E-4</v>
      </c>
      <c r="U30" s="1">
        <f ca="1">SUMPRODUCT(B30:L30,$B$8:$L$8)+INDEX(Indicators,MATCH(A30,Materials!$D:$D),MATCH("Truck (32+t)",Materials!$1:$1,0))*'Data Entry'!$C$69+$AQ$16</f>
        <v>1.2286007609406925E-4</v>
      </c>
      <c r="V30" s="1">
        <f ca="1">SUMPRODUCT(B30:L30,$B$9:$L$9)+INDEX(Indicators,MATCH(A30,Materials!$D:$D),MATCH("Truck (32+t)",Materials!$1:$1,0))*'Data Entry'!$C$71</f>
        <v>1.1099999999999999E-3</v>
      </c>
      <c r="W30" s="1">
        <f ca="1">SUMPRODUCT(B30:L30,$B$10:$L$10)+INDEX(Indicators,MATCH(A30,Materials!$D:$D),MATCH("Truck (32+t)",Materials!$1:$1,0))*'Data Entry'!$C$72</f>
        <v>6.1974999999999999E-3</v>
      </c>
      <c r="Z30">
        <v>0</v>
      </c>
      <c r="AA30">
        <v>0</v>
      </c>
      <c r="AB30">
        <v>0</v>
      </c>
      <c r="AC30" s="209">
        <v>0</v>
      </c>
      <c r="AD30" s="209"/>
      <c r="AF30" cm="1">
        <f t="array" ref="AF30">SUMPRODUCT($AF$2:$AF$5, TRANSPOSE($Z30:$AC30))</f>
        <v>0</v>
      </c>
      <c r="AG30" cm="1">
        <f t="array" ref="AG30">SUMPRODUCT($AG$2:$AG$5, TRANSPOSE($Z30:$AC30))</f>
        <v>0</v>
      </c>
      <c r="AH30" cm="1">
        <f t="array" ref="AH30">SUMPRODUCT($AH$2:$AH$5, TRANSPOSE($Z30:$AC30))</f>
        <v>0</v>
      </c>
      <c r="AK30" t="s">
        <v>508</v>
      </c>
      <c r="AL30" t="s">
        <v>54</v>
      </c>
      <c r="AM30" cm="1">
        <f t="array" aca="1" ref="AM30" ca="1">IFERROR(($AM$2*INDEX(Indicators,MATCH($A30,INDEX(Indicators,0,4),0),MATCH($AK$2,INDEX(Indicators,1,0),0)))+($AM$3*INDEX(Indicators,MATCH($A30,INDEX(Indicators,0,4),0),MATCH($AK$3,INDEX(Indicators,1,0),0)))+(INDEX(Electricity_projection,MATCH(AL30&amp;AK30,INDEX(Electricity_projection,0,3),0),MATCH(YEAR(TODAY()),Timeline_elec_projec,0)+3)*$AM$4), 0)</f>
        <v>0</v>
      </c>
      <c r="AN30" cm="1">
        <f t="array" aca="1" ref="AN30" ca="1">IFERROR(($AN$2*INDEX(Indicators,MATCH($A30,INDEX(Indicators,0,4),0),MATCH($AK$2,INDEX(Indicators,1,0),0)))+($AN$3*INDEX(Indicators,MATCH($A30,INDEX(Indicators,0,4),0),MATCH($AK$3,INDEX(Indicators,1,0),0)))+(INDEX(Electricity_projection,MATCH(AL30&amp;AK30,INDEX(Electricity_projection,0,3),0),MATCH(YEAR(TODAY()),Timeline_elec_projec,0)+3)*$AN$4), 0)</f>
        <v>0</v>
      </c>
      <c r="AO30" cm="1">
        <f t="array" aca="1" ref="AO30" ca="1">IFERROR(($AO$2*INDEX(Indicators,MATCH($A30,INDEX(Indicators,0,4),0),MATCH($AK$2,INDEX(Indicators,1,0),0)))+($AO$3*INDEX(Indicators,MATCH($A30,INDEX(Indicators,0,4),0),MATCH($AK$3,INDEX(Indicators,1,0),0)))+(INDEX(Electricity_projection,MATCH(AL30&amp;AK30,INDEX(Electricity_projection,0,3),0),MATCH(YEAR(TODAY()),Timeline_elec_projec,0)+3)*$AO$4), 0)</f>
        <v>0</v>
      </c>
      <c r="AP30" cm="1">
        <f t="array" aca="1" ref="AP30" ca="1">IFERROR(($AP$2*INDEX(Indicators,MATCH($A30,INDEX(Indicators,0,4),0),MATCH($AK$2,INDEX(Indicators,1,0),0)))+($AP$3*INDEX(Indicators,MATCH($A30,INDEX(Indicators,0,4),0),MATCH($AK$3,INDEX(Indicators,1,0),0)))+(INDEX(Electricity_projection,MATCH(AL30&amp;AK30,INDEX(Electricity_projection,0,3),0),MATCH(YEAR(TODAY()),Timeline_elec_projec,0)+3)*$AP$4), 0)</f>
        <v>0</v>
      </c>
      <c r="AQ30">
        <f ca="1"/>
        <v>0</v>
      </c>
    </row>
    <row r="31" spans="1:43" x14ac:dyDescent="0.35">
      <c r="A31" t="str" cm="1">
        <f t="array" ref="A31">INDEX(Indicators,ROW()-9,4)</f>
        <v>A1AttributionalNRSF</v>
      </c>
      <c r="B31" s="540" cm="1">
        <f t="array" aca="1" ref="B31:I31" ca="1">INDEX(Indicators,ROW()-9,MATCH(Handle_Wearing_Course,Materials!$1:$1,0))</f>
        <v>0</v>
      </c>
      <c r="C31" s="1">
        <f ca="1"/>
        <v>0</v>
      </c>
      <c r="D31" s="1">
        <f ca="1"/>
        <v>0</v>
      </c>
      <c r="E31" s="1">
        <f ca="1"/>
        <v>0</v>
      </c>
      <c r="F31" s="1">
        <f ca="1"/>
        <v>0</v>
      </c>
      <c r="G31" s="1">
        <f ca="1"/>
        <v>0</v>
      </c>
      <c r="H31" s="1">
        <f ca="1"/>
        <v>5.0000000000000002E-11</v>
      </c>
      <c r="I31" s="212">
        <f ca="1"/>
        <v>0</v>
      </c>
      <c r="J31" s="1">
        <v>0</v>
      </c>
      <c r="K31" s="1">
        <v>0</v>
      </c>
      <c r="L31" s="1">
        <v>0</v>
      </c>
      <c r="O31" s="1">
        <f ca="1">SUMPRODUCT(B31:L31,$B$2:$L$2)+INDEX(Indicators,MATCH(A31,Materials!$D:$D),MATCH("Truck (32+t)",Materials!$1:$1,0))*'Data Entry'!$C$64</f>
        <v>0</v>
      </c>
      <c r="P31" s="1">
        <f ca="1">SUMPRODUCT(B31:L31,$B$3:$L$3)+INDEX(Indicators,MATCH(A31,Materials!$D:$D),MATCH("Truck (32+t)",Materials!$1:$1,0))*'Data Entry'!$C$72</f>
        <v>0</v>
      </c>
      <c r="Q31" s="1">
        <f ca="1">SUMPRODUCT(B31:L31,$B$4:$L$4)+INDEX(Indicators,MATCH(A31,Materials!$D:$D),MATCH("Truck (32+t)",Materials!$1:$1,0))*'Data Entry'!$C$66+$AQ$16</f>
        <v>1.2286007609406925E-4</v>
      </c>
      <c r="R31" s="1">
        <f ca="1">SUMPRODUCT(B31:L31,$B$5:$L$5)+INDEX(Indicators,MATCH(A31,Materials!$D:$D),MATCH("Truck (32+t)",Materials!$1:$1,0))*'Data Entry'!$C$68+$AQ$16</f>
        <v>1.2286007609406925E-4</v>
      </c>
      <c r="S31" s="1">
        <f ca="1">SUMPRODUCT(B31:L31,$B$6:$L$6)+INDEX(Indicators,MATCH(A31,Materials!$D:$D),MATCH("Truck (32+t)",Materials!$1:$1,0))*'Data Entry'!$C$70+$AQ$16</f>
        <v>1.2286007609406925E-4</v>
      </c>
      <c r="T31" s="1">
        <f ca="1">SUMPRODUCT(B31:L31,$B$7:$L$7)+INDEX(Indicators,MATCH(A31,Materials!$D:$D),MATCH("Truck (32+t)",Materials!$1:$1,0))*'Data Entry'!$C$68+$AQ$16</f>
        <v>1.2286007609406925E-4</v>
      </c>
      <c r="U31" s="1">
        <f ca="1">SUMPRODUCT(B31:L31,$B$8:$L$8)+INDEX(Indicators,MATCH(A31,Materials!$D:$D),MATCH("Truck (32+t)",Materials!$1:$1,0))*'Data Entry'!$C$69+$AQ$16</f>
        <v>1.2286007609406925E-4</v>
      </c>
      <c r="V31" s="1">
        <f ca="1">SUMPRODUCT(B31:L31,$B$9:$L$9)+INDEX(Indicators,MATCH(A31,Materials!$D:$D),MATCH("Truck (32+t)",Materials!$1:$1,0))*'Data Entry'!$C$71</f>
        <v>1.5000000000000001E-12</v>
      </c>
      <c r="W31" s="1">
        <f ca="1">SUMPRODUCT(B31:L31,$B$10:$L$10)+INDEX(Indicators,MATCH(A31,Materials!$D:$D),MATCH("Truck (32+t)",Materials!$1:$1,0))*'Data Entry'!$C$72</f>
        <v>0</v>
      </c>
      <c r="Z31">
        <v>0</v>
      </c>
      <c r="AA31">
        <v>0</v>
      </c>
      <c r="AB31">
        <v>0</v>
      </c>
      <c r="AC31" s="209">
        <v>0</v>
      </c>
      <c r="AD31" s="209"/>
      <c r="AF31" cm="1">
        <f t="array" ref="AF31">SUMPRODUCT($AF$2:$AF$5, TRANSPOSE($Z31:$AC31))</f>
        <v>0</v>
      </c>
      <c r="AG31" cm="1">
        <f t="array" ref="AG31">SUMPRODUCT($AG$2:$AG$5, TRANSPOSE($Z31:$AC31))</f>
        <v>0</v>
      </c>
      <c r="AH31" cm="1">
        <f t="array" ref="AH31">SUMPRODUCT($AH$2:$AH$5, TRANSPOSE($Z31:$AC31))</f>
        <v>0</v>
      </c>
      <c r="AK31" t="s">
        <v>510</v>
      </c>
      <c r="AL31" t="s">
        <v>54</v>
      </c>
      <c r="AM31" cm="1">
        <f t="array" aca="1" ref="AM31" ca="1">IFERROR(($AM$2*INDEX(Indicators,MATCH($A31,INDEX(Indicators,0,4),0),MATCH($AK$2,INDEX(Indicators,1,0),0)))+($AM$3*INDEX(Indicators,MATCH($A31,INDEX(Indicators,0,4),0),MATCH($AK$3,INDEX(Indicators,1,0),0)))+(INDEX(Electricity_projection,MATCH(AL31&amp;AK31,INDEX(Electricity_projection,0,3),0),MATCH(YEAR(TODAY()),Timeline_elec_projec,0)+3)*$AM$4), 0)</f>
        <v>0</v>
      </c>
      <c r="AN31" cm="1">
        <f t="array" aca="1" ref="AN31" ca="1">IFERROR(($AN$2*INDEX(Indicators,MATCH($A31,INDEX(Indicators,0,4),0),MATCH($AK$2,INDEX(Indicators,1,0),0)))+($AN$3*INDEX(Indicators,MATCH($A31,INDEX(Indicators,0,4),0),MATCH($AK$3,INDEX(Indicators,1,0),0)))+(INDEX(Electricity_projection,MATCH(AL31&amp;AK31,INDEX(Electricity_projection,0,3),0),MATCH(YEAR(TODAY()),Timeline_elec_projec,0)+3)*$AN$4), 0)</f>
        <v>0</v>
      </c>
      <c r="AO31" cm="1">
        <f t="array" aca="1" ref="AO31" ca="1">IFERROR(($AO$2*INDEX(Indicators,MATCH($A31,INDEX(Indicators,0,4),0),MATCH($AK$2,INDEX(Indicators,1,0),0)))+($AO$3*INDEX(Indicators,MATCH($A31,INDEX(Indicators,0,4),0),MATCH($AK$3,INDEX(Indicators,1,0),0)))+(INDEX(Electricity_projection,MATCH(AL31&amp;AK31,INDEX(Electricity_projection,0,3),0),MATCH(YEAR(TODAY()),Timeline_elec_projec,0)+3)*$AO$4), 0)</f>
        <v>0</v>
      </c>
      <c r="AP31" cm="1">
        <f t="array" aca="1" ref="AP31" ca="1">IFERROR(($AP$2*INDEX(Indicators,MATCH($A31,INDEX(Indicators,0,4),0),MATCH($AK$2,INDEX(Indicators,1,0),0)))+($AP$3*INDEX(Indicators,MATCH($A31,INDEX(Indicators,0,4),0),MATCH($AK$3,INDEX(Indicators,1,0),0)))+(INDEX(Electricity_projection,MATCH(AL31&amp;AK31,INDEX(Electricity_projection,0,3),0),MATCH(YEAR(TODAY()),Timeline_elec_projec,0)+3)*$AP$4), 0)</f>
        <v>0</v>
      </c>
      <c r="AQ31">
        <f ca="1"/>
        <v>0</v>
      </c>
    </row>
    <row r="32" spans="1:43" x14ac:dyDescent="0.35">
      <c r="A32" t="str" cm="1">
        <f t="array" ref="A32">INDEX(Indicators,ROW()-9,4)</f>
        <v>A1AttributionalRSF</v>
      </c>
      <c r="B32" s="540" cm="1">
        <f t="array" aca="1" ref="B32:I32" ca="1">INDEX(Indicators,ROW()-9,MATCH(Handle_Wearing_Course,Materials!$1:$1,0))</f>
        <v>0</v>
      </c>
      <c r="C32" s="1">
        <f ca="1"/>
        <v>0</v>
      </c>
      <c r="D32" s="1">
        <f ca="1"/>
        <v>0</v>
      </c>
      <c r="E32" s="1">
        <f ca="1"/>
        <v>0</v>
      </c>
      <c r="F32" s="1">
        <f ca="1"/>
        <v>0.71399999999999997</v>
      </c>
      <c r="G32" s="1">
        <f ca="1"/>
        <v>0</v>
      </c>
      <c r="H32" s="1">
        <f ca="1"/>
        <v>4.2200000000000002E-12</v>
      </c>
      <c r="I32" s="212">
        <f ca="1"/>
        <v>0</v>
      </c>
      <c r="J32" s="1">
        <v>0</v>
      </c>
      <c r="K32" s="1">
        <v>0</v>
      </c>
      <c r="L32" s="1">
        <v>0</v>
      </c>
      <c r="O32" s="1">
        <f ca="1">SUMPRODUCT(B32:L32,$B$2:$L$2)+INDEX(Indicators,MATCH(A32,Materials!$D:$D),MATCH("Truck (32+t)",Materials!$1:$1,0))*'Data Entry'!$C$64</f>
        <v>0</v>
      </c>
      <c r="P32" s="1">
        <f ca="1">SUMPRODUCT(B32:L32,$B$3:$L$3)+INDEX(Indicators,MATCH(A32,Materials!$D:$D),MATCH("Truck (32+t)",Materials!$1:$1,0))*'Data Entry'!$C$72</f>
        <v>0</v>
      </c>
      <c r="Q32" s="1">
        <f ca="1">SUMPRODUCT(B32:L32,$B$4:$L$4)+INDEX(Indicators,MATCH(A32,Materials!$D:$D),MATCH("Truck (32+t)",Materials!$1:$1,0))*'Data Entry'!$C$66+$AQ$16</f>
        <v>1.2286007609406925E-4</v>
      </c>
      <c r="R32" s="1">
        <f ca="1">SUMPRODUCT(B32:L32,$B$5:$L$5)+INDEX(Indicators,MATCH(A32,Materials!$D:$D),MATCH("Truck (32+t)",Materials!$1:$1,0))*'Data Entry'!$C$68+$AQ$16</f>
        <v>1.2286007609406925E-4</v>
      </c>
      <c r="S32" s="1">
        <f ca="1">SUMPRODUCT(B32:L32,$B$6:$L$6)+INDEX(Indicators,MATCH(A32,Materials!$D:$D),MATCH("Truck (32+t)",Materials!$1:$1,0))*'Data Entry'!$C$70+$AQ$16</f>
        <v>1.2286007609406925E-4</v>
      </c>
      <c r="T32" s="1">
        <f ca="1">SUMPRODUCT(B32:L32,$B$7:$L$7)+INDEX(Indicators,MATCH(A32,Materials!$D:$D),MATCH("Truck (32+t)",Materials!$1:$1,0))*'Data Entry'!$C$68+$AQ$16</f>
        <v>1.2286007609406925E-4</v>
      </c>
      <c r="U32" s="1">
        <f ca="1">SUMPRODUCT(B32:L32,$B$8:$L$8)+INDEX(Indicators,MATCH(A32,Materials!$D:$D),MATCH("Truck (32+t)",Materials!$1:$1,0))*'Data Entry'!$C$69+$AQ$16</f>
        <v>1.2286007609406925E-4</v>
      </c>
      <c r="V32" s="1">
        <f ca="1">SUMPRODUCT(B32:L32,$B$9:$L$9)+INDEX(Indicators,MATCH(A32,Materials!$D:$D),MATCH("Truck (32+t)",Materials!$1:$1,0))*'Data Entry'!$C$71</f>
        <v>8.5680000000126585E-2</v>
      </c>
      <c r="W32" s="1">
        <f ca="1">SUMPRODUCT(B32:L32,$B$10:$L$10)+INDEX(Indicators,MATCH(A32,Materials!$D:$D),MATCH("Truck (32+t)",Materials!$1:$1,0))*'Data Entry'!$C$72</f>
        <v>0.47838000000000003</v>
      </c>
      <c r="Z32">
        <v>0</v>
      </c>
      <c r="AA32">
        <v>0</v>
      </c>
      <c r="AB32">
        <v>0</v>
      </c>
      <c r="AC32" s="209">
        <v>0</v>
      </c>
      <c r="AD32" s="209"/>
      <c r="AF32" cm="1">
        <f t="array" ref="AF32">SUMPRODUCT($AF$2:$AF$5, TRANSPOSE($Z32:$AC32))</f>
        <v>0</v>
      </c>
      <c r="AG32" cm="1">
        <f t="array" ref="AG32">SUMPRODUCT($AG$2:$AG$5, TRANSPOSE($Z32:$AC32))</f>
        <v>0</v>
      </c>
      <c r="AH32" cm="1">
        <f t="array" ref="AH32">SUMPRODUCT($AH$2:$AH$5, TRANSPOSE($Z32:$AC32))</f>
        <v>0</v>
      </c>
      <c r="AK32" t="s">
        <v>512</v>
      </c>
      <c r="AL32" t="s">
        <v>54</v>
      </c>
      <c r="AM32" cm="1">
        <f t="array" aca="1" ref="AM32" ca="1">IFERROR(($AM$2*INDEX(Indicators,MATCH($A32,INDEX(Indicators,0,4),0),MATCH($AK$2,INDEX(Indicators,1,0),0)))+($AM$3*INDEX(Indicators,MATCH($A32,INDEX(Indicators,0,4),0),MATCH($AK$3,INDEX(Indicators,1,0),0)))+(INDEX(Electricity_projection,MATCH(AL32&amp;AK32,INDEX(Electricity_projection,0,3),0),MATCH(YEAR(TODAY()),Timeline_elec_projec,0)+3)*$AM$4), 0)</f>
        <v>0</v>
      </c>
      <c r="AN32" cm="1">
        <f t="array" aca="1" ref="AN32" ca="1">IFERROR(($AN$2*INDEX(Indicators,MATCH($A32,INDEX(Indicators,0,4),0),MATCH($AK$2,INDEX(Indicators,1,0),0)))+($AN$3*INDEX(Indicators,MATCH($A32,INDEX(Indicators,0,4),0),MATCH($AK$3,INDEX(Indicators,1,0),0)))+(INDEX(Electricity_projection,MATCH(AL32&amp;AK32,INDEX(Electricity_projection,0,3),0),MATCH(YEAR(TODAY()),Timeline_elec_projec,0)+3)*$AN$4), 0)</f>
        <v>0</v>
      </c>
      <c r="AO32" cm="1">
        <f t="array" aca="1" ref="AO32" ca="1">IFERROR(($AO$2*INDEX(Indicators,MATCH($A32,INDEX(Indicators,0,4),0),MATCH($AK$2,INDEX(Indicators,1,0),0)))+($AO$3*INDEX(Indicators,MATCH($A32,INDEX(Indicators,0,4),0),MATCH($AK$3,INDEX(Indicators,1,0),0)))+(INDEX(Electricity_projection,MATCH(AL32&amp;AK32,INDEX(Electricity_projection,0,3),0),MATCH(YEAR(TODAY()),Timeline_elec_projec,0)+3)*$AO$4), 0)</f>
        <v>0</v>
      </c>
      <c r="AP32" cm="1">
        <f t="array" aca="1" ref="AP32" ca="1">IFERROR(($AP$2*INDEX(Indicators,MATCH($A32,INDEX(Indicators,0,4),0),MATCH($AK$2,INDEX(Indicators,1,0),0)))+($AP$3*INDEX(Indicators,MATCH($A32,INDEX(Indicators,0,4),0),MATCH($AK$3,INDEX(Indicators,1,0),0)))+(INDEX(Electricity_projection,MATCH(AL32&amp;AK32,INDEX(Electricity_projection,0,3),0),MATCH(YEAR(TODAY()),Timeline_elec_projec,0)+3)*$AP$4), 0)</f>
        <v>0</v>
      </c>
      <c r="AQ32">
        <f ca="1"/>
        <v>0</v>
      </c>
    </row>
    <row r="33" spans="1:43" x14ac:dyDescent="0.35">
      <c r="A33" t="str" cm="1">
        <f t="array" ref="A33">INDEX(Indicators,ROW()-9,4)</f>
        <v>A1AttributionalHWD</v>
      </c>
      <c r="B33" s="540" cm="1">
        <f t="array" aca="1" ref="B33:I33" ca="1">INDEX(Indicators,ROW()-9,MATCH(Handle_Wearing_Course,Materials!$1:$1,0))</f>
        <v>0</v>
      </c>
      <c r="C33" s="1">
        <f ca="1"/>
        <v>0</v>
      </c>
      <c r="D33" s="1">
        <f ca="1"/>
        <v>0</v>
      </c>
      <c r="E33" s="1">
        <f ca="1"/>
        <v>0</v>
      </c>
      <c r="F33" s="1">
        <f ca="1"/>
        <v>1.25E-9</v>
      </c>
      <c r="G33" s="1">
        <f ca="1"/>
        <v>0</v>
      </c>
      <c r="H33" s="1">
        <f ca="1"/>
        <v>2.3800000000000001E-8</v>
      </c>
      <c r="I33" s="212">
        <f ca="1"/>
        <v>0</v>
      </c>
      <c r="J33" s="1">
        <v>0</v>
      </c>
      <c r="K33" s="1">
        <v>0</v>
      </c>
      <c r="L33" s="1">
        <v>0</v>
      </c>
      <c r="O33" s="1">
        <f ca="1">SUMPRODUCT(B33:L33,$B$2:$L$2)+INDEX(Indicators,MATCH(A33,Materials!$D:$D),MATCH("Truck (32+t)",Materials!$1:$1,0))*'Data Entry'!$C$64</f>
        <v>0</v>
      </c>
      <c r="P33" s="1">
        <f ca="1">SUMPRODUCT(B33:L33,$B$3:$L$3)+INDEX(Indicators,MATCH(A33,Materials!$D:$D),MATCH("Truck (32+t)",Materials!$1:$1,0))*'Data Entry'!$C$72</f>
        <v>0</v>
      </c>
      <c r="Q33" s="1">
        <f ca="1">SUMPRODUCT(B33:L33,$B$4:$L$4)+INDEX(Indicators,MATCH(A33,Materials!$D:$D),MATCH("Truck (32+t)",Materials!$1:$1,0))*'Data Entry'!$C$66+$AQ$16</f>
        <v>1.2286007609406925E-4</v>
      </c>
      <c r="R33" s="1">
        <f ca="1">SUMPRODUCT(B33:L33,$B$5:$L$5)+INDEX(Indicators,MATCH(A33,Materials!$D:$D),MATCH("Truck (32+t)",Materials!$1:$1,0))*'Data Entry'!$C$68+$AQ$16</f>
        <v>1.2286007609406925E-4</v>
      </c>
      <c r="S33" s="1">
        <f ca="1">SUMPRODUCT(B33:L33,$B$6:$L$6)+INDEX(Indicators,MATCH(A33,Materials!$D:$D),MATCH("Truck (32+t)",Materials!$1:$1,0))*'Data Entry'!$C$70+$AQ$16</f>
        <v>1.2286007609406925E-4</v>
      </c>
      <c r="T33" s="1">
        <f ca="1">SUMPRODUCT(B33:L33,$B$7:$L$7)+INDEX(Indicators,MATCH(A33,Materials!$D:$D),MATCH("Truck (32+t)",Materials!$1:$1,0))*'Data Entry'!$C$68+$AQ$16</f>
        <v>1.2286007609406925E-4</v>
      </c>
      <c r="U33" s="1">
        <f ca="1">SUMPRODUCT(B33:L33,$B$8:$L$8)+INDEX(Indicators,MATCH(A33,Materials!$D:$D),MATCH("Truck (32+t)",Materials!$1:$1,0))*'Data Entry'!$C$69+$AQ$16</f>
        <v>1.2286007609406925E-4</v>
      </c>
      <c r="V33" s="1">
        <f ca="1">SUMPRODUCT(B33:L33,$B$9:$L$9)+INDEX(Indicators,MATCH(A33,Materials!$D:$D),MATCH("Truck (32+t)",Materials!$1:$1,0))*'Data Entry'!$C$71</f>
        <v>8.6400000000000001E-10</v>
      </c>
      <c r="W33" s="1">
        <f ca="1">SUMPRODUCT(B33:L33,$B$10:$L$10)+INDEX(Indicators,MATCH(A33,Materials!$D:$D),MATCH("Truck (32+t)",Materials!$1:$1,0))*'Data Entry'!$C$72</f>
        <v>8.3750000000000005E-10</v>
      </c>
      <c r="Z33">
        <v>0</v>
      </c>
      <c r="AA33">
        <v>0</v>
      </c>
      <c r="AB33">
        <v>0</v>
      </c>
      <c r="AC33" s="209">
        <v>0</v>
      </c>
      <c r="AD33" s="209"/>
      <c r="AF33" cm="1">
        <f t="array" ref="AF33">SUMPRODUCT($AF$2:$AF$5, TRANSPOSE($Z33:$AC33))</f>
        <v>0</v>
      </c>
      <c r="AG33" cm="1">
        <f t="array" ref="AG33">SUMPRODUCT($AG$2:$AG$5, TRANSPOSE($Z33:$AC33))</f>
        <v>0</v>
      </c>
      <c r="AH33" cm="1">
        <f t="array" ref="AH33">SUMPRODUCT($AH$2:$AH$5, TRANSPOSE($Z33:$AC33))</f>
        <v>0</v>
      </c>
      <c r="AK33" t="s">
        <v>546</v>
      </c>
      <c r="AL33" t="s">
        <v>54</v>
      </c>
      <c r="AM33" cm="1">
        <f t="array" aca="1" ref="AM33" ca="1">IFERROR(($AM$2*INDEX(Indicators,MATCH($A33,INDEX(Indicators,0,4),0),MATCH($AK$2,INDEX(Indicators,1,0),0)))+($AM$3*INDEX(Indicators,MATCH($A33,INDEX(Indicators,0,4),0),MATCH($AK$3,INDEX(Indicators,1,0),0)))+(INDEX(Electricity_projection,MATCH(AL33&amp;AK33,INDEX(Electricity_projection,0,3),0),MATCH(YEAR(TODAY()),Timeline_elec_projec,0)+3)*$AM$4), 0)</f>
        <v>0</v>
      </c>
      <c r="AN33" cm="1">
        <f t="array" aca="1" ref="AN33" ca="1">IFERROR(($AN$2*INDEX(Indicators,MATCH($A33,INDEX(Indicators,0,4),0),MATCH($AK$2,INDEX(Indicators,1,0),0)))+($AN$3*INDEX(Indicators,MATCH($A33,INDEX(Indicators,0,4),0),MATCH($AK$3,INDEX(Indicators,1,0),0)))+(INDEX(Electricity_projection,MATCH(AL33&amp;AK33,INDEX(Electricity_projection,0,3),0),MATCH(YEAR(TODAY()),Timeline_elec_projec,0)+3)*$AN$4), 0)</f>
        <v>0</v>
      </c>
      <c r="AO33" cm="1">
        <f t="array" aca="1" ref="AO33" ca="1">IFERROR(($AO$2*INDEX(Indicators,MATCH($A33,INDEX(Indicators,0,4),0),MATCH($AK$2,INDEX(Indicators,1,0),0)))+($AO$3*INDEX(Indicators,MATCH($A33,INDEX(Indicators,0,4),0),MATCH($AK$3,INDEX(Indicators,1,0),0)))+(INDEX(Electricity_projection,MATCH(AL33&amp;AK33,INDEX(Electricity_projection,0,3),0),MATCH(YEAR(TODAY()),Timeline_elec_projec,0)+3)*$AO$4), 0)</f>
        <v>0</v>
      </c>
      <c r="AP33" cm="1">
        <f t="array" aca="1" ref="AP33" ca="1">IFERROR(($AP$2*INDEX(Indicators,MATCH($A33,INDEX(Indicators,0,4),0),MATCH($AK$2,INDEX(Indicators,1,0),0)))+($AP$3*INDEX(Indicators,MATCH($A33,INDEX(Indicators,0,4),0),MATCH($AK$3,INDEX(Indicators,1,0),0)))+(INDEX(Electricity_projection,MATCH(AL33&amp;AK33,INDEX(Electricity_projection,0,3),0),MATCH(YEAR(TODAY()),Timeline_elec_projec,0)+3)*$AP$4), 0)</f>
        <v>0</v>
      </c>
      <c r="AQ33">
        <f ca="1"/>
        <v>0</v>
      </c>
    </row>
    <row r="34" spans="1:43" x14ac:dyDescent="0.35">
      <c r="A34" t="str" cm="1">
        <f t="array" ref="A34">INDEX(Indicators,ROW()-9,4)</f>
        <v>A1AttributionalNHWD</v>
      </c>
      <c r="B34" s="540" cm="1">
        <f t="array" aca="1" ref="B34:I34" ca="1">INDEX(Indicators,ROW()-9,MATCH(Handle_Wearing_Course,Materials!$1:$1,0))</f>
        <v>0</v>
      </c>
      <c r="C34" s="1">
        <f ca="1"/>
        <v>0</v>
      </c>
      <c r="D34" s="1">
        <f ca="1"/>
        <v>0</v>
      </c>
      <c r="E34" s="1">
        <f ca="1"/>
        <v>0</v>
      </c>
      <c r="F34" s="1">
        <f ca="1"/>
        <v>1.2999999999999999E-4</v>
      </c>
      <c r="G34" s="1">
        <f ca="1"/>
        <v>0</v>
      </c>
      <c r="H34" s="1">
        <f ca="1"/>
        <v>0.27200000000000002</v>
      </c>
      <c r="I34" s="212">
        <f ca="1"/>
        <v>0</v>
      </c>
      <c r="J34" s="1">
        <v>0</v>
      </c>
      <c r="K34" s="1">
        <v>0</v>
      </c>
      <c r="L34" s="1">
        <v>0</v>
      </c>
      <c r="O34" s="1">
        <f ca="1">SUMPRODUCT(B34:L34,$B$2:$L$2)+INDEX(Indicators,MATCH(A34,Materials!$D:$D),MATCH("Truck (32+t)",Materials!$1:$1,0))*'Data Entry'!$C$64</f>
        <v>0</v>
      </c>
      <c r="P34" s="1">
        <f ca="1">SUMPRODUCT(B34:L34,$B$3:$L$3)+INDEX(Indicators,MATCH(A34,Materials!$D:$D),MATCH("Truck (32+t)",Materials!$1:$1,0))*'Data Entry'!$C$72</f>
        <v>0</v>
      </c>
      <c r="Q34" s="1">
        <f ca="1">SUMPRODUCT(B34:L34,$B$4:$L$4)+INDEX(Indicators,MATCH(A34,Materials!$D:$D),MATCH("Truck (32+t)",Materials!$1:$1,0))*'Data Entry'!$C$66+$AQ$16</f>
        <v>1.2286007609406925E-4</v>
      </c>
      <c r="R34" s="1">
        <f ca="1">SUMPRODUCT(B34:L34,$B$5:$L$5)+INDEX(Indicators,MATCH(A34,Materials!$D:$D),MATCH("Truck (32+t)",Materials!$1:$1,0))*'Data Entry'!$C$68+$AQ$16</f>
        <v>1.2286007609406925E-4</v>
      </c>
      <c r="S34" s="1">
        <f ca="1">SUMPRODUCT(B34:L34,$B$6:$L$6)+INDEX(Indicators,MATCH(A34,Materials!$D:$D),MATCH("Truck (32+t)",Materials!$1:$1,0))*'Data Entry'!$C$70+$AQ$16</f>
        <v>1.2286007609406925E-4</v>
      </c>
      <c r="T34" s="1">
        <f ca="1">SUMPRODUCT(B34:L34,$B$7:$L$7)+INDEX(Indicators,MATCH(A34,Materials!$D:$D),MATCH("Truck (32+t)",Materials!$1:$1,0))*'Data Entry'!$C$68+$AQ$16</f>
        <v>1.2286007609406925E-4</v>
      </c>
      <c r="U34" s="1">
        <f ca="1">SUMPRODUCT(B34:L34,$B$8:$L$8)+INDEX(Indicators,MATCH(A34,Materials!$D:$D),MATCH("Truck (32+t)",Materials!$1:$1,0))*'Data Entry'!$C$69+$AQ$16</f>
        <v>1.2286007609406925E-4</v>
      </c>
      <c r="V34" s="1">
        <f ca="1">SUMPRODUCT(B34:L34,$B$9:$L$9)+INDEX(Indicators,MATCH(A34,Materials!$D:$D),MATCH("Truck (32+t)",Materials!$1:$1,0))*'Data Entry'!$C$71</f>
        <v>8.1755999999999999E-3</v>
      </c>
      <c r="W34" s="1">
        <f ca="1">SUMPRODUCT(B34:L34,$B$10:$L$10)+INDEX(Indicators,MATCH(A34,Materials!$D:$D),MATCH("Truck (32+t)",Materials!$1:$1,0))*'Data Entry'!$C$72</f>
        <v>8.7100000000000003E-5</v>
      </c>
      <c r="Z34">
        <v>0</v>
      </c>
      <c r="AA34">
        <v>0</v>
      </c>
      <c r="AB34">
        <v>0</v>
      </c>
      <c r="AC34" s="209">
        <v>0</v>
      </c>
      <c r="AD34" s="209"/>
      <c r="AF34" cm="1">
        <f t="array" ref="AF34">SUMPRODUCT($AF$2:$AF$5, TRANSPOSE($Z34:$AC34))</f>
        <v>0</v>
      </c>
      <c r="AG34" cm="1">
        <f t="array" ref="AG34">SUMPRODUCT($AG$2:$AG$5, TRANSPOSE($Z34:$AC34))</f>
        <v>0</v>
      </c>
      <c r="AH34" cm="1">
        <f t="array" ref="AH34">SUMPRODUCT($AH$2:$AH$5, TRANSPOSE($Z34:$AC34))</f>
        <v>0</v>
      </c>
      <c r="AK34" t="s">
        <v>516</v>
      </c>
      <c r="AL34" t="s">
        <v>54</v>
      </c>
      <c r="AM34" cm="1">
        <f t="array" aca="1" ref="AM34" ca="1">IFERROR(($AM$2*INDEX(Indicators,MATCH($A34,INDEX(Indicators,0,4),0),MATCH($AK$2,INDEX(Indicators,1,0),0)))+($AM$3*INDEX(Indicators,MATCH($A34,INDEX(Indicators,0,4),0),MATCH($AK$3,INDEX(Indicators,1,0),0)))+(INDEX(Electricity_projection,MATCH(AL34&amp;AK34,INDEX(Electricity_projection,0,3),0),MATCH(YEAR(TODAY()),Timeline_elec_projec,0)+3)*$AM$4), 0)</f>
        <v>0</v>
      </c>
      <c r="AN34" cm="1">
        <f t="array" aca="1" ref="AN34" ca="1">IFERROR(($AN$2*INDEX(Indicators,MATCH($A34,INDEX(Indicators,0,4),0),MATCH($AK$2,INDEX(Indicators,1,0),0)))+($AN$3*INDEX(Indicators,MATCH($A34,INDEX(Indicators,0,4),0),MATCH($AK$3,INDEX(Indicators,1,0),0)))+(INDEX(Electricity_projection,MATCH(AL34&amp;AK34,INDEX(Electricity_projection,0,3),0),MATCH(YEAR(TODAY()),Timeline_elec_projec,0)+3)*$AN$4), 0)</f>
        <v>0</v>
      </c>
      <c r="AO34" cm="1">
        <f t="array" aca="1" ref="AO34" ca="1">IFERROR(($AO$2*INDEX(Indicators,MATCH($A34,INDEX(Indicators,0,4),0),MATCH($AK$2,INDEX(Indicators,1,0),0)))+($AO$3*INDEX(Indicators,MATCH($A34,INDEX(Indicators,0,4),0),MATCH($AK$3,INDEX(Indicators,1,0),0)))+(INDEX(Electricity_projection,MATCH(AL34&amp;AK34,INDEX(Electricity_projection,0,3),0),MATCH(YEAR(TODAY()),Timeline_elec_projec,0)+3)*$AO$4), 0)</f>
        <v>0</v>
      </c>
      <c r="AP34" cm="1">
        <f t="array" aca="1" ref="AP34" ca="1">IFERROR(($AP$2*INDEX(Indicators,MATCH($A34,INDEX(Indicators,0,4),0),MATCH($AK$2,INDEX(Indicators,1,0),0)))+($AP$3*INDEX(Indicators,MATCH($A34,INDEX(Indicators,0,4),0),MATCH($AK$3,INDEX(Indicators,1,0),0)))+(INDEX(Electricity_projection,MATCH(AL34&amp;AK34,INDEX(Electricity_projection,0,3),0),MATCH(YEAR(TODAY()),Timeline_elec_projec,0)+3)*$AP$4), 0)</f>
        <v>0</v>
      </c>
      <c r="AQ34">
        <f ca="1"/>
        <v>0</v>
      </c>
    </row>
    <row r="35" spans="1:43" x14ac:dyDescent="0.35">
      <c r="A35" t="str" cm="1">
        <f t="array" ref="A35">INDEX(Indicators,ROW()-9,4)</f>
        <v>A1AttributionalRWD</v>
      </c>
      <c r="B35" s="540" cm="1">
        <f t="array" aca="1" ref="B35:I35" ca="1">INDEX(Indicators,ROW()-9,MATCH(Handle_Wearing_Course,Materials!$1:$1,0))</f>
        <v>0</v>
      </c>
      <c r="C35" s="1">
        <f ca="1"/>
        <v>0</v>
      </c>
      <c r="D35" s="1">
        <f ca="1"/>
        <v>0</v>
      </c>
      <c r="E35" s="1">
        <f ca="1"/>
        <v>0</v>
      </c>
      <c r="F35" s="1">
        <f ca="1"/>
        <v>4.58E-7</v>
      </c>
      <c r="G35" s="1">
        <f ca="1"/>
        <v>0</v>
      </c>
      <c r="H35" s="1">
        <f ca="1"/>
        <v>1.1400000000000001E-4</v>
      </c>
      <c r="I35" s="212">
        <f ca="1"/>
        <v>0</v>
      </c>
      <c r="J35" s="1">
        <v>0</v>
      </c>
      <c r="K35" s="1">
        <v>0</v>
      </c>
      <c r="L35" s="1">
        <v>0</v>
      </c>
      <c r="O35" s="1">
        <f ca="1">SUMPRODUCT(B35:L35,$B$2:$L$2)+INDEX(Indicators,MATCH(A35,Materials!$D:$D),MATCH("Truck (32+t)",Materials!$1:$1,0))*'Data Entry'!$C$64</f>
        <v>0</v>
      </c>
      <c r="P35" s="1">
        <f ca="1">SUMPRODUCT(B35:L35,$B$3:$L$3)+INDEX(Indicators,MATCH(A35,Materials!$D:$D),MATCH("Truck (32+t)",Materials!$1:$1,0))*'Data Entry'!$C$72</f>
        <v>0</v>
      </c>
      <c r="Q35" s="1">
        <f ca="1">SUMPRODUCT(B35:L35,$B$4:$L$4)+INDEX(Indicators,MATCH(A35,Materials!$D:$D),MATCH("Truck (32+t)",Materials!$1:$1,0))*'Data Entry'!$C$66+$AQ$16</f>
        <v>1.2286007609406925E-4</v>
      </c>
      <c r="R35" s="1">
        <f ca="1">SUMPRODUCT(B35:L35,$B$5:$L$5)+INDEX(Indicators,MATCH(A35,Materials!$D:$D),MATCH("Truck (32+t)",Materials!$1:$1,0))*'Data Entry'!$C$68+$AQ$16</f>
        <v>1.2286007609406925E-4</v>
      </c>
      <c r="S35" s="1">
        <f ca="1">SUMPRODUCT(B35:L35,$B$6:$L$6)+INDEX(Indicators,MATCH(A35,Materials!$D:$D),MATCH("Truck (32+t)",Materials!$1:$1,0))*'Data Entry'!$C$70+$AQ$16</f>
        <v>1.2286007609406925E-4</v>
      </c>
      <c r="T35" s="1">
        <f ca="1">SUMPRODUCT(B35:L35,$B$7:$L$7)+INDEX(Indicators,MATCH(A35,Materials!$D:$D),MATCH("Truck (32+t)",Materials!$1:$1,0))*'Data Entry'!$C$68+$AQ$16</f>
        <v>1.2286007609406925E-4</v>
      </c>
      <c r="U35" s="1">
        <f ca="1">SUMPRODUCT(B35:L35,$B$8:$L$8)+INDEX(Indicators,MATCH(A35,Materials!$D:$D),MATCH("Truck (32+t)",Materials!$1:$1,0))*'Data Entry'!$C$69+$AQ$16</f>
        <v>1.2286007609406925E-4</v>
      </c>
      <c r="V35" s="1">
        <f ca="1">SUMPRODUCT(B35:L35,$B$9:$L$9)+INDEX(Indicators,MATCH(A35,Materials!$D:$D),MATCH("Truck (32+t)",Materials!$1:$1,0))*'Data Entry'!$C$71</f>
        <v>3.4749599999999999E-6</v>
      </c>
      <c r="W35" s="1">
        <f ca="1">SUMPRODUCT(B35:L35,$B$10:$L$10)+INDEX(Indicators,MATCH(A35,Materials!$D:$D),MATCH("Truck (32+t)",Materials!$1:$1,0))*'Data Entry'!$C$72</f>
        <v>3.0686000000000004E-7</v>
      </c>
      <c r="Z35">
        <v>0</v>
      </c>
      <c r="AA35">
        <v>0</v>
      </c>
      <c r="AB35">
        <v>0</v>
      </c>
      <c r="AC35" s="209">
        <v>0</v>
      </c>
      <c r="AD35" s="209"/>
      <c r="AF35" cm="1">
        <f t="array" ref="AF35">SUMPRODUCT($AF$2:$AF$5, TRANSPOSE($Z35:$AC35))</f>
        <v>0</v>
      </c>
      <c r="AG35" cm="1">
        <f t="array" ref="AG35">SUMPRODUCT($AG$2:$AG$5, TRANSPOSE($Z35:$AC35))</f>
        <v>0</v>
      </c>
      <c r="AH35" cm="1">
        <f t="array" ref="AH35">SUMPRODUCT($AH$2:$AH$5, TRANSPOSE($Z35:$AC35))</f>
        <v>0</v>
      </c>
      <c r="AK35" t="s">
        <v>518</v>
      </c>
      <c r="AL35" t="s">
        <v>54</v>
      </c>
      <c r="AM35" cm="1">
        <f t="array" aca="1" ref="AM35" ca="1">IFERROR(($AM$2*INDEX(Indicators,MATCH($A35,INDEX(Indicators,0,4),0),MATCH($AK$2,INDEX(Indicators,1,0),0)))+($AM$3*INDEX(Indicators,MATCH($A35,INDEX(Indicators,0,4),0),MATCH($AK$3,INDEX(Indicators,1,0),0)))+(INDEX(Electricity_projection,MATCH(AL35&amp;AK35,INDEX(Electricity_projection,0,3),0),MATCH(YEAR(TODAY()),Timeline_elec_projec,0)+3)*$AM$4), 0)</f>
        <v>0</v>
      </c>
      <c r="AN35" cm="1">
        <f t="array" aca="1" ref="AN35" ca="1">IFERROR(($AN$2*INDEX(Indicators,MATCH($A35,INDEX(Indicators,0,4),0),MATCH($AK$2,INDEX(Indicators,1,0),0)))+($AN$3*INDEX(Indicators,MATCH($A35,INDEX(Indicators,0,4),0),MATCH($AK$3,INDEX(Indicators,1,0),0)))+(INDEX(Electricity_projection,MATCH(AL35&amp;AK35,INDEX(Electricity_projection,0,3),0),MATCH(YEAR(TODAY()),Timeline_elec_projec,0)+3)*$AN$4), 0)</f>
        <v>0</v>
      </c>
      <c r="AO35" cm="1">
        <f t="array" aca="1" ref="AO35" ca="1">IFERROR(($AO$2*INDEX(Indicators,MATCH($A35,INDEX(Indicators,0,4),0),MATCH($AK$2,INDEX(Indicators,1,0),0)))+($AO$3*INDEX(Indicators,MATCH($A35,INDEX(Indicators,0,4),0),MATCH($AK$3,INDEX(Indicators,1,0),0)))+(INDEX(Electricity_projection,MATCH(AL35&amp;AK35,INDEX(Electricity_projection,0,3),0),MATCH(YEAR(TODAY()),Timeline_elec_projec,0)+3)*$AO$4), 0)</f>
        <v>0</v>
      </c>
      <c r="AP35" cm="1">
        <f t="array" aca="1" ref="AP35" ca="1">IFERROR(($AP$2*INDEX(Indicators,MATCH($A35,INDEX(Indicators,0,4),0),MATCH($AK$2,INDEX(Indicators,1,0),0)))+($AP$3*INDEX(Indicators,MATCH($A35,INDEX(Indicators,0,4),0),MATCH($AK$3,INDEX(Indicators,1,0),0)))+(INDEX(Electricity_projection,MATCH(AL35&amp;AK35,INDEX(Electricity_projection,0,3),0),MATCH(YEAR(TODAY()),Timeline_elec_projec,0)+3)*$AP$4), 0)</f>
        <v>0</v>
      </c>
      <c r="AQ35">
        <f ca="1"/>
        <v>0</v>
      </c>
    </row>
    <row r="36" spans="1:43" x14ac:dyDescent="0.35">
      <c r="A36" t="str" cm="1">
        <f t="array" ref="A36">INDEX(Indicators,ROW()-9,4)</f>
        <v>A2AttributionalAP</v>
      </c>
      <c r="B36" s="540" cm="1">
        <f t="array" aca="1" ref="B36:I36" ca="1">INDEX(Indicators,ROW()-9,MATCH(Handle_Wearing_Course,Materials!$1:$1,0))</f>
        <v>1.9103175611437017E-5</v>
      </c>
      <c r="C36" s="1">
        <f ca="1"/>
        <v>1.3998784323777648E-5</v>
      </c>
      <c r="D36" s="1">
        <f ca="1"/>
        <v>2.2419748869770804E-5</v>
      </c>
      <c r="E36" s="1">
        <f ca="1"/>
        <v>5.6587106833870006E-3</v>
      </c>
      <c r="F36" s="1">
        <f ca="1"/>
        <v>8.2299999999999995E-4</v>
      </c>
      <c r="G36" s="1">
        <f ca="1"/>
        <v>2.5800000000000001E-7</v>
      </c>
      <c r="H36" s="1">
        <f ca="1"/>
        <v>0</v>
      </c>
      <c r="I36" s="212">
        <f ca="1"/>
        <v>6.8940000000000008E-3</v>
      </c>
      <c r="J36" s="1">
        <v>7.5959999999999986E-3</v>
      </c>
      <c r="K36" s="1">
        <v>6.8940000000000008E-3</v>
      </c>
      <c r="L36" s="1">
        <v>6.8940000000000008E-3</v>
      </c>
      <c r="O36" s="1">
        <f ca="1">SUMPRODUCT(B36:L36,$B$2:$L$2)+INDEX(Indicators,MATCH(A36,Materials!$D:$D),MATCH("Truck (32+t)",Materials!$1:$1,0))*'Data Entry'!$C$64</f>
        <v>3.5747962607797084E-4</v>
      </c>
      <c r="P36" s="1">
        <f ca="1">SUMPRODUCT(B36:L36,$B$3:$L$3)+INDEX(Indicators,MATCH(A36,Materials!$D:$D),MATCH("Truck (32+t)",Materials!$1:$1,0))*'Data Entry'!$C$72</f>
        <v>4.7371698507475067E-4</v>
      </c>
      <c r="Q36" s="1">
        <f ca="1">SUMPRODUCT(B36:L36,$B$4:$L$4)+INDEX(Indicators,MATCH(A36,Materials!$D:$D),MATCH("Truck (32+t)",Materials!$1:$1,0))*'Data Entry'!$C$66+$AQ$16</f>
        <v>5.3806240655312923E-4</v>
      </c>
      <c r="R36" s="1">
        <f ca="1">SUMPRODUCT(B36:L36,$B$5:$L$5)+INDEX(Indicators,MATCH(A36,Materials!$D:$D),MATCH("Truck (32+t)",Materials!$1:$1,0))*'Data Entry'!$C$68+$AQ$16</f>
        <v>5.5967996959385669E-4</v>
      </c>
      <c r="S36" s="1">
        <f ca="1">SUMPRODUCT(B36:L36,$B$6:$L$6)+INDEX(Indicators,MATCH(A36,Materials!$D:$D),MATCH("Truck (32+t)",Materials!$1:$1,0))*'Data Entry'!$C$70+$AQ$16</f>
        <v>4.8033970217204011E-4</v>
      </c>
      <c r="T36" s="1">
        <f ca="1">SUMPRODUCT(B36:L36,$B$7:$L$7)+INDEX(Indicators,MATCH(A36,Materials!$D:$D),MATCH("Truck (32+t)",Materials!$1:$1,0))*'Data Entry'!$C$68+$AQ$16</f>
        <v>4.9886904192123502E-4</v>
      </c>
      <c r="U36" s="1">
        <f ca="1">SUMPRODUCT(B36:L36,$B$8:$L$8)+INDEX(Indicators,MATCH(A36,Materials!$D:$D),MATCH("Truck (32+t)",Materials!$1:$1,0))*'Data Entry'!$C$69+$AQ$16</f>
        <v>4.2394362709428446E-4</v>
      </c>
      <c r="V36" s="1">
        <f ca="1">SUMPRODUCT(B36:L36,$B$9:$L$9)+INDEX(Indicators,MATCH(A36,Materials!$D:$D),MATCH("Truck (32+t)",Materials!$1:$1,0))*'Data Entry'!$C$71</f>
        <v>1.1283423757967266E-4</v>
      </c>
      <c r="W36" s="1">
        <f ca="1">SUMPRODUCT(B36:L36,$B$10:$L$10)+INDEX(Indicators,MATCH(A36,Materials!$D:$D),MATCH("Truck (32+t)",Materials!$1:$1,0))*'Data Entry'!$C$72</f>
        <v>5.5149514000000003E-4</v>
      </c>
      <c r="Z36">
        <v>1.6840000000000001E-2</v>
      </c>
      <c r="AA36">
        <v>1.58E-3</v>
      </c>
      <c r="AB36">
        <v>2.3439999999999999E-2</v>
      </c>
      <c r="AC36" s="209">
        <v>5.4900000000000001E-3</v>
      </c>
      <c r="AD36" s="209"/>
      <c r="AF36" cm="1">
        <f t="array" ref="AF36">SUMPRODUCT($AF$2:$AF$5, TRANSPOSE($Z36:$AC36))</f>
        <v>7.5959999999999986E-3</v>
      </c>
      <c r="AG36" cm="1">
        <f t="array" ref="AG36">SUMPRODUCT($AG$2:$AG$5, TRANSPOSE($Z36:$AC36))</f>
        <v>6.8940000000000008E-3</v>
      </c>
      <c r="AH36" cm="1">
        <f t="array" ref="AH36">SUMPRODUCT($AH$2:$AH$5, TRANSPOSE($Z36:$AC36))</f>
        <v>6.8940000000000008E-3</v>
      </c>
      <c r="AK36" t="s">
        <v>379</v>
      </c>
      <c r="AL36" t="s">
        <v>54</v>
      </c>
      <c r="AM36" cm="1">
        <f t="array" aca="1" ref="AM36" ca="1">IFERROR(($AM$2*INDEX(Indicators,MATCH($A36,INDEX(Indicators,0,4),0),MATCH($AK$2,INDEX(Indicators,1,0),0)))+($AM$3*INDEX(Indicators,MATCH($A36,INDEX(Indicators,0,4),0),MATCH($AK$3,INDEX(Indicators,1,0),0)))+(INDEX(Electricity_projection,MATCH(AL36&amp;AK36,INDEX(Electricity_projection,0,3),0),MATCH(YEAR(TODAY()),Timeline_elec_projec,0)+3)*$AM$4), 0)</f>
        <v>1.6242878091283965E-4</v>
      </c>
      <c r="AN36" cm="1">
        <f t="array" aca="1" ref="AN36" ca="1">IFERROR(($AN$2*INDEX(Indicators,MATCH($A36,INDEX(Indicators,0,4),0),MATCH($AK$2,INDEX(Indicators,1,0),0)))+($AN$3*INDEX(Indicators,MATCH($A36,INDEX(Indicators,0,4),0),MATCH($AK$3,INDEX(Indicators,1,0),0)))+(INDEX(Electricity_projection,MATCH(AL36&amp;AK36,INDEX(Electricity_projection,0,3),0),MATCH(YEAR(TODAY()),Timeline_elec_projec,0)+3)*$AN$4), 0)</f>
        <v>1.5048997120237892E-4</v>
      </c>
      <c r="AO36" cm="1">
        <f t="array" aca="1" ref="AO36" ca="1">IFERROR(($AO$2*INDEX(Indicators,MATCH($A36,INDEX(Indicators,0,4),0),MATCH($AK$2,INDEX(Indicators,1,0),0)))+($AO$3*INDEX(Indicators,MATCH($A36,INDEX(Indicators,0,4),0),MATCH($AK$3,INDEX(Indicators,1,0),0)))+(INDEX(Electricity_projection,MATCH(AL36&amp;AK36,INDEX(Electricity_projection,0,3),0),MATCH(YEAR(TODAY()),Timeline_elec_projec,0)+3)*$AO$4), 0)</f>
        <v>4.7629363609313117E-5</v>
      </c>
      <c r="AP36" cm="1">
        <f t="array" aca="1" ref="AP36" ca="1">IFERROR(($AP$2*INDEX(Indicators,MATCH($A36,INDEX(Indicators,0,4),0),MATCH($AK$2,INDEX(Indicators,1,0),0)))+($AP$3*INDEX(Indicators,MATCH($A36,INDEX(Indicators,0,4),0),MATCH($AK$3,INDEX(Indicators,1,0),0)))+(INDEX(Electricity_projection,MATCH(AL36&amp;AK36,INDEX(Electricity_projection,0,3),0),MATCH(YEAR(TODAY()),Timeline_elec_projec,0)+3)*$AP$4), 0)</f>
        <v>4.3542363609313114E-5</v>
      </c>
      <c r="AQ36">
        <f ca="1"/>
        <v>1.6242878091283965E-4</v>
      </c>
    </row>
    <row r="37" spans="1:43" x14ac:dyDescent="0.35">
      <c r="A37" t="str" cm="1">
        <f t="array" ref="A37">INDEX(Indicators,ROW()-9,4)</f>
        <v>A2AttributionalGWP_bio</v>
      </c>
      <c r="B37" s="540" cm="1">
        <f t="array" aca="1" ref="B37:I37" ca="1">INDEX(Indicators,ROW()-9,MATCH(Handle_Wearing_Course,Materials!$1:$1,0))</f>
        <v>1.5902995500000001E-6</v>
      </c>
      <c r="C37" s="1">
        <f ca="1"/>
        <v>5.1092819999999997E-7</v>
      </c>
      <c r="D37" s="1">
        <f ca="1"/>
        <v>2.6701049999999997E-7</v>
      </c>
      <c r="E37" s="1">
        <f ca="1"/>
        <v>8.8787969085332979E-4</v>
      </c>
      <c r="F37" s="1">
        <f ca="1"/>
        <v>0</v>
      </c>
      <c r="G37" s="1">
        <f ca="1"/>
        <v>2.5900000000000002E-6</v>
      </c>
      <c r="H37" s="1">
        <f ca="1"/>
        <v>0</v>
      </c>
      <c r="I37" s="212">
        <f ca="1"/>
        <v>-1.3359999999999997E-3</v>
      </c>
      <c r="J37" s="1">
        <v>-2.2239999999999998E-3</v>
      </c>
      <c r="K37" s="1">
        <v>-1.3359999999999997E-3</v>
      </c>
      <c r="L37" s="1">
        <v>-1.3359999999999997E-3</v>
      </c>
      <c r="O37" s="1">
        <f ca="1">SUMPRODUCT(B37:L37,$B$2:$L$2)+INDEX(Indicators,MATCH(A37,Materials!$D:$D),MATCH("Truck (32+t)",Materials!$1:$1,0))*'Data Entry'!$C$64</f>
        <v>5.4767663028199786E-5</v>
      </c>
      <c r="P37" s="1">
        <f ca="1">SUMPRODUCT(B37:L37,$B$3:$L$3)+INDEX(Indicators,MATCH(A37,Materials!$D:$D),MATCH("Truck (32+t)",Materials!$1:$1,0))*'Data Entry'!$C$72</f>
        <v>-1.3194511842299999E-4</v>
      </c>
      <c r="Q37" s="1">
        <f ca="1">SUMPRODUCT(B37:L37,$B$4:$L$4)+INDEX(Indicators,MATCH(A37,Materials!$D:$D),MATCH("Truck (32+t)",Materials!$1:$1,0))*'Data Entry'!$C$66+$AQ$16</f>
        <v>1.8596131741530233E-4</v>
      </c>
      <c r="R37" s="1">
        <f ca="1">SUMPRODUCT(B37:L37,$B$5:$L$5)+INDEX(Indicators,MATCH(A37,Materials!$D:$D),MATCH("Truck (32+t)",Materials!$1:$1,0))*'Data Entry'!$C$68+$AQ$16</f>
        <v>1.4704342282536906E-4</v>
      </c>
      <c r="S37" s="1">
        <f ca="1">SUMPRODUCT(B37:L37,$B$6:$L$6)+INDEX(Indicators,MATCH(A37,Materials!$D:$D),MATCH("Truck (32+t)",Materials!$1:$1,0))*'Data Entry'!$C$70+$AQ$16</f>
        <v>1.7762773912226903E-4</v>
      </c>
      <c r="T37" s="1">
        <f ca="1">SUMPRODUCT(B37:L37,$B$7:$L$7)+INDEX(Indicators,MATCH(A37,Materials!$D:$D),MATCH("Truck (32+t)",Materials!$1:$1,0))*'Data Entry'!$C$68+$AQ$16</f>
        <v>1.442695437594691E-4</v>
      </c>
      <c r="U37" s="1">
        <f ca="1">SUMPRODUCT(B37:L37,$B$8:$L$8)+INDEX(Indicators,MATCH(A37,Materials!$D:$D),MATCH("Truck (32+t)",Materials!$1:$1,0))*'Data Entry'!$C$69+$AQ$16</f>
        <v>1.6876484520923573E-4</v>
      </c>
      <c r="V37" s="1">
        <f ca="1">SUMPRODUCT(B37:L37,$B$9:$L$9)+INDEX(Indicators,MATCH(A37,Materials!$D:$D),MATCH("Truck (32+t)",Materials!$1:$1,0))*'Data Entry'!$C$71</f>
        <v>1.237051875E-6</v>
      </c>
      <c r="W37" s="1">
        <f ca="1">SUMPRODUCT(B37:L37,$B$10:$L$10)+INDEX(Indicators,MATCH(A37,Materials!$D:$D),MATCH("Truck (32+t)",Materials!$1:$1,0))*'Data Entry'!$C$72</f>
        <v>8.5470000000000005E-7</v>
      </c>
      <c r="Z37">
        <v>-1.617E-2</v>
      </c>
      <c r="AA37">
        <v>1E-4</v>
      </c>
      <c r="AB37">
        <v>-1.6979999999999999E-2</v>
      </c>
      <c r="AC37" s="209">
        <v>4.4000000000000002E-4</v>
      </c>
      <c r="AD37" s="209"/>
      <c r="AF37" cm="1">
        <f t="array" ref="AF37">SUMPRODUCT($AF$2:$AF$5, TRANSPOSE($Z37:$AC37))</f>
        <v>-2.2239999999999998E-3</v>
      </c>
      <c r="AG37" cm="1">
        <f t="array" ref="AG37">SUMPRODUCT($AG$2:$AG$5, TRANSPOSE($Z37:$AC37))</f>
        <v>-1.3359999999999997E-3</v>
      </c>
      <c r="AH37" cm="1">
        <f t="array" ref="AH37">SUMPRODUCT($AH$2:$AH$5, TRANSPOSE($Z37:$AC37))</f>
        <v>-1.3359999999999997E-3</v>
      </c>
      <c r="AK37" t="s">
        <v>384</v>
      </c>
      <c r="AL37" t="s">
        <v>54</v>
      </c>
      <c r="AM37" cm="1">
        <f t="array" aca="1" ref="AM37" ca="1">IFERROR(($AM$2*INDEX(Indicators,MATCH($A37,INDEX(Indicators,0,4),0),MATCH($AK$2,INDEX(Indicators,1,0),0)))+($AM$3*INDEX(Indicators,MATCH($A37,INDEX(Indicators,0,4),0),MATCH($AK$3,INDEX(Indicators,1,0),0)))+(INDEX(Electricity_projection,MATCH(AL37&amp;AK37,INDEX(Electricity_projection,0,3),0),MATCH(YEAR(TODAY()),Timeline_elec_projec,0)+3)*$AM$4), 0)</f>
        <v>0</v>
      </c>
      <c r="AN37" cm="1">
        <f t="array" aca="1" ref="AN37" ca="1">IFERROR(($AN$2*INDEX(Indicators,MATCH($A37,INDEX(Indicators,0,4),0),MATCH($AK$2,INDEX(Indicators,1,0),0)))+($AN$3*INDEX(Indicators,MATCH($A37,INDEX(Indicators,0,4),0),MATCH($AK$3,INDEX(Indicators,1,0),0)))+(INDEX(Electricity_projection,MATCH(AL37&amp;AK37,INDEX(Electricity_projection,0,3),0),MATCH(YEAR(TODAY()),Timeline_elec_projec,0)+3)*$AN$4), 0)</f>
        <v>0</v>
      </c>
      <c r="AO37" cm="1">
        <f t="array" aca="1" ref="AO37" ca="1">IFERROR(($AO$2*INDEX(Indicators,MATCH($A37,INDEX(Indicators,0,4),0),MATCH($AK$2,INDEX(Indicators,1,0),0)))+($AO$3*INDEX(Indicators,MATCH($A37,INDEX(Indicators,0,4),0),MATCH($AK$3,INDEX(Indicators,1,0),0)))+(INDEX(Electricity_projection,MATCH(AL37&amp;AK37,INDEX(Electricity_projection,0,3),0),MATCH(YEAR(TODAY()),Timeline_elec_projec,0)+3)*$AO$4), 0)</f>
        <v>0</v>
      </c>
      <c r="AP37" cm="1">
        <f t="array" aca="1" ref="AP37" ca="1">IFERROR(($AP$2*INDEX(Indicators,MATCH($A37,INDEX(Indicators,0,4),0),MATCH($AK$2,INDEX(Indicators,1,0),0)))+($AP$3*INDEX(Indicators,MATCH($A37,INDEX(Indicators,0,4),0),MATCH($AK$3,INDEX(Indicators,1,0),0)))+(INDEX(Electricity_projection,MATCH(AL37&amp;AK37,INDEX(Electricity_projection,0,3),0),MATCH(YEAR(TODAY()),Timeline_elec_projec,0)+3)*$AP$4), 0)</f>
        <v>0</v>
      </c>
      <c r="AQ37">
        <f ca="1"/>
        <v>0</v>
      </c>
    </row>
    <row r="38" spans="1:43" x14ac:dyDescent="0.35">
      <c r="A38" t="str" cm="1">
        <f t="array" ref="A38">INDEX(Indicators,ROW()-9,4)</f>
        <v>A2AttributionalGWP_foss</v>
      </c>
      <c r="B38" s="540" cm="1">
        <f t="array" aca="1" ref="B38:I38" ca="1">INDEX(Indicators,ROW()-9,MATCH(Handle_Wearing_Course,Materials!$1:$1,0))</f>
        <v>3.516139109226562E-3</v>
      </c>
      <c r="C38" s="1">
        <f ca="1"/>
        <v>2.2006983933739181E-3</v>
      </c>
      <c r="D38" s="1">
        <f ca="1"/>
        <v>1.1500824937123583E-3</v>
      </c>
      <c r="E38" s="1">
        <f ca="1"/>
        <v>0.44002818389918896</v>
      </c>
      <c r="F38" s="1">
        <f ca="1"/>
        <v>0</v>
      </c>
      <c r="G38" s="1">
        <f ca="1"/>
        <v>4.35E-5</v>
      </c>
      <c r="H38" s="1">
        <f ca="1"/>
        <v>0</v>
      </c>
      <c r="I38" s="212">
        <f ca="1"/>
        <v>0.93145800000000001</v>
      </c>
      <c r="J38" s="1">
        <v>1.1355270000000002</v>
      </c>
      <c r="K38" s="1">
        <v>0.93145800000000001</v>
      </c>
      <c r="L38" s="1">
        <v>0.93145800000000001</v>
      </c>
      <c r="O38" s="1">
        <f ca="1">SUMPRODUCT(B38:L38,$B$2:$L$2)+INDEX(Indicators,MATCH(A38,Materials!$D:$D),MATCH("Truck (32+t)",Materials!$1:$1,0))*'Data Entry'!$C$64</f>
        <v>2.9706861796624306E-2</v>
      </c>
      <c r="P38" s="1">
        <f ca="1">SUMPRODUCT(B38:L38,$B$3:$L$3)+INDEX(Indicators,MATCH(A38,Materials!$D:$D),MATCH("Truck (32+t)",Materials!$1:$1,0))*'Data Entry'!$C$72</f>
        <v>7.1436790762672966E-2</v>
      </c>
      <c r="Q38" s="1">
        <f ca="1">SUMPRODUCT(B38:L38,$B$4:$L$4)+INDEX(Indicators,MATCH(A38,Materials!$D:$D),MATCH("Truck (32+t)",Materials!$1:$1,0))*'Data Entry'!$C$66+$AQ$16</f>
        <v>3.3248419674412326E-2</v>
      </c>
      <c r="R38" s="1">
        <f ca="1">SUMPRODUCT(B38:L38,$B$5:$L$5)+INDEX(Indicators,MATCH(A38,Materials!$D:$D),MATCH("Truck (32+t)",Materials!$1:$1,0))*'Data Entry'!$C$68+$AQ$16</f>
        <v>4.1848441456176513E-2</v>
      </c>
      <c r="S38" s="1">
        <f ca="1">SUMPRODUCT(B38:L38,$B$6:$L$6)+INDEX(Indicators,MATCH(A38,Materials!$D:$D),MATCH("Truck (32+t)",Materials!$1:$1,0))*'Data Entry'!$C$70+$AQ$16</f>
        <v>2.9829721872718377E-2</v>
      </c>
      <c r="T38" s="1">
        <f ca="1">SUMPRODUCT(B38:L38,$B$7:$L$7)+INDEX(Indicators,MATCH(A38,Materials!$D:$D),MATCH("Truck (32+t)",Materials!$1:$1,0))*'Data Entry'!$C$68+$AQ$16</f>
        <v>3.7201169114230541E-2</v>
      </c>
      <c r="U38" s="1">
        <f ca="1">SUMPRODUCT(B38:L38,$B$8:$L$8)+INDEX(Indicators,MATCH(A38,Materials!$D:$D),MATCH("Truck (32+t)",Materials!$1:$1,0))*'Data Entry'!$C$69+$AQ$16</f>
        <v>2.5464601424818756E-2</v>
      </c>
      <c r="V38" s="1">
        <f ca="1">SUMPRODUCT(B38:L38,$B$9:$L$9)+INDEX(Indicators,MATCH(A38,Materials!$D:$D),MATCH("Truck (32+t)",Materials!$1:$1,0))*'Data Entry'!$C$71</f>
        <v>1.9946110533557524E-3</v>
      </c>
      <c r="W38" s="1">
        <f ca="1">SUMPRODUCT(B38:L38,$B$10:$L$10)+INDEX(Indicators,MATCH(A38,Materials!$D:$D),MATCH("Truck (32+t)",Materials!$1:$1,0))*'Data Entry'!$C$72</f>
        <v>1.4355000000000001E-5</v>
      </c>
      <c r="Z38">
        <v>3.74661</v>
      </c>
      <c r="AA38">
        <v>0.35749999999999998</v>
      </c>
      <c r="AB38">
        <v>4.7705200000000003</v>
      </c>
      <c r="AC38" s="209">
        <v>0.52332000000000001</v>
      </c>
      <c r="AD38" s="209"/>
      <c r="AF38" cm="1">
        <f t="array" ref="AF38">SUMPRODUCT($AF$2:$AF$5, TRANSPOSE($Z38:$AC38))</f>
        <v>1.1355270000000002</v>
      </c>
      <c r="AG38" cm="1">
        <f t="array" ref="AG38">SUMPRODUCT($AG$2:$AG$5, TRANSPOSE($Z38:$AC38))</f>
        <v>0.93145800000000001</v>
      </c>
      <c r="AH38" cm="1">
        <f t="array" ref="AH38">SUMPRODUCT($AH$2:$AH$5, TRANSPOSE($Z38:$AC38))</f>
        <v>0.93145800000000001</v>
      </c>
      <c r="AK38" t="s">
        <v>386</v>
      </c>
      <c r="AL38" t="s">
        <v>54</v>
      </c>
      <c r="AM38" cm="1">
        <f t="array" aca="1" ref="AM38" ca="1">IFERROR(($AM$2*INDEX(Indicators,MATCH($A38,INDEX(Indicators,0,4),0),MATCH($AK$2,INDEX(Indicators,1,0),0)))+($AM$3*INDEX(Indicators,MATCH($A38,INDEX(Indicators,0,4),0),MATCH($AK$3,INDEX(Indicators,1,0),0)))+(INDEX(Electricity_projection,MATCH(AL38&amp;AK38,INDEX(Electricity_projection,0,3),0),MATCH(YEAR(TODAY()),Timeline_elec_projec,0)+3)*$AM$4), 0)</f>
        <v>0</v>
      </c>
      <c r="AN38" cm="1">
        <f t="array" aca="1" ref="AN38" ca="1">IFERROR(($AN$2*INDEX(Indicators,MATCH($A38,INDEX(Indicators,0,4),0),MATCH($AK$2,INDEX(Indicators,1,0),0)))+($AN$3*INDEX(Indicators,MATCH($A38,INDEX(Indicators,0,4),0),MATCH($AK$3,INDEX(Indicators,1,0),0)))+(INDEX(Electricity_projection,MATCH(AL38&amp;AK38,INDEX(Electricity_projection,0,3),0),MATCH(YEAR(TODAY()),Timeline_elec_projec,0)+3)*$AN$4), 0)</f>
        <v>0</v>
      </c>
      <c r="AO38" cm="1">
        <f t="array" aca="1" ref="AO38" ca="1">IFERROR(($AO$2*INDEX(Indicators,MATCH($A38,INDEX(Indicators,0,4),0),MATCH($AK$2,INDEX(Indicators,1,0),0)))+($AO$3*INDEX(Indicators,MATCH($A38,INDEX(Indicators,0,4),0),MATCH($AK$3,INDEX(Indicators,1,0),0)))+(INDEX(Electricity_projection,MATCH(AL38&amp;AK38,INDEX(Electricity_projection,0,3),0),MATCH(YEAR(TODAY()),Timeline_elec_projec,0)+3)*$AO$4), 0)</f>
        <v>0</v>
      </c>
      <c r="AP38" cm="1">
        <f t="array" aca="1" ref="AP38" ca="1">IFERROR(($AP$2*INDEX(Indicators,MATCH($A38,INDEX(Indicators,0,4),0),MATCH($AK$2,INDEX(Indicators,1,0),0)))+($AP$3*INDEX(Indicators,MATCH($A38,INDEX(Indicators,0,4),0),MATCH($AK$3,INDEX(Indicators,1,0),0)))+(INDEX(Electricity_projection,MATCH(AL38&amp;AK38,INDEX(Electricity_projection,0,3),0),MATCH(YEAR(TODAY()),Timeline_elec_projec,0)+3)*$AP$4), 0)</f>
        <v>0</v>
      </c>
      <c r="AQ38">
        <f ca="1"/>
        <v>0</v>
      </c>
    </row>
    <row r="39" spans="1:43" x14ac:dyDescent="0.35">
      <c r="A39" t="str" cm="1">
        <f t="array" ref="A39">INDEX(Indicators,ROW()-9,4)</f>
        <v>A2AttributionalGWP_LUC</v>
      </c>
      <c r="B39" s="540" cm="1">
        <f t="array" aca="1" ref="B39:I39" ca="1">INDEX(Indicators,ROW()-9,MATCH(Handle_Wearing_Course,Materials!$1:$1,0))</f>
        <v>1.4394876000000002E-7</v>
      </c>
      <c r="C39" s="1">
        <f ca="1"/>
        <v>7.2131039999999999E-8</v>
      </c>
      <c r="D39" s="1">
        <f ca="1"/>
        <v>3.76956E-8</v>
      </c>
      <c r="E39" s="1">
        <f ca="1"/>
        <v>1.1779609989105834E-4</v>
      </c>
      <c r="F39" s="1">
        <f ca="1"/>
        <v>0</v>
      </c>
      <c r="G39" s="1">
        <f ca="1"/>
        <v>9.7100000000000003E-8</v>
      </c>
      <c r="H39" s="1">
        <f ca="1"/>
        <v>0</v>
      </c>
      <c r="I39" s="212">
        <f ca="1"/>
        <v>4.5000000000000004E-4</v>
      </c>
      <c r="J39" s="1">
        <v>6.0999999999999987E-4</v>
      </c>
      <c r="K39" s="1">
        <v>4.5000000000000004E-4</v>
      </c>
      <c r="L39" s="1">
        <v>4.5000000000000004E-4</v>
      </c>
      <c r="O39" s="1">
        <f ca="1">SUMPRODUCT(B39:L39,$B$2:$L$2)+INDEX(Indicators,MATCH(A39,Materials!$D:$D),MATCH("Truck (32+t)",Materials!$1:$1,0))*'Data Entry'!$C$64</f>
        <v>7.2030778278635E-6</v>
      </c>
      <c r="P39" s="1">
        <f ca="1">SUMPRODUCT(B39:L39,$B$3:$L$3)+INDEX(Indicators,MATCH(A39,Materials!$D:$D),MATCH("Truck (32+t)",Materials!$1:$1,0))*'Data Entry'!$C$72</f>
        <v>3.673531183439999E-5</v>
      </c>
      <c r="Q39" s="1">
        <f ca="1">SUMPRODUCT(B39:L39,$B$4:$L$4)+INDEX(Indicators,MATCH(A39,Materials!$D:$D),MATCH("Truck (32+t)",Materials!$1:$1,0))*'Data Entry'!$C$66+$AQ$16</f>
        <v>1.3119717416924334E-4</v>
      </c>
      <c r="R39" s="1">
        <f ca="1">SUMPRODUCT(B39:L39,$B$5:$L$5)+INDEX(Indicators,MATCH(A39,Materials!$D:$D),MATCH("Truck (32+t)",Materials!$1:$1,0))*'Data Entry'!$C$68+$AQ$16</f>
        <v>1.370107424211498E-4</v>
      </c>
      <c r="S39" s="1">
        <f ca="1">SUMPRODUCT(B39:L39,$B$6:$L$6)+INDEX(Indicators,MATCH(A39,Materials!$D:$D),MATCH("Truck (32+t)",Materials!$1:$1,0))*'Data Entry'!$C$70+$AQ$16</f>
        <v>1.3006315392193274E-4</v>
      </c>
      <c r="T39" s="1">
        <f ca="1">SUMPRODUCT(B39:L39,$B$7:$L$7)+INDEX(Indicators,MATCH(A39,Materials!$D:$D),MATCH("Truck (32+t)",Materials!$1:$1,0))*'Data Entry'!$C$68+$AQ$16</f>
        <v>1.3504621242356688E-4</v>
      </c>
      <c r="U39" s="1">
        <f ca="1">SUMPRODUCT(B39:L39,$B$8:$L$8)+INDEX(Indicators,MATCH(A39,Materials!$D:$D),MATCH("Truck (32+t)",Materials!$1:$1,0))*'Data Entry'!$C$69+$AQ$16</f>
        <v>1.2888663241062217E-4</v>
      </c>
      <c r="V39" s="1">
        <f ca="1">SUMPRODUCT(B39:L39,$B$9:$L$9)+INDEX(Indicators,MATCH(A39,Materials!$D:$D),MATCH("Truck (32+t)",Materials!$1:$1,0))*'Data Entry'!$C$71</f>
        <v>9.4078500000000004E-8</v>
      </c>
      <c r="W39" s="1">
        <f ca="1">SUMPRODUCT(B39:L39,$B$10:$L$10)+INDEX(Indicators,MATCH(A39,Materials!$D:$D),MATCH("Truck (32+t)",Materials!$1:$1,0))*'Data Entry'!$C$72</f>
        <v>3.2043000000000004E-8</v>
      </c>
      <c r="Z39">
        <v>2.3600000000000001E-3</v>
      </c>
      <c r="AA39">
        <v>3.2000000000000003E-4</v>
      </c>
      <c r="AB39">
        <v>3.14E-3</v>
      </c>
      <c r="AC39" s="209">
        <v>1.2999999999999999E-4</v>
      </c>
      <c r="AD39" s="209"/>
      <c r="AF39" cm="1">
        <f t="array" ref="AF39">SUMPRODUCT($AF$2:$AF$5, TRANSPOSE($Z39:$AC39))</f>
        <v>6.0999999999999987E-4</v>
      </c>
      <c r="AG39" cm="1">
        <f t="array" ref="AG39">SUMPRODUCT($AG$2:$AG$5, TRANSPOSE($Z39:$AC39))</f>
        <v>4.5000000000000004E-4</v>
      </c>
      <c r="AH39" cm="1">
        <f t="array" ref="AH39">SUMPRODUCT($AH$2:$AH$5, TRANSPOSE($Z39:$AC39))</f>
        <v>4.5000000000000004E-4</v>
      </c>
      <c r="AK39" t="s">
        <v>388</v>
      </c>
      <c r="AL39" t="s">
        <v>54</v>
      </c>
      <c r="AM39" cm="1">
        <f t="array" aca="1" ref="AM39" ca="1">IFERROR(($AM$2*INDEX(Indicators,MATCH($A39,INDEX(Indicators,0,4),0),MATCH($AK$2,INDEX(Indicators,1,0),0)))+($AM$3*INDEX(Indicators,MATCH($A39,INDEX(Indicators,0,4),0),MATCH($AK$3,INDEX(Indicators,1,0),0)))+(INDEX(Electricity_projection,MATCH(AL39&amp;AK39,INDEX(Electricity_projection,0,3),0),MATCH(YEAR(TODAY()),Timeline_elec_projec,0)+3)*$AM$4), 0)</f>
        <v>0</v>
      </c>
      <c r="AN39" cm="1">
        <f t="array" aca="1" ref="AN39" ca="1">IFERROR(($AN$2*INDEX(Indicators,MATCH($A39,INDEX(Indicators,0,4),0),MATCH($AK$2,INDEX(Indicators,1,0),0)))+($AN$3*INDEX(Indicators,MATCH($A39,INDEX(Indicators,0,4),0),MATCH($AK$3,INDEX(Indicators,1,0),0)))+(INDEX(Electricity_projection,MATCH(AL39&amp;AK39,INDEX(Electricity_projection,0,3),0),MATCH(YEAR(TODAY()),Timeline_elec_projec,0)+3)*$AN$4), 0)</f>
        <v>0</v>
      </c>
      <c r="AO39" cm="1">
        <f t="array" aca="1" ref="AO39" ca="1">IFERROR(($AO$2*INDEX(Indicators,MATCH($A39,INDEX(Indicators,0,4),0),MATCH($AK$2,INDEX(Indicators,1,0),0)))+($AO$3*INDEX(Indicators,MATCH($A39,INDEX(Indicators,0,4),0),MATCH($AK$3,INDEX(Indicators,1,0),0)))+(INDEX(Electricity_projection,MATCH(AL39&amp;AK39,INDEX(Electricity_projection,0,3),0),MATCH(YEAR(TODAY()),Timeline_elec_projec,0)+3)*$AO$4), 0)</f>
        <v>0</v>
      </c>
      <c r="AP39" cm="1">
        <f t="array" aca="1" ref="AP39" ca="1">IFERROR(($AP$2*INDEX(Indicators,MATCH($A39,INDEX(Indicators,0,4),0),MATCH($AK$2,INDEX(Indicators,1,0),0)))+($AP$3*INDEX(Indicators,MATCH($A39,INDEX(Indicators,0,4),0),MATCH($AK$3,INDEX(Indicators,1,0),0)))+(INDEX(Electricity_projection,MATCH(AL39&amp;AK39,INDEX(Electricity_projection,0,3),0),MATCH(YEAR(TODAY()),Timeline_elec_projec,0)+3)*$AP$4), 0)</f>
        <v>0</v>
      </c>
      <c r="AQ39">
        <f ca="1"/>
        <v>0</v>
      </c>
    </row>
    <row r="40" spans="1:43" x14ac:dyDescent="0.35">
      <c r="A40" t="str" cm="1">
        <f t="array" ref="A40">INDEX(Indicators,ROW()-9,4)</f>
        <v>A2AttributionalGWP</v>
      </c>
      <c r="B40" s="540" cm="1">
        <f t="array" aca="1" ref="B40:I40" ca="1">INDEX(Indicators,ROW()-9,MATCH(Handle_Wearing_Course,Materials!$1:$1,0))</f>
        <v>3.8495467957665617E-3</v>
      </c>
      <c r="C40" s="1">
        <f ca="1"/>
        <v>2.5812474635339179E-3</v>
      </c>
      <c r="D40" s="1">
        <f ca="1"/>
        <v>2.6154903411123582E-3</v>
      </c>
      <c r="E40" s="1">
        <f ca="1"/>
        <v>0.44105245581874919</v>
      </c>
      <c r="F40" s="1">
        <f ca="1"/>
        <v>0.73199999999999998</v>
      </c>
      <c r="G40" s="1">
        <f ca="1"/>
        <v>4.6199999999999998E-5</v>
      </c>
      <c r="H40" s="1">
        <f ca="1"/>
        <v>0</v>
      </c>
      <c r="I40" s="212">
        <f ca="1"/>
        <v>0.93059600000000009</v>
      </c>
      <c r="J40" s="1">
        <v>1.1339440000000001</v>
      </c>
      <c r="K40" s="1">
        <v>0.93059600000000009</v>
      </c>
      <c r="L40" s="1">
        <v>0.93059600000000009</v>
      </c>
      <c r="O40" s="1">
        <f ca="1">SUMPRODUCT(B40:L40,$B$2:$L$2)+INDEX(Indicators,MATCH(A40,Materials!$D:$D),MATCH("Truck (32+t)",Materials!$1:$1,0))*'Data Entry'!$C$64</f>
        <v>3.0081721337145519E-2</v>
      </c>
      <c r="P40" s="1">
        <f ca="1">SUMPRODUCT(B40:L40,$B$3:$L$3)+INDEX(Indicators,MATCH(A40,Materials!$D:$D),MATCH("Truck (32+t)",Materials!$1:$1,0))*'Data Entry'!$C$72</f>
        <v>7.1655213988020564E-2</v>
      </c>
      <c r="Q40" s="1">
        <f ca="1">SUMPRODUCT(B40:L40,$B$4:$L$4)+INDEX(Indicators,MATCH(A40,Materials!$D:$D),MATCH("Truck (32+t)",Materials!$1:$1,0))*'Data Entry'!$C$66+$AQ$16</f>
        <v>3.4082987921607737E-2</v>
      </c>
      <c r="R40" s="1">
        <f ca="1">SUMPRODUCT(B40:L40,$B$5:$L$5)+INDEX(Indicators,MATCH(A40,Materials!$D:$D),MATCH("Truck (32+t)",Materials!$1:$1,0))*'Data Entry'!$C$68+$AQ$16</f>
        <v>4.264999994477963E-2</v>
      </c>
      <c r="S40" s="1">
        <f ca="1">SUMPRODUCT(B40:L40,$B$6:$L$6)+INDEX(Indicators,MATCH(A40,Materials!$D:$D),MATCH("Truck (32+t)",Materials!$1:$1,0))*'Data Entry'!$C$70+$AQ$16</f>
        <v>3.020458141323959E-2</v>
      </c>
      <c r="T40" s="1">
        <f ca="1">SUMPRODUCT(B40:L40,$B$7:$L$7)+INDEX(Indicators,MATCH(A40,Materials!$D:$D),MATCH("Truck (32+t)",Materials!$1:$1,0))*'Data Entry'!$C$68+$AQ$16</f>
        <v>3.754773457595835E-2</v>
      </c>
      <c r="U40" s="1">
        <f ca="1">SUMPRODUCT(B40:L40,$B$8:$L$8)+INDEX(Indicators,MATCH(A40,Materials!$D:$D),MATCH("Truck (32+t)",Materials!$1:$1,0))*'Data Entry'!$C$69+$AQ$16</f>
        <v>2.5832552323009766E-2</v>
      </c>
      <c r="V40" s="1">
        <f ca="1">SUMPRODUCT(B40:L40,$B$9:$L$9)+INDEX(Indicators,MATCH(A40,Materials!$D:$D),MATCH("Truck (32+t)",Materials!$1:$1,0))*'Data Entry'!$C$71</f>
        <v>9.0294801466105759E-2</v>
      </c>
      <c r="W40" s="1">
        <f ca="1">SUMPRODUCT(B40:L40,$B$10:$L$10)+INDEX(Indicators,MATCH(A40,Materials!$D:$D),MATCH("Truck (32+t)",Materials!$1:$1,0))*'Data Entry'!$C$72</f>
        <v>0.49045524600000007</v>
      </c>
      <c r="Z40">
        <v>3.7328700000000001</v>
      </c>
      <c r="AA40">
        <v>0.35794999999999999</v>
      </c>
      <c r="AB40">
        <v>4.7568099999999998</v>
      </c>
      <c r="AC40" s="209">
        <v>0.52390000000000003</v>
      </c>
      <c r="AD40" s="209"/>
      <c r="AF40" cm="1">
        <f t="array" ref="AF40">SUMPRODUCT($AF$2:$AF$5, TRANSPOSE($Z40:$AC40))</f>
        <v>1.1339440000000001</v>
      </c>
      <c r="AG40" cm="1">
        <f t="array" ref="AG40">SUMPRODUCT($AG$2:$AG$5, TRANSPOSE($Z40:$AC40))</f>
        <v>0.93059600000000009</v>
      </c>
      <c r="AH40" cm="1">
        <f t="array" ref="AH40">SUMPRODUCT($AH$2:$AH$5, TRANSPOSE($Z40:$AC40))</f>
        <v>0.93059600000000009</v>
      </c>
      <c r="AK40" t="s">
        <v>382</v>
      </c>
      <c r="AL40" t="s">
        <v>54</v>
      </c>
      <c r="AM40" cm="1">
        <f t="array" aca="1" ref="AM40" ca="1">IFERROR(($AM$2*INDEX(Indicators,MATCH($A40,INDEX(Indicators,0,4),0),MATCH($AK$2,INDEX(Indicators,1,0),0)))+($AM$3*INDEX(Indicators,MATCH($A40,INDEX(Indicators,0,4),0),MATCH($AK$3,INDEX(Indicators,1,0),0)))+(INDEX(Electricity_projection,MATCH(AL40&amp;AK40,INDEX(Electricity_projection,0,3),0),MATCH(YEAR(TODAY()),Timeline_elec_projec,0)+3)*$AM$4), 0)</f>
        <v>2.7080786381757958E-2</v>
      </c>
      <c r="AN40" cm="1">
        <f t="array" aca="1" ref="AN40" ca="1">IFERROR(($AN$2*INDEX(Indicators,MATCH($A40,INDEX(Indicators,0,4),0),MATCH($AK$2,INDEX(Indicators,1,0),0)))+($AN$3*INDEX(Indicators,MATCH($A40,INDEX(Indicators,0,4),0),MATCH($AK$3,INDEX(Indicators,1,0),0)))+(INDEX(Electricity_projection,MATCH(AL40&amp;AK40,INDEX(Electricity_projection,0,3),0),MATCH(YEAR(TODAY()),Timeline_elec_projec,0)+3)*$AN$4), 0)</f>
        <v>2.4106972307112885E-2</v>
      </c>
      <c r="AO40" cm="1">
        <f t="array" aca="1" ref="AO40" ca="1">IFERROR(($AO$2*INDEX(Indicators,MATCH($A40,INDEX(Indicators,0,4),0),MATCH($AK$2,INDEX(Indicators,1,0),0)))+($AO$3*INDEX(Indicators,MATCH($A40,INDEX(Indicators,0,4),0),MATCH($AK$3,INDEX(Indicators,1,0),0)))+(INDEX(Electricity_projection,MATCH(AL40&amp;AK40,INDEX(Electricity_projection,0,3),0),MATCH(YEAR(TODAY()),Timeline_elec_projec,0)+3)*$AO$4), 0)</f>
        <v>2.5892915274068635E-2</v>
      </c>
      <c r="AP40" cm="1">
        <f t="array" aca="1" ref="AP40" ca="1">IFERROR(($AP$2*INDEX(Indicators,MATCH($A40,INDEX(Indicators,0,4),0),MATCH($AK$2,INDEX(Indicators,1,0),0)))+($AP$3*INDEX(Indicators,MATCH($A40,INDEX(Indicators,0,4),0),MATCH($AK$3,INDEX(Indicators,1,0),0)))+(INDEX(Electricity_projection,MATCH(AL40&amp;AK40,INDEX(Electricity_projection,0,3),0),MATCH(YEAR(TODAY()),Timeline_elec_projec,0)+3)*$AP$4), 0)</f>
        <v>2.2311885874068633E-2</v>
      </c>
      <c r="AQ40">
        <f ca="1"/>
        <v>2.7080786381757958E-2</v>
      </c>
    </row>
    <row r="41" spans="1:43" x14ac:dyDescent="0.35">
      <c r="A41" t="str" cm="1">
        <f t="array" ref="A41">INDEX(Indicators,ROW()-9,4)</f>
        <v>A2AttributionalADPE</v>
      </c>
      <c r="B41" s="540" cm="1">
        <f t="array" aca="1" ref="B41:I41" ca="1">INDEX(Indicators,ROW()-9,MATCH(Handle_Wearing_Course,Materials!$1:$1,0))</f>
        <v>2.2187293622299998E-9</v>
      </c>
      <c r="C41" s="1">
        <f ca="1"/>
        <v>1.78300158692E-9</v>
      </c>
      <c r="D41" s="1">
        <f ca="1"/>
        <v>4.3144612813000003E-9</v>
      </c>
      <c r="E41" s="1">
        <f ca="1"/>
        <v>1.1047546974257868E-6</v>
      </c>
      <c r="F41" s="1">
        <f ca="1"/>
        <v>9.9900000000000005E-9</v>
      </c>
      <c r="G41" s="1">
        <f ca="1"/>
        <v>3.6700000000000003E-10</v>
      </c>
      <c r="H41" s="1">
        <f ca="1"/>
        <v>0</v>
      </c>
      <c r="I41" s="212">
        <f ca="1"/>
        <v>1.5331201000000003E-5</v>
      </c>
      <c r="J41" s="1">
        <v>2.1386801500000001E-5</v>
      </c>
      <c r="K41" s="1">
        <v>1.5331201000000003E-5</v>
      </c>
      <c r="L41" s="1">
        <v>1.5331201000000003E-5</v>
      </c>
      <c r="O41" s="1">
        <f ca="1">SUMPRODUCT(B41:L41,$B$2:$L$2)+INDEX(Indicators,MATCH(A41,Materials!$D:$D),MATCH("Truck (32+t)",Materials!$1:$1,0))*'Data Entry'!$C$64</f>
        <v>6.8370887446043418E-8</v>
      </c>
      <c r="P41" s="1">
        <f ca="1">SUMPRODUCT(B41:L41,$B$3:$L$3)+INDEX(Indicators,MATCH(A41,Materials!$D:$D),MATCH("Truck (32+t)",Materials!$1:$1,0))*'Data Entry'!$C$72</f>
        <v>1.2852936956004961E-6</v>
      </c>
      <c r="Q41" s="1">
        <f ca="1">SUMPRODUCT(B41:L41,$B$4:$L$4)+INDEX(Indicators,MATCH(A41,Materials!$D:$D),MATCH("Truck (32+t)",Materials!$1:$1,0))*'Data Entry'!$C$66+$AQ$16</f>
        <v>1.2294031063396355E-4</v>
      </c>
      <c r="R41" s="1">
        <f ca="1">SUMPRODUCT(B41:L41,$B$5:$L$5)+INDEX(Indicators,MATCH(A41,Materials!$D:$D),MATCH("Truck (32+t)",Materials!$1:$1,0))*'Data Entry'!$C$68+$AQ$16</f>
        <v>1.2318927344425861E-4</v>
      </c>
      <c r="S41" s="1">
        <f ca="1">SUMPRODUCT(B41:L41,$B$6:$L$6)+INDEX(Indicators,MATCH(A41,Materials!$D:$D),MATCH("Truck (32+t)",Materials!$1:$1,0))*'Data Entry'!$C$70+$AQ$16</f>
        <v>1.2292844698151529E-4</v>
      </c>
      <c r="T41" s="1">
        <f ca="1">SUMPRODUCT(B41:L41,$B$7:$L$7)+INDEX(Indicators,MATCH(A41,Materials!$D:$D),MATCH("Truck (32+t)",Materials!$1:$1,0))*'Data Entry'!$C$68+$AQ$16</f>
        <v>1.2314184367605391E-4</v>
      </c>
      <c r="U41" s="1">
        <f ca="1">SUMPRODUCT(B41:L41,$B$8:$L$8)+INDEX(Indicators,MATCH(A41,Materials!$D:$D),MATCH("Truck (32+t)",Materials!$1:$1,0))*'Data Entry'!$C$69+$AQ$16</f>
        <v>1.2291742162183467E-4</v>
      </c>
      <c r="V41" s="1">
        <f ca="1">SUMPRODUCT(B41:L41,$B$9:$L$9)+INDEX(Indicators,MATCH(A41,Materials!$D:$D),MATCH("Truck (32+t)",Materials!$1:$1,0))*'Data Entry'!$C$71</f>
        <v>3.226106937375E-9</v>
      </c>
      <c r="W41" s="1">
        <f ca="1">SUMPRODUCT(B41:L41,$B$10:$L$10)+INDEX(Indicators,MATCH(A41,Materials!$D:$D),MATCH("Truck (32+t)",Materials!$1:$1,0))*'Data Entry'!$C$72</f>
        <v>6.8144100000000007E-9</v>
      </c>
      <c r="Z41" s="1">
        <v>5.0049800000000003E-5</v>
      </c>
      <c r="AA41" s="1">
        <v>7.5520099999999997E-6</v>
      </c>
      <c r="AB41">
        <v>1.2E-4</v>
      </c>
      <c r="AC41" s="209">
        <v>3.2200000000000001E-6</v>
      </c>
      <c r="AD41" s="209"/>
      <c r="AF41" cm="1">
        <f t="array" ref="AF41">SUMPRODUCT($AF$2:$AF$5, TRANSPOSE($Z41:$AC41))</f>
        <v>2.1386801500000001E-5</v>
      </c>
      <c r="AG41" cm="1">
        <f t="array" ref="AG41">SUMPRODUCT($AG$2:$AG$5, TRANSPOSE($Z41:$AC41))</f>
        <v>1.5331201000000003E-5</v>
      </c>
      <c r="AH41" cm="1">
        <f t="array" ref="AH41">SUMPRODUCT($AH$2:$AH$5, TRANSPOSE($Z41:$AC41))</f>
        <v>1.5331201000000003E-5</v>
      </c>
      <c r="AK41" t="s">
        <v>391</v>
      </c>
      <c r="AL41" t="s">
        <v>54</v>
      </c>
      <c r="AM41" cm="1">
        <f t="array" aca="1" ref="AM41" ca="1">IFERROR(($AM$2*INDEX(Indicators,MATCH($A41,INDEX(Indicators,0,4),0),MATCH($AK$2,INDEX(Indicators,1,0),0)))+($AM$3*INDEX(Indicators,MATCH($A41,INDEX(Indicators,0,4),0),MATCH($AK$3,INDEX(Indicators,1,0),0)))+(INDEX(Electricity_projection,MATCH(AL41&amp;AK41,INDEX(Electricity_projection,0,3),0),MATCH(YEAR(TODAY()),Timeline_elec_projec,0)+3)*$AM$4), 0)</f>
        <v>1.2725540032151657E-8</v>
      </c>
      <c r="AN41" cm="1">
        <f t="array" aca="1" ref="AN41" ca="1">IFERROR(($AN$2*INDEX(Indicators,MATCH($A41,INDEX(Indicators,0,4),0),MATCH($AK$2,INDEX(Indicators,1,0),0)))+($AN$3*INDEX(Indicators,MATCH($A41,INDEX(Indicators,0,4),0),MATCH($AK$3,INDEX(Indicators,1,0),0)))+(INDEX(Electricity_projection,MATCH(AL41&amp;AK41,INDEX(Electricity_projection,0,3),0),MATCH(YEAR(TODAY()),Timeline_elec_projec,0)+3)*$AN$4), 0)</f>
        <v>1.3518021135974466E-8</v>
      </c>
      <c r="AO41" cm="1">
        <f t="array" aca="1" ref="AO41" ca="1">IFERROR(($AO$2*INDEX(Indicators,MATCH($A41,INDEX(Indicators,0,4),0),MATCH($AK$2,INDEX(Indicators,1,0),0)))+($AO$3*INDEX(Indicators,MATCH($A41,INDEX(Indicators,0,4),0),MATCH($AK$3,INDEX(Indicators,1,0),0)))+(INDEX(Electricity_projection,MATCH(AL41&amp;AK41,INDEX(Electricity_projection,0,3),0),MATCH(YEAR(TODAY()),Timeline_elec_projec,0)+3)*$AO$4), 0)</f>
        <v>5.1367748002292071E-8</v>
      </c>
      <c r="AP41" cm="1">
        <f t="array" aca="1" ref="AP41" ca="1">IFERROR(($AP$2*INDEX(Indicators,MATCH($A41,INDEX(Indicators,0,4),0),MATCH($AK$2,INDEX(Indicators,1,0),0)))+($AP$3*INDEX(Indicators,MATCH($A41,INDEX(Indicators,0,4),0),MATCH($AK$3,INDEX(Indicators,1,0),0)))+(INDEX(Electricity_projection,MATCH(AL41&amp;AK41,INDEX(Electricity_projection,0,3),0),MATCH(YEAR(TODAY()),Timeline_elec_projec,0)+3)*$AP$4), 0)</f>
        <v>4.4266135932292068E-8</v>
      </c>
      <c r="AQ41">
        <f ca="1"/>
        <v>1.2725540032151657E-8</v>
      </c>
    </row>
    <row r="42" spans="1:43" x14ac:dyDescent="0.35">
      <c r="A42" t="str" cm="1">
        <f t="array" ref="A42">INDEX(Indicators,ROW()-9,4)</f>
        <v xml:space="preserve">A2AttributionalADPF </v>
      </c>
      <c r="B42" s="540" cm="1">
        <f t="array" aca="1" ref="B42:I42" ca="1">INDEX(Indicators,ROW()-9,MATCH(Handle_Wearing_Course,Materials!$1:$1,0))</f>
        <v>4.6847014080029996E-2</v>
      </c>
      <c r="C42" s="1">
        <f ca="1"/>
        <v>2.931321913812E-2</v>
      </c>
      <c r="D42" s="1">
        <f ca="1"/>
        <v>1.5319055199299998E-2</v>
      </c>
      <c r="E42" s="1">
        <f ca="1"/>
        <v>45.444030707294885</v>
      </c>
      <c r="F42" s="1">
        <f ca="1"/>
        <v>2.86</v>
      </c>
      <c r="G42" s="1">
        <f ca="1"/>
        <v>6.2E-4</v>
      </c>
      <c r="H42" s="1">
        <f ca="1"/>
        <v>0</v>
      </c>
      <c r="I42" s="212">
        <f ca="1"/>
        <v>48.742361000000002</v>
      </c>
      <c r="J42" s="1">
        <v>49.673956500000003</v>
      </c>
      <c r="K42" s="1">
        <v>48.742361000000002</v>
      </c>
      <c r="L42" s="1">
        <v>48.742361000000002</v>
      </c>
      <c r="O42" s="1">
        <f ca="1">SUMPRODUCT(B42:L42,$B$2:$L$2)+INDEX(Indicators,MATCH(A42,Materials!$D:$D),MATCH("Truck (32+t)",Materials!$1:$1,0))*'Data Entry'!$C$64</f>
        <v>2.7706780356729208</v>
      </c>
      <c r="P42" s="1">
        <f ca="1">SUMPRODUCT(B42:L42,$B$3:$L$3)+INDEX(Indicators,MATCH(A42,Materials!$D:$D),MATCH("Truck (32+t)",Materials!$1:$1,0))*'Data Entry'!$C$72</f>
        <v>3.0244735832352281</v>
      </c>
      <c r="Q42" s="1">
        <f ca="1">SUMPRODUCT(B42:L42,$B$4:$L$4)+INDEX(Indicators,MATCH(A42,Materials!$D:$D),MATCH("Truck (32+t)",Materials!$1:$1,0))*'Data Entry'!$C$66+$AQ$16</f>
        <v>3.2121615491288726</v>
      </c>
      <c r="R42" s="1">
        <f ca="1">SUMPRODUCT(B42:L42,$B$5:$L$5)+INDEX(Indicators,MATCH(A42,Materials!$D:$D),MATCH("Truck (32+t)",Materials!$1:$1,0))*'Data Entry'!$C$68+$AQ$16</f>
        <v>3.269882329251212</v>
      </c>
      <c r="S42" s="1">
        <f ca="1">SUMPRODUCT(B42:L42,$B$6:$L$6)+INDEX(Indicators,MATCH(A42,Materials!$D:$D),MATCH("Truck (32+t)",Materials!$1:$1,0))*'Data Entry'!$C$70+$AQ$16</f>
        <v>2.7708008957490149</v>
      </c>
      <c r="T42" s="1">
        <f ca="1">SUMPRODUCT(B42:L42,$B$7:$L$7)+INDEX(Indicators,MATCH(A42,Materials!$D:$D),MATCH("Truck (32+t)",Materials!$1:$1,0))*'Data Entry'!$C$68+$AQ$16</f>
        <v>2.8202758501395921</v>
      </c>
      <c r="U42" s="1">
        <f ca="1">SUMPRODUCT(B42:L42,$B$8:$L$8)+INDEX(Indicators,MATCH(A42,Materials!$D:$D),MATCH("Truck (32+t)",Materials!$1:$1,0))*'Data Entry'!$C$69+$AQ$16</f>
        <v>2.3168290588168672</v>
      </c>
      <c r="V42" s="1">
        <f ca="1">SUMPRODUCT(B42:L42,$B$9:$L$9)+INDEX(Indicators,MATCH(A42,Materials!$D:$D),MATCH("Truck (32+t)",Materials!$1:$1,0))*'Data Entry'!$C$71</f>
        <v>0.36978031807987494</v>
      </c>
      <c r="W42" s="1">
        <f ca="1">SUMPRODUCT(B42:L42,$B$10:$L$10)+INDEX(Indicators,MATCH(A42,Materials!$D:$D),MATCH("Truck (32+t)",Materials!$1:$1,0))*'Data Entry'!$C$72</f>
        <v>1.9164046000000001</v>
      </c>
      <c r="Z42">
        <v>97.540270000000007</v>
      </c>
      <c r="AA42">
        <v>5.6610500000000004</v>
      </c>
      <c r="AB42">
        <v>106.72920000000001</v>
      </c>
      <c r="AC42" s="209">
        <v>46.879170000000002</v>
      </c>
      <c r="AD42" s="209"/>
      <c r="AF42" cm="1">
        <f t="array" ref="AF42">SUMPRODUCT($AF$2:$AF$5, TRANSPOSE($Z42:$AC42))</f>
        <v>49.673956500000003</v>
      </c>
      <c r="AG42" cm="1">
        <f t="array" ref="AG42">SUMPRODUCT($AG$2:$AG$5, TRANSPOSE($Z42:$AC42))</f>
        <v>48.742361000000002</v>
      </c>
      <c r="AH42" cm="1">
        <f t="array" ref="AH42">SUMPRODUCT($AH$2:$AH$5, TRANSPOSE($Z42:$AC42))</f>
        <v>48.742361000000002</v>
      </c>
      <c r="AK42" t="s">
        <v>776</v>
      </c>
      <c r="AL42" t="s">
        <v>54</v>
      </c>
      <c r="AM42" cm="1">
        <f t="array" aca="1" ref="AM42" ca="1">IFERROR(($AM$2*INDEX(Indicators,MATCH($A42,INDEX(Indicators,0,4),0),MATCH($AK$2,INDEX(Indicators,1,0),0)))+($AM$3*INDEX(Indicators,MATCH($A42,INDEX(Indicators,0,4),0),MATCH($AK$3,INDEX(Indicators,1,0),0)))+(INDEX(Electricity_projection,MATCH(AL42&amp;AK42,INDEX(Electricity_projection,0,3),0),MATCH(YEAR(TODAY()),Timeline_elec_projec,0)+3)*$AM$4), 0)</f>
        <v>0</v>
      </c>
      <c r="AN42" cm="1">
        <f t="array" aca="1" ref="AN42" ca="1">IFERROR(($AN$2*INDEX(Indicators,MATCH($A42,INDEX(Indicators,0,4),0),MATCH($AK$2,INDEX(Indicators,1,0),0)))+($AN$3*INDEX(Indicators,MATCH($A42,INDEX(Indicators,0,4),0),MATCH($AK$3,INDEX(Indicators,1,0),0)))+(INDEX(Electricity_projection,MATCH(AL42&amp;AK42,INDEX(Electricity_projection,0,3),0),MATCH(YEAR(TODAY()),Timeline_elec_projec,0)+3)*$AN$4), 0)</f>
        <v>0</v>
      </c>
      <c r="AO42" cm="1">
        <f t="array" aca="1" ref="AO42" ca="1">IFERROR(($AO$2*INDEX(Indicators,MATCH($A42,INDEX(Indicators,0,4),0),MATCH($AK$2,INDEX(Indicators,1,0),0)))+($AO$3*INDEX(Indicators,MATCH($A42,INDEX(Indicators,0,4),0),MATCH($AK$3,INDEX(Indicators,1,0),0)))+(INDEX(Electricity_projection,MATCH(AL42&amp;AK42,INDEX(Electricity_projection,0,3),0),MATCH(YEAR(TODAY()),Timeline_elec_projec,0)+3)*$AO$4), 0)</f>
        <v>0</v>
      </c>
      <c r="AP42" cm="1">
        <f t="array" aca="1" ref="AP42" ca="1">IFERROR(($AP$2*INDEX(Indicators,MATCH($A42,INDEX(Indicators,0,4),0),MATCH($AK$2,INDEX(Indicators,1,0),0)))+($AP$3*INDEX(Indicators,MATCH($A42,INDEX(Indicators,0,4),0),MATCH($AK$3,INDEX(Indicators,1,0),0)))+(INDEX(Electricity_projection,MATCH(AL42&amp;AK42,INDEX(Electricity_projection,0,3),0),MATCH(YEAR(TODAY()),Timeline_elec_projec,0)+3)*$AP$4), 0)</f>
        <v>0</v>
      </c>
      <c r="AQ42">
        <f ca="1"/>
        <v>0</v>
      </c>
    </row>
    <row r="43" spans="1:43" x14ac:dyDescent="0.35">
      <c r="A43" t="str" cm="1">
        <f t="array" ref="A43">INDEX(Indicators,ROW()-9,4)</f>
        <v>A2AttributionalEP_fw</v>
      </c>
      <c r="B43" s="540" cm="1">
        <f t="array" aca="1" ref="B43:I43" ca="1">INDEX(Indicators,ROW()-9,MATCH(Handle_Wearing_Course,Materials!$1:$1,0))</f>
        <v>4.4641619519999996E-8</v>
      </c>
      <c r="C43" s="1">
        <f ca="1"/>
        <v>2.0581390079999998E-8</v>
      </c>
      <c r="D43" s="1">
        <f ca="1"/>
        <v>1.0755811199999998E-8</v>
      </c>
      <c r="E43" s="1">
        <f ca="1"/>
        <v>2.9503945638515306E-5</v>
      </c>
      <c r="F43" s="1">
        <f ca="1"/>
        <v>2.0699999999999999E-4</v>
      </c>
      <c r="G43" s="1">
        <f ca="1"/>
        <v>3.9599999999999997E-8</v>
      </c>
      <c r="H43" s="1">
        <f ca="1"/>
        <v>0</v>
      </c>
      <c r="I43" s="212">
        <f ca="1"/>
        <v>2.0376000000000001E-4</v>
      </c>
      <c r="J43" s="1">
        <v>2.8078999999999995E-4</v>
      </c>
      <c r="K43" s="1">
        <v>2.0376000000000001E-4</v>
      </c>
      <c r="L43" s="1">
        <v>2.0376000000000001E-4</v>
      </c>
      <c r="O43" s="1">
        <f ca="1">SUMPRODUCT(B43:L43,$B$2:$L$2)+INDEX(Indicators,MATCH(A43,Materials!$D:$D),MATCH("Truck (32+t)",Materials!$1:$1,0))*'Data Entry'!$C$64</f>
        <v>1.8121998606597183E-6</v>
      </c>
      <c r="P43" s="1">
        <f ca="1">SUMPRODUCT(B43:L43,$B$3:$L$3)+INDEX(Indicators,MATCH(A43,Materials!$D:$D),MATCH("Truck (32+t)",Materials!$1:$1,0))*'Data Entry'!$C$72</f>
        <v>1.6889363122348797E-5</v>
      </c>
      <c r="Q43" s="1">
        <f ca="1">SUMPRODUCT(B43:L43,$B$4:$L$4)+INDEX(Indicators,MATCH(A43,Materials!$D:$D),MATCH("Truck (32+t)",Materials!$1:$1,0))*'Data Entry'!$C$66+$AQ$16</f>
        <v>1.2495331467159092E-4</v>
      </c>
      <c r="R43" s="1">
        <f ca="1">SUMPRODUCT(B43:L43,$B$5:$L$5)+INDEX(Indicators,MATCH(A43,Materials!$D:$D),MATCH("Truck (32+t)",Materials!$1:$1,0))*'Data Entry'!$C$68+$AQ$16</f>
        <v>1.2800279562291691E-4</v>
      </c>
      <c r="S43" s="1">
        <f ca="1">SUMPRODUCT(B43:L43,$B$6:$L$6)+INDEX(Indicators,MATCH(A43,Materials!$D:$D),MATCH("Truck (32+t)",Materials!$1:$1,0))*'Data Entry'!$C$70+$AQ$16</f>
        <v>1.2467227595472897E-4</v>
      </c>
      <c r="T43" s="1">
        <f ca="1">SUMPRODUCT(B43:L43,$B$7:$L$7)+INDEX(Indicators,MATCH(A43,Materials!$D:$D),MATCH("Truck (32+t)",Materials!$1:$1,0))*'Data Entry'!$C$68+$AQ$16</f>
        <v>1.2728611677015125E-4</v>
      </c>
      <c r="U43" s="1">
        <f ca="1">SUMPRODUCT(B43:L43,$B$8:$L$8)+INDEX(Indicators,MATCH(A43,Materials!$D:$D),MATCH("Truck (32+t)",Materials!$1:$1,0))*'Data Entry'!$C$69+$AQ$16</f>
        <v>1.2437768291453902E-4</v>
      </c>
      <c r="V43" s="1">
        <f ca="1">SUMPRODUCT(B43:L43,$B$9:$L$9)+INDEX(Indicators,MATCH(A43,Materials!$D:$D),MATCH("Truck (32+t)",Materials!$1:$1,0))*'Data Entry'!$C$71</f>
        <v>2.4870411971999999E-5</v>
      </c>
      <c r="W43" s="1">
        <f ca="1">SUMPRODUCT(B43:L43,$B$10:$L$10)+INDEX(Indicators,MATCH(A43,Materials!$D:$D),MATCH("Truck (32+t)",Materials!$1:$1,0))*'Data Entry'!$C$72</f>
        <v>1.3870306799999998E-4</v>
      </c>
      <c r="Z43">
        <v>1.2600000000000001E-3</v>
      </c>
      <c r="AA43">
        <v>1.1E-4</v>
      </c>
      <c r="AB43">
        <v>1.5299999999999999E-3</v>
      </c>
      <c r="AC43" s="209">
        <v>4.9700000000000002E-5</v>
      </c>
      <c r="AD43" s="209"/>
      <c r="AF43" cm="1">
        <f t="array" ref="AF43">SUMPRODUCT($AF$2:$AF$5, TRANSPOSE($Z43:$AC43))</f>
        <v>2.8078999999999995E-4</v>
      </c>
      <c r="AG43" cm="1">
        <f t="array" ref="AG43">SUMPRODUCT($AG$2:$AG$5, TRANSPOSE($Z43:$AC43))</f>
        <v>2.0376000000000001E-4</v>
      </c>
      <c r="AH43" cm="1">
        <f t="array" ref="AH43">SUMPRODUCT($AH$2:$AH$5, TRANSPOSE($Z43:$AC43))</f>
        <v>2.0376000000000001E-4</v>
      </c>
      <c r="AK43" t="s">
        <v>394</v>
      </c>
      <c r="AL43" t="s">
        <v>54</v>
      </c>
      <c r="AM43" cm="1">
        <f t="array" aca="1" ref="AM43" ca="1">IFERROR(($AM$2*INDEX(Indicators,MATCH($A43,INDEX(Indicators,0,4),0),MATCH($AK$2,INDEX(Indicators,1,0),0)))+($AM$3*INDEX(Indicators,MATCH($A43,INDEX(Indicators,0,4),0),MATCH($AK$3,INDEX(Indicators,1,0),0)))+(INDEX(Electricity_projection,MATCH(AL43&amp;AK43,INDEX(Electricity_projection,0,3),0),MATCH(YEAR(TODAY()),Timeline_elec_projec,0)+3)*$AM$4), 0)</f>
        <v>0</v>
      </c>
      <c r="AN43" cm="1">
        <f t="array" aca="1" ref="AN43" ca="1">IFERROR(($AN$2*INDEX(Indicators,MATCH($A43,INDEX(Indicators,0,4),0),MATCH($AK$2,INDEX(Indicators,1,0),0)))+($AN$3*INDEX(Indicators,MATCH($A43,INDEX(Indicators,0,4),0),MATCH($AK$3,INDEX(Indicators,1,0),0)))+(INDEX(Electricity_projection,MATCH(AL43&amp;AK43,INDEX(Electricity_projection,0,3),0),MATCH(YEAR(TODAY()),Timeline_elec_projec,0)+3)*$AN$4), 0)</f>
        <v>0</v>
      </c>
      <c r="AO43" cm="1">
        <f t="array" aca="1" ref="AO43" ca="1">IFERROR(($AO$2*INDEX(Indicators,MATCH($A43,INDEX(Indicators,0,4),0),MATCH($AK$2,INDEX(Indicators,1,0),0)))+($AO$3*INDEX(Indicators,MATCH($A43,INDEX(Indicators,0,4),0),MATCH($AK$3,INDEX(Indicators,1,0),0)))+(INDEX(Electricity_projection,MATCH(AL43&amp;AK43,INDEX(Electricity_projection,0,3),0),MATCH(YEAR(TODAY()),Timeline_elec_projec,0)+3)*$AO$4), 0)</f>
        <v>0</v>
      </c>
      <c r="AP43" cm="1">
        <f t="array" aca="1" ref="AP43" ca="1">IFERROR(($AP$2*INDEX(Indicators,MATCH($A43,INDEX(Indicators,0,4),0),MATCH($AK$2,INDEX(Indicators,1,0),0)))+($AP$3*INDEX(Indicators,MATCH($A43,INDEX(Indicators,0,4),0),MATCH($AK$3,INDEX(Indicators,1,0),0)))+(INDEX(Electricity_projection,MATCH(AL43&amp;AK43,INDEX(Electricity_projection,0,3),0),MATCH(YEAR(TODAY()),Timeline_elec_projec,0)+3)*$AP$4), 0)</f>
        <v>0</v>
      </c>
      <c r="AQ43">
        <f ca="1"/>
        <v>0</v>
      </c>
    </row>
    <row r="44" spans="1:43" x14ac:dyDescent="0.35">
      <c r="A44" t="str" cm="1">
        <f t="array" ref="A44">INDEX(Indicators,ROW()-9,4)</f>
        <v>A2AttributionalEP_marine</v>
      </c>
      <c r="B44" s="540" cm="1">
        <f t="array" aca="1" ref="B44:I44" ca="1">INDEX(Indicators,ROW()-9,MATCH(Handle_Wearing_Course,Materials!$1:$1,0))</f>
        <v>5.6721526965535089E-6</v>
      </c>
      <c r="C44" s="1">
        <f ca="1"/>
        <v>3.5534643736999861E-6</v>
      </c>
      <c r="D44" s="1">
        <f ca="1"/>
        <v>1.8570364664816311E-6</v>
      </c>
      <c r="E44" s="1">
        <f ca="1"/>
        <v>7.5179120489644077E-4</v>
      </c>
      <c r="F44" s="1">
        <f ca="1"/>
        <v>0</v>
      </c>
      <c r="G44" s="1">
        <f ca="1"/>
        <v>5.2399999999999999E-8</v>
      </c>
      <c r="H44" s="1">
        <f ca="1"/>
        <v>0</v>
      </c>
      <c r="I44" s="212">
        <f ca="1"/>
        <v>1.0140000000000001E-3</v>
      </c>
      <c r="J44" s="1">
        <v>1.1709999999999999E-3</v>
      </c>
      <c r="K44" s="1">
        <v>1.0140000000000001E-3</v>
      </c>
      <c r="L44" s="1">
        <v>1.0140000000000001E-3</v>
      </c>
      <c r="O44" s="1">
        <f ca="1">SUMPRODUCT(B44:L44,$B$2:$L$2)+INDEX(Indicators,MATCH(A44,Materials!$D:$D),MATCH("Truck (32+t)",Materials!$1:$1,0))*'Data Entry'!$C$64</f>
        <v>5.0439295828546741E-5</v>
      </c>
      <c r="P44" s="1">
        <f ca="1">SUMPRODUCT(B44:L44,$B$3:$L$3)+INDEX(Indicators,MATCH(A44,Materials!$D:$D),MATCH("Truck (32+t)",Materials!$1:$1,0))*'Data Entry'!$C$72</f>
        <v>7.5591823534760299E-5</v>
      </c>
      <c r="Q44" s="1">
        <f ca="1">SUMPRODUCT(B44:L44,$B$4:$L$4)+INDEX(Indicators,MATCH(A44,Materials!$D:$D),MATCH("Truck (32+t)",Materials!$1:$1,0))*'Data Entry'!$C$66+$AQ$16</f>
        <v>1.7923451595258611E-4</v>
      </c>
      <c r="R44" s="1">
        <f ca="1">SUMPRODUCT(B44:L44,$B$5:$L$5)+INDEX(Indicators,MATCH(A44,Materials!$D:$D),MATCH("Truck (32+t)",Materials!$1:$1,0))*'Data Entry'!$C$68+$AQ$16</f>
        <v>1.8382316986689838E-4</v>
      </c>
      <c r="S44" s="1">
        <f ca="1">SUMPRODUCT(B44:L44,$B$6:$L$6)+INDEX(Indicators,MATCH(A44,Materials!$D:$D),MATCH("Truck (32+t)",Materials!$1:$1,0))*'Data Entry'!$C$70+$AQ$16</f>
        <v>1.7329937192261599E-4</v>
      </c>
      <c r="T44" s="1">
        <f ca="1">SUMPRODUCT(B44:L44,$B$7:$L$7)+INDEX(Indicators,MATCH(A44,Materials!$D:$D),MATCH("Truck (32+t)",Materials!$1:$1,0))*'Data Entry'!$C$68+$AQ$16</f>
        <v>1.7723250384916938E-4</v>
      </c>
      <c r="U44" s="1">
        <f ca="1">SUMPRODUCT(B44:L44,$B$8:$L$8)+INDEX(Indicators,MATCH(A44,Materials!$D:$D),MATCH("Truck (32+t)",Materials!$1:$1,0))*'Data Entry'!$C$69+$AQ$16</f>
        <v>1.6583818140061712E-4</v>
      </c>
      <c r="V44" s="1">
        <f ca="1">SUMPRODUCT(B44:L44,$B$9:$L$9)+INDEX(Indicators,MATCH(A44,Materials!$D:$D),MATCH("Truck (32+t)",Materials!$1:$1,0))*'Data Entry'!$C$71</f>
        <v>3.2153436415730811E-6</v>
      </c>
      <c r="W44" s="1">
        <f ca="1">SUMPRODUCT(B44:L44,$B$10:$L$10)+INDEX(Indicators,MATCH(A44,Materials!$D:$D),MATCH("Truck (32+t)",Materials!$1:$1,0))*'Data Entry'!$C$72</f>
        <v>1.7292E-8</v>
      </c>
      <c r="Z44">
        <v>3.0699999999999998E-3</v>
      </c>
      <c r="AA44">
        <v>2.9999999999999997E-4</v>
      </c>
      <c r="AB44">
        <v>4.2399999999999998E-3</v>
      </c>
      <c r="AC44" s="209">
        <v>6.9999999999999999E-4</v>
      </c>
      <c r="AD44" s="209"/>
      <c r="AF44" cm="1">
        <f t="array" ref="AF44">SUMPRODUCT($AF$2:$AF$5, TRANSPOSE($Z44:$AC44))</f>
        <v>1.1709999999999999E-3</v>
      </c>
      <c r="AG44" cm="1">
        <f t="array" ref="AG44">SUMPRODUCT($AG$2:$AG$5, TRANSPOSE($Z44:$AC44))</f>
        <v>1.0140000000000001E-3</v>
      </c>
      <c r="AH44" cm="1">
        <f t="array" ref="AH44">SUMPRODUCT($AH$2:$AH$5, TRANSPOSE($Z44:$AC44))</f>
        <v>1.0140000000000001E-3</v>
      </c>
      <c r="AK44" t="s">
        <v>397</v>
      </c>
      <c r="AL44" t="s">
        <v>54</v>
      </c>
      <c r="AM44" cm="1">
        <f t="array" aca="1" ref="AM44" ca="1">IFERROR(($AM$2*INDEX(Indicators,MATCH($A44,INDEX(Indicators,0,4),0),MATCH($AK$2,INDEX(Indicators,1,0),0)))+($AM$3*INDEX(Indicators,MATCH($A44,INDEX(Indicators,0,4),0),MATCH($AK$3,INDEX(Indicators,1,0),0)))+(INDEX(Electricity_projection,MATCH(AL44&amp;AK44,INDEX(Electricity_projection,0,3),0),MATCH(YEAR(TODAY()),Timeline_elec_projec,0)+3)*$AM$4), 0)</f>
        <v>0</v>
      </c>
      <c r="AN44" cm="1">
        <f t="array" aca="1" ref="AN44" ca="1">IFERROR(($AN$2*INDEX(Indicators,MATCH($A44,INDEX(Indicators,0,4),0),MATCH($AK$2,INDEX(Indicators,1,0),0)))+($AN$3*INDEX(Indicators,MATCH($A44,INDEX(Indicators,0,4),0),MATCH($AK$3,INDEX(Indicators,1,0),0)))+(INDEX(Electricity_projection,MATCH(AL44&amp;AK44,INDEX(Electricity_projection,0,3),0),MATCH(YEAR(TODAY()),Timeline_elec_projec,0)+3)*$AN$4), 0)</f>
        <v>0</v>
      </c>
      <c r="AO44" cm="1">
        <f t="array" aca="1" ref="AO44" ca="1">IFERROR(($AO$2*INDEX(Indicators,MATCH($A44,INDEX(Indicators,0,4),0),MATCH($AK$2,INDEX(Indicators,1,0),0)))+($AO$3*INDEX(Indicators,MATCH($A44,INDEX(Indicators,0,4),0),MATCH($AK$3,INDEX(Indicators,1,0),0)))+(INDEX(Electricity_projection,MATCH(AL44&amp;AK44,INDEX(Electricity_projection,0,3),0),MATCH(YEAR(TODAY()),Timeline_elec_projec,0)+3)*$AO$4), 0)</f>
        <v>0</v>
      </c>
      <c r="AP44" cm="1">
        <f t="array" aca="1" ref="AP44" ca="1">IFERROR(($AP$2*INDEX(Indicators,MATCH($A44,INDEX(Indicators,0,4),0),MATCH($AK$2,INDEX(Indicators,1,0),0)))+($AP$3*INDEX(Indicators,MATCH($A44,INDEX(Indicators,0,4),0),MATCH($AK$3,INDEX(Indicators,1,0),0)))+(INDEX(Electricity_projection,MATCH(AL44&amp;AK44,INDEX(Electricity_projection,0,3),0),MATCH(YEAR(TODAY()),Timeline_elec_projec,0)+3)*$AP$4), 0)</f>
        <v>0</v>
      </c>
      <c r="AQ44">
        <f ca="1"/>
        <v>0</v>
      </c>
    </row>
    <row r="45" spans="1:43" x14ac:dyDescent="0.35">
      <c r="A45" t="str" cm="1">
        <f t="array" ref="A45">INDEX(Indicators,ROW()-9,4)</f>
        <v>A2AttributionalEP_terr</v>
      </c>
      <c r="B45" s="540" cm="1">
        <f t="array" aca="1" ref="B45:I45" ca="1">INDEX(Indicators,ROW()-9,MATCH(Handle_Wearing_Course,Materials!$1:$1,0))</f>
        <v>6.2293825195740144E-5</v>
      </c>
      <c r="C45" s="1">
        <f ca="1"/>
        <v>3.9031295686409961E-5</v>
      </c>
      <c r="D45" s="1">
        <f ca="1"/>
        <v>2.0397711022558876E-5</v>
      </c>
      <c r="E45" s="1">
        <f ca="1"/>
        <v>8.1611842765809302E-3</v>
      </c>
      <c r="F45" s="1">
        <f ca="1"/>
        <v>0</v>
      </c>
      <c r="G45" s="1">
        <f ca="1"/>
        <v>5.4499999999999997E-7</v>
      </c>
      <c r="H45" s="1">
        <f ca="1"/>
        <v>0</v>
      </c>
      <c r="I45" s="212">
        <f ca="1"/>
        <v>1.0596000000000001E-2</v>
      </c>
      <c r="J45" s="1">
        <v>1.2109E-2</v>
      </c>
      <c r="K45" s="1">
        <v>1.0596000000000001E-2</v>
      </c>
      <c r="L45" s="1">
        <v>1.0596000000000001E-2</v>
      </c>
      <c r="O45" s="1">
        <f ca="1">SUMPRODUCT(B45:L45,$B$2:$L$2)+INDEX(Indicators,MATCH(A45,Materials!$D:$D),MATCH("Truck (32+t)",Materials!$1:$1,0))*'Data Entry'!$C$64</f>
        <v>5.4822725227885154E-4</v>
      </c>
      <c r="P45" s="1">
        <f ca="1">SUMPRODUCT(B45:L45,$B$3:$L$3)+INDEX(Indicators,MATCH(A45,Materials!$D:$D),MATCH("Truck (32+t)",Materials!$1:$1,0))*'Data Entry'!$C$72</f>
        <v>7.850961956839958E-4</v>
      </c>
      <c r="Q45" s="1">
        <f ca="1">SUMPRODUCT(B45:L45,$B$4:$L$4)+INDEX(Indicators,MATCH(A45,Materials!$D:$D),MATCH("Truck (32+t)",Materials!$1:$1,0))*'Data Entry'!$C$66+$AQ$16</f>
        <v>7.3531778721750026E-4</v>
      </c>
      <c r="R45" s="1">
        <f ca="1">SUMPRODUCT(B45:L45,$B$5:$L$5)+INDEX(Indicators,MATCH(A45,Materials!$D:$D),MATCH("Truck (32+t)",Materials!$1:$1,0))*'Data Entry'!$C$68+$AQ$16</f>
        <v>7.7792706237733386E-4</v>
      </c>
      <c r="S45" s="1">
        <f ca="1">SUMPRODUCT(B45:L45,$B$6:$L$6)+INDEX(Indicators,MATCH(A45,Materials!$D:$D),MATCH("Truck (32+t)",Materials!$1:$1,0))*'Data Entry'!$C$70+$AQ$16</f>
        <v>6.7108732837292077E-4</v>
      </c>
      <c r="T45" s="1">
        <f ca="1">SUMPRODUCT(B45:L45,$B$7:$L$7)+INDEX(Indicators,MATCH(A45,Materials!$D:$D),MATCH("Truck (32+t)",Materials!$1:$1,0))*'Data Entry'!$C$68+$AQ$16</f>
        <v>7.0760956422420685E-4</v>
      </c>
      <c r="U45" s="1">
        <f ca="1">SUMPRODUCT(B45:L45,$B$8:$L$8)+INDEX(Indicators,MATCH(A45,Materials!$D:$D),MATCH("Truck (32+t)",Materials!$1:$1,0))*'Data Entry'!$C$69+$AQ$16</f>
        <v>5.9009842385906888E-4</v>
      </c>
      <c r="V45" s="1">
        <f ca="1">SUMPRODUCT(B45:L45,$B$9:$L$9)+INDEX(Indicators,MATCH(A45,Materials!$D:$D),MATCH("Truck (32+t)",Materials!$1:$1,0))*'Data Entry'!$C$71</f>
        <v>3.5308204802381849E-5</v>
      </c>
      <c r="W45" s="1">
        <f ca="1">SUMPRODUCT(B45:L45,$B$10:$L$10)+INDEX(Indicators,MATCH(A45,Materials!$D:$D),MATCH("Truck (32+t)",Materials!$1:$1,0))*'Data Entry'!$C$72</f>
        <v>1.7984999999999999E-7</v>
      </c>
      <c r="Z45">
        <v>3.2000000000000001E-2</v>
      </c>
      <c r="AA45">
        <v>3.0599999999999998E-3</v>
      </c>
      <c r="AB45">
        <v>4.2340000000000003E-2</v>
      </c>
      <c r="AC45" s="209">
        <v>7.5700000000000003E-3</v>
      </c>
      <c r="AD45" s="209"/>
      <c r="AF45" cm="1">
        <f t="array" ref="AF45">SUMPRODUCT($AF$2:$AF$5, TRANSPOSE($Z45:$AC45))</f>
        <v>1.2109E-2</v>
      </c>
      <c r="AG45" cm="1">
        <f t="array" ref="AG45">SUMPRODUCT($AG$2:$AG$5, TRANSPOSE($Z45:$AC45))</f>
        <v>1.0596000000000001E-2</v>
      </c>
      <c r="AH45" cm="1">
        <f t="array" ref="AH45">SUMPRODUCT($AH$2:$AH$5, TRANSPOSE($Z45:$AC45))</f>
        <v>1.0596000000000001E-2</v>
      </c>
      <c r="AK45" t="s">
        <v>400</v>
      </c>
      <c r="AL45" t="s">
        <v>54</v>
      </c>
      <c r="AM45" cm="1">
        <f t="array" aca="1" ref="AM45" ca="1">IFERROR(($AM$2*INDEX(Indicators,MATCH($A45,INDEX(Indicators,0,4),0),MATCH($AK$2,INDEX(Indicators,1,0),0)))+($AM$3*INDEX(Indicators,MATCH($A45,INDEX(Indicators,0,4),0),MATCH($AK$3,INDEX(Indicators,1,0),0)))+(INDEX(Electricity_projection,MATCH(AL45&amp;AK45,INDEX(Electricity_projection,0,3),0),MATCH(YEAR(TODAY()),Timeline_elec_projec,0)+3)*$AM$4), 0)</f>
        <v>0</v>
      </c>
      <c r="AN45" cm="1">
        <f t="array" aca="1" ref="AN45" ca="1">IFERROR(($AN$2*INDEX(Indicators,MATCH($A45,INDEX(Indicators,0,4),0),MATCH($AK$2,INDEX(Indicators,1,0),0)))+($AN$3*INDEX(Indicators,MATCH($A45,INDEX(Indicators,0,4),0),MATCH($AK$3,INDEX(Indicators,1,0),0)))+(INDEX(Electricity_projection,MATCH(AL45&amp;AK45,INDEX(Electricity_projection,0,3),0),MATCH(YEAR(TODAY()),Timeline_elec_projec,0)+3)*$AN$4), 0)</f>
        <v>0</v>
      </c>
      <c r="AO45" cm="1">
        <f t="array" aca="1" ref="AO45" ca="1">IFERROR(($AO$2*INDEX(Indicators,MATCH($A45,INDEX(Indicators,0,4),0),MATCH($AK$2,INDEX(Indicators,1,0),0)))+($AO$3*INDEX(Indicators,MATCH($A45,INDEX(Indicators,0,4),0),MATCH($AK$3,INDEX(Indicators,1,0),0)))+(INDEX(Electricity_projection,MATCH(AL45&amp;AK45,INDEX(Electricity_projection,0,3),0),MATCH(YEAR(TODAY()),Timeline_elec_projec,0)+3)*$AO$4), 0)</f>
        <v>0</v>
      </c>
      <c r="AP45" cm="1">
        <f t="array" aca="1" ref="AP45" ca="1">IFERROR(($AP$2*INDEX(Indicators,MATCH($A45,INDEX(Indicators,0,4),0),MATCH($AK$2,INDEX(Indicators,1,0),0)))+($AP$3*INDEX(Indicators,MATCH($A45,INDEX(Indicators,0,4),0),MATCH($AK$3,INDEX(Indicators,1,0),0)))+(INDEX(Electricity_projection,MATCH(AL45&amp;AK45,INDEX(Electricity_projection,0,3),0),MATCH(YEAR(TODAY()),Timeline_elec_projec,0)+3)*$AP$4), 0)</f>
        <v>0</v>
      </c>
      <c r="AQ45">
        <f ca="1"/>
        <v>0</v>
      </c>
    </row>
    <row r="46" spans="1:43" x14ac:dyDescent="0.35">
      <c r="A46" t="str" cm="1">
        <f t="array" ref="A46">INDEX(Indicators,ROW()-9,4)</f>
        <v>A2AttributionalODP</v>
      </c>
      <c r="B46" s="540" cm="1">
        <f t="array" aca="1" ref="B46:I46" ca="1">INDEX(Indicators,ROW()-9,MATCH(Handle_Wearing_Course,Materials!$1:$1,0))</f>
        <v>7.8327371318899996E-10</v>
      </c>
      <c r="C46" s="1">
        <f ca="1"/>
        <v>4.9217840615599998E-10</v>
      </c>
      <c r="D46" s="1">
        <f ca="1"/>
        <v>2.6956254558999997E-10</v>
      </c>
      <c r="E46" s="1">
        <f ca="1"/>
        <v>7.5774070919515177E-7</v>
      </c>
      <c r="F46" s="1">
        <f ca="1"/>
        <v>5.2300000000000002E-15</v>
      </c>
      <c r="G46" s="1">
        <f ca="1"/>
        <v>8.2799999999999995E-12</v>
      </c>
      <c r="H46" s="1">
        <f ca="1"/>
        <v>0</v>
      </c>
      <c r="I46" s="212">
        <f ca="1"/>
        <v>6.6520209000000006E-7</v>
      </c>
      <c r="J46" s="1">
        <v>6.1430313500000003E-7</v>
      </c>
      <c r="K46" s="1">
        <v>6.6520209000000006E-7</v>
      </c>
      <c r="L46" s="1">
        <v>6.6520209000000006E-7</v>
      </c>
      <c r="O46" s="1">
        <f ca="1">SUMPRODUCT(B46:L46,$B$2:$L$2)+INDEX(Indicators,MATCH(A46,Materials!$D:$D),MATCH("Truck (32+t)",Materials!$1:$1,0))*'Data Entry'!$C$64</f>
        <v>4.6200719842106767E-8</v>
      </c>
      <c r="P46" s="1">
        <f ca="1">SUMPRODUCT(B46:L46,$B$3:$L$3)+INDEX(Indicators,MATCH(A46,Materials!$D:$D),MATCH("Truck (32+t)",Materials!$1:$1,0))*'Data Entry'!$C$72</f>
        <v>3.7594465390397662E-8</v>
      </c>
      <c r="Q46" s="1">
        <f ca="1">SUMPRODUCT(B46:L46,$B$4:$L$4)+INDEX(Indicators,MATCH(A46,Materials!$D:$D),MATCH("Truck (32+t)",Materials!$1:$1,0))*'Data Entry'!$C$66+$AQ$16</f>
        <v>1.2291364090379913E-4</v>
      </c>
      <c r="R46" s="1">
        <f ca="1">SUMPRODUCT(B46:L46,$B$5:$L$5)+INDEX(Indicators,MATCH(A46,Materials!$D:$D),MATCH("Truck (32+t)",Materials!$1:$1,0))*'Data Entry'!$C$68+$AQ$16</f>
        <v>1.2291202147796321E-4</v>
      </c>
      <c r="S46" s="1">
        <f ca="1">SUMPRODUCT(B46:L46,$B$6:$L$6)+INDEX(Indicators,MATCH(A46,Materials!$D:$D),MATCH("Truck (32+t)",Materials!$1:$1,0))*'Data Entry'!$C$70+$AQ$16</f>
        <v>1.2290627681391136E-4</v>
      </c>
      <c r="T46" s="1">
        <f ca="1">SUMPRODUCT(B46:L46,$B$7:$L$7)+INDEX(Indicators,MATCH(A46,Materials!$D:$D),MATCH("Truck (32+t)",Materials!$1:$1,0))*'Data Entry'!$C$68+$AQ$16</f>
        <v>1.2290488873462343E-4</v>
      </c>
      <c r="U46" s="1">
        <f ca="1">SUMPRODUCT(B46:L46,$B$8:$L$8)+INDEX(Indicators,MATCH(A46,Materials!$D:$D),MATCH("Truck (32+t)",Materials!$1:$1,0))*'Data Entry'!$C$69+$AQ$16</f>
        <v>1.2289870723955653E-4</v>
      </c>
      <c r="V46" s="1">
        <f ca="1">SUMPRODUCT(B46:L46,$B$9:$L$9)+INDEX(Indicators,MATCH(A46,Materials!$D:$D),MATCH("Truck (32+t)",Materials!$1:$1,0))*'Data Entry'!$C$71</f>
        <v>4.4679199331249997E-10</v>
      </c>
      <c r="W46" s="1">
        <f ca="1">SUMPRODUCT(B46:L46,$B$10:$L$10)+INDEX(Indicators,MATCH(A46,Materials!$D:$D),MATCH("Truck (32+t)",Materials!$1:$1,0))*'Data Entry'!$C$72</f>
        <v>2.7359041E-12</v>
      </c>
      <c r="Z46" s="1">
        <v>1.6593999999999999E-7</v>
      </c>
      <c r="AA46" s="1">
        <v>9.4325900000000002E-8</v>
      </c>
      <c r="AB46" s="1">
        <v>4.2169499999999999E-7</v>
      </c>
      <c r="AC46" s="209">
        <v>7.6700000000000003E-7</v>
      </c>
      <c r="AD46" s="209"/>
      <c r="AF46" cm="1">
        <f t="array" ref="AF46">SUMPRODUCT($AF$2:$AF$5, TRANSPOSE($Z46:$AC46))</f>
        <v>6.1430313500000003E-7</v>
      </c>
      <c r="AG46" cm="1">
        <f t="array" ref="AG46">SUMPRODUCT($AG$2:$AG$5, TRANSPOSE($Z46:$AC46))</f>
        <v>6.6520209000000006E-7</v>
      </c>
      <c r="AH46" cm="1">
        <f t="array" ref="AH46">SUMPRODUCT($AH$2:$AH$5, TRANSPOSE($Z46:$AC46))</f>
        <v>6.6520209000000006E-7</v>
      </c>
      <c r="AK46" t="s">
        <v>403</v>
      </c>
      <c r="AL46" t="s">
        <v>54</v>
      </c>
      <c r="AM46" cm="1">
        <f t="array" aca="1" ref="AM46" ca="1">IFERROR(($AM$2*INDEX(Indicators,MATCH($A46,INDEX(Indicators,0,4),0),MATCH($AK$2,INDEX(Indicators,1,0),0)))+($AM$3*INDEX(Indicators,MATCH($A46,INDEX(Indicators,0,4),0),MATCH($AK$3,INDEX(Indicators,1,0),0)))+(INDEX(Electricity_projection,MATCH(AL46&amp;AK46,INDEX(Electricity_projection,0,3),0),MATCH(YEAR(TODAY()),Timeline_elec_projec,0)+3)*$AM$4), 0)</f>
        <v>5.6787402435429304E-9</v>
      </c>
      <c r="AN46" cm="1">
        <f t="array" aca="1" ref="AN46" ca="1">IFERROR(($AN$2*INDEX(Indicators,MATCH($A46,INDEX(Indicators,0,4),0),MATCH($AK$2,INDEX(Indicators,1,0),0)))+($AN$3*INDEX(Indicators,MATCH($A46,INDEX(Indicators,0,4),0),MATCH($AK$3,INDEX(Indicators,1,0),0)))+(INDEX(Electricity_projection,MATCH(AL46&amp;AK46,INDEX(Electricity_projection,0,3),0),MATCH(YEAR(TODAY()),Timeline_elec_projec,0)+3)*$AN$4), 0)</f>
        <v>4.8561961858907376E-9</v>
      </c>
      <c r="AO46" cm="1">
        <f t="array" aca="1" ref="AO46" ca="1">IFERROR(($AO$2*INDEX(Indicators,MATCH($A46,INDEX(Indicators,0,4),0),MATCH($AK$2,INDEX(Indicators,1,0),0)))+($AO$3*INDEX(Indicators,MATCH($A46,INDEX(Indicators,0,4),0),MATCH($AK$3,INDEX(Indicators,1,0),0)))+(INDEX(Electricity_projection,MATCH(AL46&amp;AK46,INDEX(Electricity_projection,0,3),0),MATCH(YEAR(TODAY()),Timeline_elec_projec,0)+3)*$AO$4), 0)</f>
        <v>3.4631763062729073E-9</v>
      </c>
      <c r="AP46" cm="1">
        <f t="array" aca="1" ref="AP46" ca="1">IFERROR(($AP$2*INDEX(Indicators,MATCH($A46,INDEX(Indicators,0,4),0),MATCH($AK$2,INDEX(Indicators,1,0),0)))+($AP$3*INDEX(Indicators,MATCH($A46,INDEX(Indicators,0,4),0),MATCH($AK$3,INDEX(Indicators,1,0),0)))+(INDEX(Electricity_projection,MATCH(AL46&amp;AK46,INDEX(Electricity_projection,0,3),0),MATCH(YEAR(TODAY()),Timeline_elec_projec,0)+3)*$AP$4), 0)</f>
        <v>2.9653306622729072E-9</v>
      </c>
      <c r="AQ46">
        <f ca="1"/>
        <v>5.6787402435429304E-9</v>
      </c>
    </row>
    <row r="47" spans="1:43" x14ac:dyDescent="0.35">
      <c r="A47" t="str" cm="1">
        <f t="array" ref="A47">INDEX(Indicators,ROW()-9,4)</f>
        <v>A2AttributionalPOFP</v>
      </c>
      <c r="B47" s="540" cm="1">
        <f t="array" aca="1" ref="B47:I47" ca="1">INDEX(Indicators,ROW()-9,MATCH(Handle_Wearing_Course,Materials!$1:$1,0))</f>
        <v>1.3360384415452828E-5</v>
      </c>
      <c r="C47" s="1">
        <f ca="1"/>
        <v>8.369278940674892E-6</v>
      </c>
      <c r="D47" s="1">
        <f ca="1"/>
        <v>4.3737757175843353E-6</v>
      </c>
      <c r="E47" s="1">
        <f ca="1"/>
        <v>3.1726499952400337E-3</v>
      </c>
      <c r="F47" s="1">
        <f ca="1"/>
        <v>0</v>
      </c>
      <c r="G47" s="1">
        <f ca="1"/>
        <v>1.2700000000000001E-7</v>
      </c>
      <c r="H47" s="1">
        <f ca="1"/>
        <v>0</v>
      </c>
      <c r="I47" s="212">
        <f ca="1"/>
        <v>6.6230000000000004E-3</v>
      </c>
      <c r="J47" s="1">
        <v>7.6395000000000005E-3</v>
      </c>
      <c r="K47" s="1">
        <v>6.6230000000000004E-3</v>
      </c>
      <c r="L47" s="1">
        <v>6.6230000000000004E-3</v>
      </c>
      <c r="O47" s="1">
        <f ca="1">SUMPRODUCT(B47:L47,$B$2:$L$2)+INDEX(Indicators,MATCH(A47,Materials!$D:$D),MATCH("Truck (32+t)",Materials!$1:$1,0))*'Data Entry'!$C$64</f>
        <v>2.0291776106492765E-4</v>
      </c>
      <c r="P47" s="1">
        <f ca="1">SUMPRODUCT(B47:L47,$B$3:$L$3)+INDEX(Indicators,MATCH(A47,Materials!$D:$D),MATCH("Truck (32+t)",Materials!$1:$1,0))*'Data Entry'!$C$72</f>
        <v>4.7092876135052566E-4</v>
      </c>
      <c r="Q47" s="1">
        <f ca="1">SUMPRODUCT(B47:L47,$B$4:$L$4)+INDEX(Indicators,MATCH(A47,Materials!$D:$D),MATCH("Truck (32+t)",Materials!$1:$1,0))*'Data Entry'!$C$66+$AQ$16</f>
        <v>3.5377608978809534E-4</v>
      </c>
      <c r="R47" s="1">
        <f ca="1">SUMPRODUCT(B47:L47,$B$5:$L$5)+INDEX(Indicators,MATCH(A47,Materials!$D:$D),MATCH("Truck (32+t)",Materials!$1:$1,0))*'Data Entry'!$C$68+$AQ$16</f>
        <v>4.1415721487139472E-4</v>
      </c>
      <c r="S47" s="1">
        <f ca="1">SUMPRODUCT(B47:L47,$B$6:$L$6)+INDEX(Indicators,MATCH(A47,Materials!$D:$D),MATCH("Truck (32+t)",Materials!$1:$1,0))*'Data Entry'!$C$70+$AQ$16</f>
        <v>3.2577783715899693E-4</v>
      </c>
      <c r="T47" s="1">
        <f ca="1">SUMPRODUCT(B47:L47,$B$7:$L$7)+INDEX(Indicators,MATCH(A47,Materials!$D:$D),MATCH("Truck (32+t)",Materials!$1:$1,0))*'Data Entry'!$C$68+$AQ$16</f>
        <v>3.775330872303964E-4</v>
      </c>
      <c r="U47" s="1">
        <f ca="1">SUMPRODUCT(B47:L47,$B$8:$L$8)+INDEX(Indicators,MATCH(A47,Materials!$D:$D),MATCH("Truck (32+t)",Materials!$1:$1,0))*'Data Entry'!$C$69+$AQ$16</f>
        <v>2.9418494105075112E-4</v>
      </c>
      <c r="V47" s="1">
        <f ca="1">SUMPRODUCT(B47:L47,$B$9:$L$9)+INDEX(Indicators,MATCH(A47,Materials!$D:$D),MATCH("Truck (32+t)",Materials!$1:$1,0))*'Data Entry'!$C$71</f>
        <v>7.5739973512432815E-6</v>
      </c>
      <c r="W47" s="1">
        <f ca="1">SUMPRODUCT(B47:L47,$B$10:$L$10)+INDEX(Indicators,MATCH(A47,Materials!$D:$D),MATCH("Truck (32+t)",Materials!$1:$1,0))*'Data Entry'!$C$72</f>
        <v>4.1910000000000003E-8</v>
      </c>
      <c r="Z47">
        <v>1.7260000000000001E-2</v>
      </c>
      <c r="AA47">
        <v>8.8999999999999995E-4</v>
      </c>
      <c r="AB47">
        <v>2.862E-2</v>
      </c>
      <c r="AC47" s="209">
        <v>4.5900000000000003E-3</v>
      </c>
      <c r="AD47" s="209"/>
      <c r="AF47" cm="1">
        <f t="array" ref="AF47">SUMPRODUCT($AF$2:$AF$5, TRANSPOSE($Z47:$AC47))</f>
        <v>7.6395000000000005E-3</v>
      </c>
      <c r="AG47" cm="1">
        <f t="array" ref="AG47">SUMPRODUCT($AG$2:$AG$5, TRANSPOSE($Z47:$AC47))</f>
        <v>6.6230000000000004E-3</v>
      </c>
      <c r="AH47" cm="1">
        <f t="array" ref="AH47">SUMPRODUCT($AH$2:$AH$5, TRANSPOSE($Z47:$AC47))</f>
        <v>6.6230000000000004E-3</v>
      </c>
      <c r="AK47" t="s">
        <v>531</v>
      </c>
      <c r="AL47" t="s">
        <v>54</v>
      </c>
      <c r="AM47" cm="1">
        <f t="array" aca="1" ref="AM47" ca="1">IFERROR(($AM$2*INDEX(Indicators,MATCH($A47,INDEX(Indicators,0,4),0),MATCH($AK$2,INDEX(Indicators,1,0),0)))+($AM$3*INDEX(Indicators,MATCH($A47,INDEX(Indicators,0,4),0),MATCH($AK$3,INDEX(Indicators,1,0),0)))+(INDEX(Electricity_projection,MATCH(AL47&amp;AK47,INDEX(Electricity_projection,0,3),0),MATCH(YEAR(TODAY()),Timeline_elec_projec,0)+3)*$AM$4), 0)</f>
        <v>0</v>
      </c>
      <c r="AN47" cm="1">
        <f t="array" aca="1" ref="AN47" ca="1">IFERROR(($AN$2*INDEX(Indicators,MATCH($A47,INDEX(Indicators,0,4),0),MATCH($AK$2,INDEX(Indicators,1,0),0)))+($AN$3*INDEX(Indicators,MATCH($A47,INDEX(Indicators,0,4),0),MATCH($AK$3,INDEX(Indicators,1,0),0)))+(INDEX(Electricity_projection,MATCH(AL47&amp;AK47,INDEX(Electricity_projection,0,3),0),MATCH(YEAR(TODAY()),Timeline_elec_projec,0)+3)*$AN$4), 0)</f>
        <v>0</v>
      </c>
      <c r="AO47" cm="1">
        <f t="array" aca="1" ref="AO47" ca="1">IFERROR(($AO$2*INDEX(Indicators,MATCH($A47,INDEX(Indicators,0,4),0),MATCH($AK$2,INDEX(Indicators,1,0),0)))+($AO$3*INDEX(Indicators,MATCH($A47,INDEX(Indicators,0,4),0),MATCH($AK$3,INDEX(Indicators,1,0),0)))+(INDEX(Electricity_projection,MATCH(AL47&amp;AK47,INDEX(Electricity_projection,0,3),0),MATCH(YEAR(TODAY()),Timeline_elec_projec,0)+3)*$AO$4), 0)</f>
        <v>0</v>
      </c>
      <c r="AP47" cm="1">
        <f t="array" aca="1" ref="AP47" ca="1">IFERROR(($AP$2*INDEX(Indicators,MATCH($A47,INDEX(Indicators,0,4),0),MATCH($AK$2,INDEX(Indicators,1,0),0)))+($AP$3*INDEX(Indicators,MATCH($A47,INDEX(Indicators,0,4),0),MATCH($AK$3,INDEX(Indicators,1,0),0)))+(INDEX(Electricity_projection,MATCH(AL47&amp;AK47,INDEX(Electricity_projection,0,3),0),MATCH(YEAR(TODAY()),Timeline_elec_projec,0)+3)*$AP$4), 0)</f>
        <v>0</v>
      </c>
      <c r="AQ47">
        <f ca="1"/>
        <v>0</v>
      </c>
    </row>
    <row r="48" spans="1:43" x14ac:dyDescent="0.35">
      <c r="A48" t="str" cm="1">
        <f t="array" ref="A48">INDEX(Indicators,ROW()-9,4)</f>
        <v>A2AttributionalWS</v>
      </c>
      <c r="B48" s="540" cm="1">
        <f t="array" aca="1" ref="B48:I48" ca="1">INDEX(Indicators,ROW()-9,MATCH(Handle_Wearing_Course,Materials!$1:$1,0))</f>
        <v>1.2948649200059999E-2</v>
      </c>
      <c r="C48" s="1">
        <f ca="1"/>
        <v>7.94643624E-6</v>
      </c>
      <c r="D48" s="1">
        <f ca="1"/>
        <v>4.1527986000000003E-6</v>
      </c>
      <c r="E48" s="1">
        <f ca="1"/>
        <v>7.7527273230482583E-3</v>
      </c>
      <c r="F48" s="1">
        <f ca="1"/>
        <v>0</v>
      </c>
      <c r="G48" s="1">
        <f ca="1"/>
        <v>4.3119999999999999E-2</v>
      </c>
      <c r="H48" s="1">
        <f ca="1"/>
        <v>0</v>
      </c>
      <c r="I48" s="212">
        <f ca="1"/>
        <v>0.30936600000000009</v>
      </c>
      <c r="J48" s="1">
        <v>0.439029</v>
      </c>
      <c r="K48" s="1">
        <v>0.30936600000000009</v>
      </c>
      <c r="L48" s="1">
        <v>0.30936600000000009</v>
      </c>
      <c r="O48" s="1">
        <f ca="1">SUMPRODUCT(B48:L48,$B$2:$L$2)+INDEX(Indicators,MATCH(A48,Materials!$D:$D),MATCH("Truck (32+t)",Materials!$1:$1,0))*'Data Entry'!$C$64</f>
        <v>1.2636893887439294E-2</v>
      </c>
      <c r="P48" s="1">
        <f ca="1">SUMPRODUCT(B48:L48,$B$3:$L$3)+INDEX(Indicators,MATCH(A48,Materials!$D:$D),MATCH("Truck (32+t)",Materials!$1:$1,0))*'Data Entry'!$C$72</f>
        <v>3.8513470248056396E-2</v>
      </c>
      <c r="Q48" s="1">
        <f ca="1">SUMPRODUCT(B48:L48,$B$4:$L$4)+INDEX(Indicators,MATCH(A48,Materials!$D:$D),MATCH("Truck (32+t)",Materials!$1:$1,0))*'Data Entry'!$C$66+$AQ$16</f>
        <v>7.5299961841792471E-3</v>
      </c>
      <c r="R48" s="1">
        <f ca="1">SUMPRODUCT(B48:L48,$B$5:$L$5)+INDEX(Indicators,MATCH(A48,Materials!$D:$D),MATCH("Truck (32+t)",Materials!$1:$1,0))*'Data Entry'!$C$68+$AQ$16</f>
        <v>1.2808228456025904E-2</v>
      </c>
      <c r="S48" s="1">
        <f ca="1">SUMPRODUCT(B48:L48,$B$6:$L$6)+INDEX(Indicators,MATCH(A48,Materials!$D:$D),MATCH("Truck (32+t)",Materials!$1:$1,0))*'Data Entry'!$C$70+$AQ$16</f>
        <v>1.2759753963533363E-2</v>
      </c>
      <c r="T48" s="1">
        <f ca="1">SUMPRODUCT(B48:L48,$B$7:$L$7)+INDEX(Indicators,MATCH(A48,Materials!$D:$D),MATCH("Truck (32+t)",Materials!$1:$1,0))*'Data Entry'!$C$68+$AQ$16</f>
        <v>1.7283953053687642E-2</v>
      </c>
      <c r="U48" s="1">
        <f ca="1">SUMPRODUCT(B48:L48,$B$8:$L$8)+INDEX(Indicators,MATCH(A48,Materials!$D:$D),MATCH("Truck (32+t)",Materials!$1:$1,0))*'Data Entry'!$C$69+$AQ$16</f>
        <v>1.281171318230348E-2</v>
      </c>
      <c r="V48" s="1">
        <f ca="1">SUMPRODUCT(B48:L48,$B$9:$L$9)+INDEX(Indicators,MATCH(A48,Materials!$D:$D),MATCH("Truck (32+t)",Materials!$1:$1,0))*'Data Entry'!$C$71</f>
        <v>1.2943155159749999E-2</v>
      </c>
      <c r="W48" s="1">
        <f ca="1">SUMPRODUCT(B48:L48,$B$10:$L$10)+INDEX(Indicators,MATCH(A48,Materials!$D:$D),MATCH("Truck (32+t)",Materials!$1:$1,0))*'Data Entry'!$C$72</f>
        <v>1.42296E-2</v>
      </c>
      <c r="Z48">
        <v>1.9853099999999999</v>
      </c>
      <c r="AA48">
        <v>0.18904000000000001</v>
      </c>
      <c r="AB48">
        <v>2.5043000000000002</v>
      </c>
      <c r="AC48" s="209">
        <v>5.0040000000000001E-2</v>
      </c>
      <c r="AD48" s="209"/>
      <c r="AF48" cm="1">
        <f t="array" ref="AF48">SUMPRODUCT($AF$2:$AF$5, TRANSPOSE($Z48:$AC48))</f>
        <v>0.439029</v>
      </c>
      <c r="AG48" cm="1">
        <f t="array" ref="AG48">SUMPRODUCT($AG$2:$AG$5, TRANSPOSE($Z48:$AC48))</f>
        <v>0.30936600000000009</v>
      </c>
      <c r="AH48" cm="1">
        <f t="array" ref="AH48">SUMPRODUCT($AH$2:$AH$5, TRANSPOSE($Z48:$AC48))</f>
        <v>0.30936600000000009</v>
      </c>
      <c r="AK48" t="s">
        <v>406</v>
      </c>
      <c r="AL48" t="s">
        <v>54</v>
      </c>
      <c r="AM48" cm="1">
        <f t="array" aca="1" ref="AM48" ca="1">IFERROR(($AM$2*INDEX(Indicators,MATCH($A48,INDEX(Indicators,0,4),0),MATCH($AK$2,INDEX(Indicators,1,0),0)))+($AM$3*INDEX(Indicators,MATCH($A48,INDEX(Indicators,0,4),0),MATCH($AK$3,INDEX(Indicators,1,0),0)))+(INDEX(Electricity_projection,MATCH(AL48&amp;AK48,INDEX(Electricity_projection,0,3),0),MATCH(YEAR(TODAY()),Timeline_elec_projec,0)+3)*$AM$4), 0)</f>
        <v>0</v>
      </c>
      <c r="AN48" cm="1">
        <f t="array" aca="1" ref="AN48" ca="1">IFERROR(($AN$2*INDEX(Indicators,MATCH($A48,INDEX(Indicators,0,4),0),MATCH($AK$2,INDEX(Indicators,1,0),0)))+($AN$3*INDEX(Indicators,MATCH($A48,INDEX(Indicators,0,4),0),MATCH($AK$3,INDEX(Indicators,1,0),0)))+(INDEX(Electricity_projection,MATCH(AL48&amp;AK48,INDEX(Electricity_projection,0,3),0),MATCH(YEAR(TODAY()),Timeline_elec_projec,0)+3)*$AN$4), 0)</f>
        <v>0</v>
      </c>
      <c r="AO48" cm="1">
        <f t="array" aca="1" ref="AO48" ca="1">IFERROR(($AO$2*INDEX(Indicators,MATCH($A48,INDEX(Indicators,0,4),0),MATCH($AK$2,INDEX(Indicators,1,0),0)))+($AO$3*INDEX(Indicators,MATCH($A48,INDEX(Indicators,0,4),0),MATCH($AK$3,INDEX(Indicators,1,0),0)))+(INDEX(Electricity_projection,MATCH(AL48&amp;AK48,INDEX(Electricity_projection,0,3),0),MATCH(YEAR(TODAY()),Timeline_elec_projec,0)+3)*$AO$4), 0)</f>
        <v>0</v>
      </c>
      <c r="AP48" cm="1">
        <f t="array" aca="1" ref="AP48" ca="1">IFERROR(($AP$2*INDEX(Indicators,MATCH($A48,INDEX(Indicators,0,4),0),MATCH($AK$2,INDEX(Indicators,1,0),0)))+($AP$3*INDEX(Indicators,MATCH($A48,INDEX(Indicators,0,4),0),MATCH($AK$3,INDEX(Indicators,1,0),0)))+(INDEX(Electricity_projection,MATCH(AL48&amp;AK48,INDEX(Electricity_projection,0,3),0),MATCH(YEAR(TODAY()),Timeline_elec_projec,0)+3)*$AP$4), 0)</f>
        <v>0</v>
      </c>
      <c r="AQ48">
        <f ca="1"/>
        <v>0</v>
      </c>
    </row>
    <row r="49" spans="1:43" x14ac:dyDescent="0.35">
      <c r="A49" t="str" cm="1">
        <f t="array" ref="A49">INDEX(Indicators,ROW()-9,4)</f>
        <v>A2AttributionalCRU</v>
      </c>
      <c r="B49" s="540" cm="1">
        <f t="array" aca="1" ref="B49:I49" ca="1">INDEX(Indicators,ROW()-9,MATCH(Handle_Wearing_Course,Materials!$1:$1,0))</f>
        <v>0</v>
      </c>
      <c r="C49" s="1">
        <f ca="1"/>
        <v>0</v>
      </c>
      <c r="D49" s="1">
        <f ca="1"/>
        <v>0</v>
      </c>
      <c r="E49" s="1">
        <f ca="1"/>
        <v>0</v>
      </c>
      <c r="F49" s="1">
        <f ca="1"/>
        <v>0</v>
      </c>
      <c r="G49" s="1">
        <f ca="1"/>
        <v>0</v>
      </c>
      <c r="H49" s="1">
        <f ca="1"/>
        <v>0</v>
      </c>
      <c r="I49" s="212">
        <f ca="1"/>
        <v>0</v>
      </c>
      <c r="J49" s="1">
        <v>0</v>
      </c>
      <c r="K49" s="1">
        <v>0</v>
      </c>
      <c r="L49" s="1">
        <v>0</v>
      </c>
      <c r="O49" s="1">
        <f ca="1">SUMPRODUCT(B49:L49,$B$2:$L$2)+INDEX(Indicators,MATCH(A49,Materials!$D:$D),MATCH("Truck (32+t)",Materials!$1:$1,0))*'Data Entry'!$C$64</f>
        <v>0</v>
      </c>
      <c r="P49" s="1">
        <f ca="1">SUMPRODUCT(B49:L49,$B$3:$L$3)+INDEX(Indicators,MATCH(A49,Materials!$D:$D),MATCH("Truck (32+t)",Materials!$1:$1,0))*'Data Entry'!$C$72</f>
        <v>0</v>
      </c>
      <c r="Q49" s="1">
        <f ca="1">SUMPRODUCT(B49:L49,$B$4:$L$4)+INDEX(Indicators,MATCH(A49,Materials!$D:$D),MATCH("Truck (32+t)",Materials!$1:$1,0))*'Data Entry'!$C$66+$AQ$16</f>
        <v>1.2286007609406925E-4</v>
      </c>
      <c r="R49" s="1">
        <f ca="1">SUMPRODUCT(B49:L49,$B$5:$L$5)+INDEX(Indicators,MATCH(A49,Materials!$D:$D),MATCH("Truck (32+t)",Materials!$1:$1,0))*'Data Entry'!$C$68+$AQ$16</f>
        <v>1.2286007609406925E-4</v>
      </c>
      <c r="S49" s="1">
        <f ca="1">SUMPRODUCT(B49:L49,$B$6:$L$6)+INDEX(Indicators,MATCH(A49,Materials!$D:$D),MATCH("Truck (32+t)",Materials!$1:$1,0))*'Data Entry'!$C$70+$AQ$16</f>
        <v>1.2286007609406925E-4</v>
      </c>
      <c r="T49" s="1">
        <f ca="1">SUMPRODUCT(B49:L49,$B$7:$L$7)+INDEX(Indicators,MATCH(A49,Materials!$D:$D),MATCH("Truck (32+t)",Materials!$1:$1,0))*'Data Entry'!$C$68+$AQ$16</f>
        <v>1.2286007609406925E-4</v>
      </c>
      <c r="U49" s="1">
        <f ca="1">SUMPRODUCT(B49:L49,$B$8:$L$8)+INDEX(Indicators,MATCH(A49,Materials!$D:$D),MATCH("Truck (32+t)",Materials!$1:$1,0))*'Data Entry'!$C$69+$AQ$16</f>
        <v>1.2286007609406925E-4</v>
      </c>
      <c r="V49" s="1">
        <f ca="1">SUMPRODUCT(B49:L49,$B$9:$L$9)+INDEX(Indicators,MATCH(A49,Materials!$D:$D),MATCH("Truck (32+t)",Materials!$1:$1,0))*'Data Entry'!$C$71</f>
        <v>0</v>
      </c>
      <c r="W49" s="1">
        <f ca="1">SUMPRODUCT(B49:L49,$B$10:$L$10)+INDEX(Indicators,MATCH(A49,Materials!$D:$D),MATCH("Truck (32+t)",Materials!$1:$1,0))*'Data Entry'!$C$72</f>
        <v>0</v>
      </c>
      <c r="Z49">
        <v>0</v>
      </c>
      <c r="AA49">
        <v>0</v>
      </c>
      <c r="AB49">
        <v>0</v>
      </c>
      <c r="AC49" s="209">
        <v>0</v>
      </c>
      <c r="AD49" s="209"/>
      <c r="AF49" cm="1">
        <f t="array" ref="AF49">SUMPRODUCT($AF$2:$AF$5, TRANSPOSE($Z49:$AC49))</f>
        <v>0</v>
      </c>
      <c r="AG49" cm="1">
        <f t="array" ref="AG49">SUMPRODUCT($AG$2:$AG$5, TRANSPOSE($Z49:$AC49))</f>
        <v>0</v>
      </c>
      <c r="AH49" cm="1">
        <f t="array" ref="AH49">SUMPRODUCT($AH$2:$AH$5, TRANSPOSE($Z49:$AC49))</f>
        <v>0</v>
      </c>
      <c r="AK49" t="s">
        <v>534</v>
      </c>
      <c r="AL49" t="s">
        <v>54</v>
      </c>
      <c r="AM49" cm="1">
        <f t="array" aca="1" ref="AM49" ca="1">IFERROR(($AM$2*INDEX(Indicators,MATCH($A49,INDEX(Indicators,0,4),0),MATCH($AK$2,INDEX(Indicators,1,0),0)))+($AM$3*INDEX(Indicators,MATCH($A49,INDEX(Indicators,0,4),0),MATCH($AK$3,INDEX(Indicators,1,0),0)))+(INDEX(Electricity_projection,MATCH(AL49&amp;AK49,INDEX(Electricity_projection,0,3),0),MATCH(YEAR(TODAY()),Timeline_elec_projec,0)+3)*$AM$4), 0)</f>
        <v>0</v>
      </c>
      <c r="AN49" cm="1">
        <f t="array" aca="1" ref="AN49" ca="1">IFERROR(($AN$2*INDEX(Indicators,MATCH($A49,INDEX(Indicators,0,4),0),MATCH($AK$2,INDEX(Indicators,1,0),0)))+($AN$3*INDEX(Indicators,MATCH($A49,INDEX(Indicators,0,4),0),MATCH($AK$3,INDEX(Indicators,1,0),0)))+(INDEX(Electricity_projection,MATCH(AL49&amp;AK49,INDEX(Electricity_projection,0,3),0),MATCH(YEAR(TODAY()),Timeline_elec_projec,0)+3)*$AN$4), 0)</f>
        <v>0</v>
      </c>
      <c r="AO49" cm="1">
        <f t="array" aca="1" ref="AO49" ca="1">IFERROR(($AO$2*INDEX(Indicators,MATCH($A49,INDEX(Indicators,0,4),0),MATCH($AK$2,INDEX(Indicators,1,0),0)))+($AO$3*INDEX(Indicators,MATCH($A49,INDEX(Indicators,0,4),0),MATCH($AK$3,INDEX(Indicators,1,0),0)))+(INDEX(Electricity_projection,MATCH(AL49&amp;AK49,INDEX(Electricity_projection,0,3),0),MATCH(YEAR(TODAY()),Timeline_elec_projec,0)+3)*$AO$4), 0)</f>
        <v>0</v>
      </c>
      <c r="AP49" cm="1">
        <f t="array" aca="1" ref="AP49" ca="1">IFERROR(($AP$2*INDEX(Indicators,MATCH($A49,INDEX(Indicators,0,4),0),MATCH($AK$2,INDEX(Indicators,1,0),0)))+($AP$3*INDEX(Indicators,MATCH($A49,INDEX(Indicators,0,4),0),MATCH($AK$3,INDEX(Indicators,1,0),0)))+(INDEX(Electricity_projection,MATCH(AL49&amp;AK49,INDEX(Electricity_projection,0,3),0),MATCH(YEAR(TODAY()),Timeline_elec_projec,0)+3)*$AP$4), 0)</f>
        <v>0</v>
      </c>
      <c r="AQ49">
        <f ca="1"/>
        <v>0</v>
      </c>
    </row>
    <row r="50" spans="1:43" x14ac:dyDescent="0.35">
      <c r="A50" t="str" cm="1">
        <f t="array" ref="A50">INDEX(Indicators,ROW()-9,4)</f>
        <v>A2AttributionalEE</v>
      </c>
      <c r="B50" s="540" cm="1">
        <f t="array" aca="1" ref="B50:I50" ca="1">INDEX(Indicators,ROW()-9,MATCH(Handle_Wearing_Course,Materials!$1:$1,0))</f>
        <v>0</v>
      </c>
      <c r="C50" s="1">
        <f ca="1"/>
        <v>0</v>
      </c>
      <c r="D50" s="1">
        <f ca="1"/>
        <v>0</v>
      </c>
      <c r="E50" s="1">
        <f ca="1"/>
        <v>0</v>
      </c>
      <c r="F50" s="1">
        <f ca="1"/>
        <v>0</v>
      </c>
      <c r="G50" s="1">
        <f ca="1"/>
        <v>0</v>
      </c>
      <c r="H50" s="1">
        <f ca="1"/>
        <v>0</v>
      </c>
      <c r="I50" s="212">
        <f ca="1"/>
        <v>0</v>
      </c>
      <c r="J50" s="1">
        <v>0</v>
      </c>
      <c r="K50" s="1">
        <v>0</v>
      </c>
      <c r="L50" s="1">
        <v>0</v>
      </c>
      <c r="O50" s="1">
        <f ca="1">SUMPRODUCT(B50:L50,$B$2:$L$2)+INDEX(Indicators,MATCH(A50,Materials!$D:$D),MATCH("Truck (32+t)",Materials!$1:$1,0))*'Data Entry'!$C$64</f>
        <v>0</v>
      </c>
      <c r="P50" s="1">
        <f ca="1">SUMPRODUCT(B50:L50,$B$3:$L$3)+INDEX(Indicators,MATCH(A50,Materials!$D:$D),MATCH("Truck (32+t)",Materials!$1:$1,0))*'Data Entry'!$C$72</f>
        <v>0</v>
      </c>
      <c r="Q50" s="1">
        <f ca="1">SUMPRODUCT(B50:L50,$B$4:$L$4)+INDEX(Indicators,MATCH(A50,Materials!$D:$D),MATCH("Truck (32+t)",Materials!$1:$1,0))*'Data Entry'!$C$66+$AQ$16</f>
        <v>1.2286007609406925E-4</v>
      </c>
      <c r="R50" s="1">
        <f ca="1">SUMPRODUCT(B50:L50,$B$5:$L$5)+INDEX(Indicators,MATCH(A50,Materials!$D:$D),MATCH("Truck (32+t)",Materials!$1:$1,0))*'Data Entry'!$C$68+$AQ$16</f>
        <v>1.2286007609406925E-4</v>
      </c>
      <c r="S50" s="1">
        <f ca="1">SUMPRODUCT(B50:L50,$B$6:$L$6)+INDEX(Indicators,MATCH(A50,Materials!$D:$D),MATCH("Truck (32+t)",Materials!$1:$1,0))*'Data Entry'!$C$70+$AQ$16</f>
        <v>1.2286007609406925E-4</v>
      </c>
      <c r="T50" s="1">
        <f ca="1">SUMPRODUCT(B50:L50,$B$7:$L$7)+INDEX(Indicators,MATCH(A50,Materials!$D:$D),MATCH("Truck (32+t)",Materials!$1:$1,0))*'Data Entry'!$C$68+$AQ$16</f>
        <v>1.2286007609406925E-4</v>
      </c>
      <c r="U50" s="1">
        <f ca="1">SUMPRODUCT(B50:L50,$B$8:$L$8)+INDEX(Indicators,MATCH(A50,Materials!$D:$D),MATCH("Truck (32+t)",Materials!$1:$1,0))*'Data Entry'!$C$69+$AQ$16</f>
        <v>1.2286007609406925E-4</v>
      </c>
      <c r="V50" s="1">
        <f ca="1">SUMPRODUCT(B50:L50,$B$9:$L$9)+INDEX(Indicators,MATCH(A50,Materials!$D:$D),MATCH("Truck (32+t)",Materials!$1:$1,0))*'Data Entry'!$C$71</f>
        <v>0</v>
      </c>
      <c r="W50" s="1">
        <f ca="1">SUMPRODUCT(B50:L50,$B$10:$L$10)+INDEX(Indicators,MATCH(A50,Materials!$D:$D),MATCH("Truck (32+t)",Materials!$1:$1,0))*'Data Entry'!$C$72</f>
        <v>0</v>
      </c>
      <c r="Z50">
        <v>0</v>
      </c>
      <c r="AA50">
        <v>0</v>
      </c>
      <c r="AB50">
        <v>0</v>
      </c>
      <c r="AC50" s="209">
        <v>0</v>
      </c>
      <c r="AD50" s="209"/>
      <c r="AF50" cm="1">
        <f t="array" ref="AF50">SUMPRODUCT($AF$2:$AF$5, TRANSPOSE($Z50:$AC50))</f>
        <v>0</v>
      </c>
      <c r="AG50" cm="1">
        <f t="array" ref="AG50">SUMPRODUCT($AG$2:$AG$5, TRANSPOSE($Z50:$AC50))</f>
        <v>0</v>
      </c>
      <c r="AH50" cm="1">
        <f t="array" ref="AH50">SUMPRODUCT($AH$2:$AH$5, TRANSPOSE($Z50:$AC50))</f>
        <v>0</v>
      </c>
      <c r="AK50" t="s">
        <v>499</v>
      </c>
      <c r="AL50" t="s">
        <v>54</v>
      </c>
      <c r="AM50" cm="1">
        <f t="array" aca="1" ref="AM50" ca="1">IFERROR(($AM$2*INDEX(Indicators,MATCH($A50,INDEX(Indicators,0,4),0),MATCH($AK$2,INDEX(Indicators,1,0),0)))+($AM$3*INDEX(Indicators,MATCH($A50,INDEX(Indicators,0,4),0),MATCH($AK$3,INDEX(Indicators,1,0),0)))+(INDEX(Electricity_projection,MATCH(AL50&amp;AK50,INDEX(Electricity_projection,0,3),0),MATCH(YEAR(TODAY()),Timeline_elec_projec,0)+3)*$AM$4), 0)</f>
        <v>0</v>
      </c>
      <c r="AN50" cm="1">
        <f t="array" aca="1" ref="AN50" ca="1">IFERROR(($AN$2*INDEX(Indicators,MATCH($A50,INDEX(Indicators,0,4),0),MATCH($AK$2,INDEX(Indicators,1,0),0)))+($AN$3*INDEX(Indicators,MATCH($A50,INDEX(Indicators,0,4),0),MATCH($AK$3,INDEX(Indicators,1,0),0)))+(INDEX(Electricity_projection,MATCH(AL50&amp;AK50,INDEX(Electricity_projection,0,3),0),MATCH(YEAR(TODAY()),Timeline_elec_projec,0)+3)*$AN$4), 0)</f>
        <v>0</v>
      </c>
      <c r="AO50" cm="1">
        <f t="array" aca="1" ref="AO50" ca="1">IFERROR(($AO$2*INDEX(Indicators,MATCH($A50,INDEX(Indicators,0,4),0),MATCH($AK$2,INDEX(Indicators,1,0),0)))+($AO$3*INDEX(Indicators,MATCH($A50,INDEX(Indicators,0,4),0),MATCH($AK$3,INDEX(Indicators,1,0),0)))+(INDEX(Electricity_projection,MATCH(AL50&amp;AK50,INDEX(Electricity_projection,0,3),0),MATCH(YEAR(TODAY()),Timeline_elec_projec,0)+3)*$AO$4), 0)</f>
        <v>0</v>
      </c>
      <c r="AP50" cm="1">
        <f t="array" aca="1" ref="AP50" ca="1">IFERROR(($AP$2*INDEX(Indicators,MATCH($A50,INDEX(Indicators,0,4),0),MATCH($AK$2,INDEX(Indicators,1,0),0)))+($AP$3*INDEX(Indicators,MATCH($A50,INDEX(Indicators,0,4),0),MATCH($AK$3,INDEX(Indicators,1,0),0)))+(INDEX(Electricity_projection,MATCH(AL50&amp;AK50,INDEX(Electricity_projection,0,3),0),MATCH(YEAR(TODAY()),Timeline_elec_projec,0)+3)*$AP$4), 0)</f>
        <v>0</v>
      </c>
      <c r="AQ50">
        <f ca="1"/>
        <v>0</v>
      </c>
    </row>
    <row r="51" spans="1:43" x14ac:dyDescent="0.35">
      <c r="A51" t="str" cm="1">
        <f t="array" ref="A51">INDEX(Indicators,ROW()-9,4)</f>
        <v>A2AttributionalMER</v>
      </c>
      <c r="B51" s="540" cm="1">
        <f t="array" aca="1" ref="B51:I51" ca="1">INDEX(Indicators,ROW()-9,MATCH(Handle_Wearing_Course,Materials!$1:$1,0))</f>
        <v>0</v>
      </c>
      <c r="C51" s="1">
        <f ca="1"/>
        <v>0</v>
      </c>
      <c r="D51" s="1">
        <f ca="1"/>
        <v>0</v>
      </c>
      <c r="E51" s="1">
        <f ca="1"/>
        <v>0</v>
      </c>
      <c r="F51" s="1">
        <f ca="1"/>
        <v>0</v>
      </c>
      <c r="G51" s="1">
        <f ca="1"/>
        <v>0</v>
      </c>
      <c r="H51" s="1">
        <f ca="1"/>
        <v>0</v>
      </c>
      <c r="I51" s="212">
        <f ca="1"/>
        <v>0</v>
      </c>
      <c r="J51" s="1">
        <v>0</v>
      </c>
      <c r="K51" s="1">
        <v>0</v>
      </c>
      <c r="L51" s="1">
        <v>0</v>
      </c>
      <c r="O51" s="1">
        <f ca="1">SUMPRODUCT(B51:L51,$B$2:$L$2)+INDEX(Indicators,MATCH(A51,Materials!$D:$D),MATCH("Truck (32+t)",Materials!$1:$1,0))*'Data Entry'!$C$64</f>
        <v>0</v>
      </c>
      <c r="P51" s="1">
        <f ca="1">SUMPRODUCT(B51:L51,$B$3:$L$3)+INDEX(Indicators,MATCH(A51,Materials!$D:$D),MATCH("Truck (32+t)",Materials!$1:$1,0))*'Data Entry'!$C$72</f>
        <v>0</v>
      </c>
      <c r="Q51" s="1">
        <f ca="1">SUMPRODUCT(B51:L51,$B$4:$L$4)+INDEX(Indicators,MATCH(A51,Materials!$D:$D),MATCH("Truck (32+t)",Materials!$1:$1,0))*'Data Entry'!$C$66+$AQ$16</f>
        <v>1.2286007609406925E-4</v>
      </c>
      <c r="R51" s="1">
        <f ca="1">SUMPRODUCT(B51:L51,$B$5:$L$5)+INDEX(Indicators,MATCH(A51,Materials!$D:$D),MATCH("Truck (32+t)",Materials!$1:$1,0))*'Data Entry'!$C$68+$AQ$16</f>
        <v>1.2286007609406925E-4</v>
      </c>
      <c r="S51" s="1">
        <f ca="1">SUMPRODUCT(B51:L51,$B$6:$L$6)+INDEX(Indicators,MATCH(A51,Materials!$D:$D),MATCH("Truck (32+t)",Materials!$1:$1,0))*'Data Entry'!$C$70+$AQ$16</f>
        <v>1.2286007609406925E-4</v>
      </c>
      <c r="T51" s="1">
        <f ca="1">SUMPRODUCT(B51:L51,$B$7:$L$7)+INDEX(Indicators,MATCH(A51,Materials!$D:$D),MATCH("Truck (32+t)",Materials!$1:$1,0))*'Data Entry'!$C$68+$AQ$16</f>
        <v>1.2286007609406925E-4</v>
      </c>
      <c r="U51" s="1">
        <f ca="1">SUMPRODUCT(B51:L51,$B$8:$L$8)+INDEX(Indicators,MATCH(A51,Materials!$D:$D),MATCH("Truck (32+t)",Materials!$1:$1,0))*'Data Entry'!$C$69+$AQ$16</f>
        <v>1.2286007609406925E-4</v>
      </c>
      <c r="V51" s="1">
        <f ca="1">SUMPRODUCT(B51:L51,$B$9:$L$9)+INDEX(Indicators,MATCH(A51,Materials!$D:$D),MATCH("Truck (32+t)",Materials!$1:$1,0))*'Data Entry'!$C$71</f>
        <v>0</v>
      </c>
      <c r="W51" s="1">
        <f ca="1">SUMPRODUCT(B51:L51,$B$10:$L$10)+INDEX(Indicators,MATCH(A51,Materials!$D:$D),MATCH("Truck (32+t)",Materials!$1:$1,0))*'Data Entry'!$C$72</f>
        <v>0</v>
      </c>
      <c r="Z51">
        <v>0</v>
      </c>
      <c r="AA51">
        <v>0</v>
      </c>
      <c r="AB51">
        <v>0</v>
      </c>
      <c r="AC51" s="209">
        <v>0</v>
      </c>
      <c r="AD51" s="209"/>
      <c r="AF51" cm="1">
        <f t="array" ref="AF51">SUMPRODUCT($AF$2:$AF$5, TRANSPOSE($Z51:$AC51))</f>
        <v>0</v>
      </c>
      <c r="AG51" cm="1">
        <f t="array" ref="AG51">SUMPRODUCT($AG$2:$AG$5, TRANSPOSE($Z51:$AC51))</f>
        <v>0</v>
      </c>
      <c r="AH51" cm="1">
        <f t="array" ref="AH51">SUMPRODUCT($AH$2:$AH$5, TRANSPOSE($Z51:$AC51))</f>
        <v>0</v>
      </c>
      <c r="AK51" t="s">
        <v>501</v>
      </c>
      <c r="AL51" t="s">
        <v>54</v>
      </c>
      <c r="AM51" cm="1">
        <f t="array" aca="1" ref="AM51" ca="1">IFERROR(($AM$2*INDEX(Indicators,MATCH($A51,INDEX(Indicators,0,4),0),MATCH($AK$2,INDEX(Indicators,1,0),0)))+($AM$3*INDEX(Indicators,MATCH($A51,INDEX(Indicators,0,4),0),MATCH($AK$3,INDEX(Indicators,1,0),0)))+(INDEX(Electricity_projection,MATCH(AL51&amp;AK51,INDEX(Electricity_projection,0,3),0),MATCH(YEAR(TODAY()),Timeline_elec_projec,0)+3)*$AM$4), 0)</f>
        <v>0</v>
      </c>
      <c r="AN51" cm="1">
        <f t="array" aca="1" ref="AN51" ca="1">IFERROR(($AN$2*INDEX(Indicators,MATCH($A51,INDEX(Indicators,0,4),0),MATCH($AK$2,INDEX(Indicators,1,0),0)))+($AN$3*INDEX(Indicators,MATCH($A51,INDEX(Indicators,0,4),0),MATCH($AK$3,INDEX(Indicators,1,0),0)))+(INDEX(Electricity_projection,MATCH(AL51&amp;AK51,INDEX(Electricity_projection,0,3),0),MATCH(YEAR(TODAY()),Timeline_elec_projec,0)+3)*$AN$4), 0)</f>
        <v>0</v>
      </c>
      <c r="AO51" cm="1">
        <f t="array" aca="1" ref="AO51" ca="1">IFERROR(($AO$2*INDEX(Indicators,MATCH($A51,INDEX(Indicators,0,4),0),MATCH($AK$2,INDEX(Indicators,1,0),0)))+($AO$3*INDEX(Indicators,MATCH($A51,INDEX(Indicators,0,4),0),MATCH($AK$3,INDEX(Indicators,1,0),0)))+(INDEX(Electricity_projection,MATCH(AL51&amp;AK51,INDEX(Electricity_projection,0,3),0),MATCH(YEAR(TODAY()),Timeline_elec_projec,0)+3)*$AO$4), 0)</f>
        <v>0</v>
      </c>
      <c r="AP51" cm="1">
        <f t="array" aca="1" ref="AP51" ca="1">IFERROR(($AP$2*INDEX(Indicators,MATCH($A51,INDEX(Indicators,0,4),0),MATCH($AK$2,INDEX(Indicators,1,0),0)))+($AP$3*INDEX(Indicators,MATCH($A51,INDEX(Indicators,0,4),0),MATCH($AK$3,INDEX(Indicators,1,0),0)))+(INDEX(Electricity_projection,MATCH(AL51&amp;AK51,INDEX(Electricity_projection,0,3),0),MATCH(YEAR(TODAY()),Timeline_elec_projec,0)+3)*$AP$4), 0)</f>
        <v>0</v>
      </c>
      <c r="AQ51">
        <f ca="1"/>
        <v>0</v>
      </c>
    </row>
    <row r="52" spans="1:43" x14ac:dyDescent="0.35">
      <c r="A52" t="str" cm="1">
        <f t="array" ref="A52">INDEX(Indicators,ROW()-9,4)</f>
        <v>A2AttributionalMFR</v>
      </c>
      <c r="B52" s="540" cm="1">
        <f t="array" aca="1" ref="B52:I52" ca="1">INDEX(Indicators,ROW()-9,MATCH(Handle_Wearing_Course,Materials!$1:$1,0))</f>
        <v>0</v>
      </c>
      <c r="C52" s="1">
        <f ca="1"/>
        <v>0</v>
      </c>
      <c r="D52" s="1">
        <f ca="1"/>
        <v>0</v>
      </c>
      <c r="E52" s="1">
        <f ca="1"/>
        <v>0</v>
      </c>
      <c r="F52" s="1">
        <f ca="1"/>
        <v>0</v>
      </c>
      <c r="G52" s="1">
        <f ca="1"/>
        <v>0</v>
      </c>
      <c r="H52" s="1">
        <f ca="1"/>
        <v>0</v>
      </c>
      <c r="I52" s="212">
        <f ca="1"/>
        <v>0</v>
      </c>
      <c r="J52" s="1">
        <v>0</v>
      </c>
      <c r="K52" s="1">
        <v>0</v>
      </c>
      <c r="L52" s="1">
        <v>0</v>
      </c>
      <c r="O52" s="1">
        <f ca="1">SUMPRODUCT(B52:L52,$B$2:$L$2)+INDEX(Indicators,MATCH(A52,Materials!$D:$D),MATCH("Truck (32+t)",Materials!$1:$1,0))*'Data Entry'!$C$64</f>
        <v>0</v>
      </c>
      <c r="P52" s="1">
        <f ca="1">SUMPRODUCT(B52:L52,$B$3:$L$3)+INDEX(Indicators,MATCH(A52,Materials!$D:$D),MATCH("Truck (32+t)",Materials!$1:$1,0))*'Data Entry'!$C$72</f>
        <v>0</v>
      </c>
      <c r="Q52" s="1">
        <f ca="1">SUMPRODUCT(B52:L52,$B$4:$L$4)+INDEX(Indicators,MATCH(A52,Materials!$D:$D),MATCH("Truck (32+t)",Materials!$1:$1,0))*'Data Entry'!$C$66+$AQ$16</f>
        <v>1.2286007609406925E-4</v>
      </c>
      <c r="R52" s="1">
        <f ca="1">SUMPRODUCT(B52:L52,$B$5:$L$5)+INDEX(Indicators,MATCH(A52,Materials!$D:$D),MATCH("Truck (32+t)",Materials!$1:$1,0))*'Data Entry'!$C$68+$AQ$16</f>
        <v>1.2286007609406925E-4</v>
      </c>
      <c r="S52" s="1">
        <f ca="1">SUMPRODUCT(B52:L52,$B$6:$L$6)+INDEX(Indicators,MATCH(A52,Materials!$D:$D),MATCH("Truck (32+t)",Materials!$1:$1,0))*'Data Entry'!$C$70+$AQ$16</f>
        <v>1.2286007609406925E-4</v>
      </c>
      <c r="T52" s="1">
        <f ca="1">SUMPRODUCT(B52:L52,$B$7:$L$7)+INDEX(Indicators,MATCH(A52,Materials!$D:$D),MATCH("Truck (32+t)",Materials!$1:$1,0))*'Data Entry'!$C$68+$AQ$16</f>
        <v>1.2286007609406925E-4</v>
      </c>
      <c r="U52" s="1">
        <f ca="1">SUMPRODUCT(B52:L52,$B$8:$L$8)+INDEX(Indicators,MATCH(A52,Materials!$D:$D),MATCH("Truck (32+t)",Materials!$1:$1,0))*'Data Entry'!$C$69+$AQ$16</f>
        <v>1.2286007609406925E-4</v>
      </c>
      <c r="V52" s="1">
        <f ca="1">SUMPRODUCT(B52:L52,$B$9:$L$9)+INDEX(Indicators,MATCH(A52,Materials!$D:$D),MATCH("Truck (32+t)",Materials!$1:$1,0))*'Data Entry'!$C$71</f>
        <v>0</v>
      </c>
      <c r="W52" s="1">
        <f ca="1">SUMPRODUCT(B52:L52,$B$10:$L$10)+INDEX(Indicators,MATCH(A52,Materials!$D:$D),MATCH("Truck (32+t)",Materials!$1:$1,0))*'Data Entry'!$C$72</f>
        <v>0</v>
      </c>
      <c r="Z52">
        <v>0</v>
      </c>
      <c r="AA52">
        <v>0</v>
      </c>
      <c r="AB52">
        <v>0</v>
      </c>
      <c r="AC52" s="209">
        <v>0</v>
      </c>
      <c r="AD52" s="209"/>
      <c r="AF52" cm="1">
        <f t="array" ref="AF52">SUMPRODUCT($AF$2:$AF$5, TRANSPOSE($Z52:$AC52))</f>
        <v>0</v>
      </c>
      <c r="AG52" cm="1">
        <f t="array" ref="AG52">SUMPRODUCT($AG$2:$AG$5, TRANSPOSE($Z52:$AC52))</f>
        <v>0</v>
      </c>
      <c r="AH52" cm="1">
        <f t="array" ref="AH52">SUMPRODUCT($AH$2:$AH$5, TRANSPOSE($Z52:$AC52))</f>
        <v>0</v>
      </c>
      <c r="AK52" t="s">
        <v>503</v>
      </c>
      <c r="AL52" t="s">
        <v>54</v>
      </c>
      <c r="AM52" cm="1">
        <f t="array" aca="1" ref="AM52" ca="1">IFERROR(($AM$2*INDEX(Indicators,MATCH($A52,INDEX(Indicators,0,4),0),MATCH($AK$2,INDEX(Indicators,1,0),0)))+($AM$3*INDEX(Indicators,MATCH($A52,INDEX(Indicators,0,4),0),MATCH($AK$3,INDEX(Indicators,1,0),0)))+(INDEX(Electricity_projection,MATCH(AL52&amp;AK52,INDEX(Electricity_projection,0,3),0),MATCH(YEAR(TODAY()),Timeline_elec_projec,0)+3)*$AM$4), 0)</f>
        <v>0</v>
      </c>
      <c r="AN52" cm="1">
        <f t="array" aca="1" ref="AN52" ca="1">IFERROR(($AN$2*INDEX(Indicators,MATCH($A52,INDEX(Indicators,0,4),0),MATCH($AK$2,INDEX(Indicators,1,0),0)))+($AN$3*INDEX(Indicators,MATCH($A52,INDEX(Indicators,0,4),0),MATCH($AK$3,INDEX(Indicators,1,0),0)))+(INDEX(Electricity_projection,MATCH(AL52&amp;AK52,INDEX(Electricity_projection,0,3),0),MATCH(YEAR(TODAY()),Timeline_elec_projec,0)+3)*$AN$4), 0)</f>
        <v>0</v>
      </c>
      <c r="AO52" cm="1">
        <f t="array" aca="1" ref="AO52" ca="1">IFERROR(($AO$2*INDEX(Indicators,MATCH($A52,INDEX(Indicators,0,4),0),MATCH($AK$2,INDEX(Indicators,1,0),0)))+($AO$3*INDEX(Indicators,MATCH($A52,INDEX(Indicators,0,4),0),MATCH($AK$3,INDEX(Indicators,1,0),0)))+(INDEX(Electricity_projection,MATCH(AL52&amp;AK52,INDEX(Electricity_projection,0,3),0),MATCH(YEAR(TODAY()),Timeline_elec_projec,0)+3)*$AO$4), 0)</f>
        <v>0</v>
      </c>
      <c r="AP52" cm="1">
        <f t="array" aca="1" ref="AP52" ca="1">IFERROR(($AP$2*INDEX(Indicators,MATCH($A52,INDEX(Indicators,0,4),0),MATCH($AK$2,INDEX(Indicators,1,0),0)))+($AP$3*INDEX(Indicators,MATCH($A52,INDEX(Indicators,0,4),0),MATCH($AK$3,INDEX(Indicators,1,0),0)))+(INDEX(Electricity_projection,MATCH(AL52&amp;AK52,INDEX(Electricity_projection,0,3),0),MATCH(YEAR(TODAY()),Timeline_elec_projec,0)+3)*$AP$4), 0)</f>
        <v>0</v>
      </c>
      <c r="AQ52">
        <f ca="1"/>
        <v>0</v>
      </c>
    </row>
    <row r="53" spans="1:43" x14ac:dyDescent="0.35">
      <c r="A53" t="str" cm="1">
        <f t="array" ref="A53">INDEX(Indicators,ROW()-9,4)</f>
        <v>A2AttributionalPENRT</v>
      </c>
      <c r="B53" s="540" cm="1">
        <f t="array" aca="1" ref="B53:I53" ca="1">INDEX(Indicators,ROW()-9,MATCH(Handle_Wearing_Course,Materials!$1:$1,0))</f>
        <v>5.1265138357380002E-2</v>
      </c>
      <c r="C53" s="1">
        <f ca="1"/>
        <v>3.3839408657519998E-2</v>
      </c>
      <c r="D53" s="1">
        <f ca="1"/>
        <v>3.2552436727799991E-2</v>
      </c>
      <c r="E53" s="1">
        <f ca="1"/>
        <v>45.545737910964149</v>
      </c>
      <c r="F53" s="1">
        <f ca="1"/>
        <v>0</v>
      </c>
      <c r="G53" s="1">
        <f ca="1"/>
        <v>2.0200000000000001E-3</v>
      </c>
      <c r="H53" s="1">
        <f ca="1"/>
        <v>0</v>
      </c>
      <c r="I53" s="212">
        <f ca="1"/>
        <v>49.401332000000011</v>
      </c>
      <c r="J53" s="1">
        <v>50.600138000000001</v>
      </c>
      <c r="K53" s="1">
        <v>49.401332000000011</v>
      </c>
      <c r="L53" s="1">
        <v>49.401332000000011</v>
      </c>
      <c r="O53" s="1">
        <f ca="1">SUMPRODUCT(B53:L53,$B$2:$L$2)+INDEX(Indicators,MATCH(A53,Materials!$D:$D),MATCH("Truck (32+t)",Materials!$1:$1,0))*'Data Entry'!$C$64</f>
        <v>2.780933504713786</v>
      </c>
      <c r="P53" s="1">
        <f ca="1">SUMPRODUCT(B53:L53,$B$3:$L$3)+INDEX(Indicators,MATCH(A53,Materials!$D:$D),MATCH("Truck (32+t)",Materials!$1:$1,0))*'Data Entry'!$C$72</f>
        <v>3.0841975100559371</v>
      </c>
      <c r="Q53" s="1">
        <f ca="1">SUMPRODUCT(B53:L53,$B$4:$L$4)+INDEX(Indicators,MATCH(A53,Materials!$D:$D),MATCH("Truck (32+t)",Materials!$1:$1,0))*'Data Entry'!$C$66+$AQ$16</f>
        <v>3.2285160118641163</v>
      </c>
      <c r="R53" s="1">
        <f ca="1">SUMPRODUCT(B53:L53,$B$5:$L$5)+INDEX(Indicators,MATCH(A53,Materials!$D:$D),MATCH("Truck (32+t)",Materials!$1:$1,0))*'Data Entry'!$C$68+$AQ$16</f>
        <v>3.2959889084222436</v>
      </c>
      <c r="S53" s="1">
        <f ca="1">SUMPRODUCT(B53:L53,$B$6:$L$6)+INDEX(Indicators,MATCH(A53,Materials!$D:$D),MATCH("Truck (32+t)",Materials!$1:$1,0))*'Data Entry'!$C$70+$AQ$16</f>
        <v>2.7810563647898801</v>
      </c>
      <c r="T53" s="1">
        <f ca="1">SUMPRODUCT(B53:L53,$B$7:$L$7)+INDEX(Indicators,MATCH(A53,Materials!$D:$D),MATCH("Truck (32+t)",Materials!$1:$1,0))*'Data Entry'!$C$68+$AQ$16</f>
        <v>2.8388902761254178</v>
      </c>
      <c r="U53" s="1">
        <f ca="1">SUMPRODUCT(B53:L53,$B$8:$L$8)+INDEX(Indicators,MATCH(A53,Materials!$D:$D),MATCH("Truck (32+t)",Materials!$1:$1,0))*'Data Entry'!$C$69+$AQ$16</f>
        <v>2.3261116370638129</v>
      </c>
      <c r="V53" s="1">
        <f ca="1">SUMPRODUCT(B53:L53,$B$9:$L$9)+INDEX(Indicators,MATCH(A53,Materials!$D:$D),MATCH("Truck (32+t)",Materials!$1:$1,0))*'Data Entry'!$C$71</f>
        <v>3.2446056524249998E-2</v>
      </c>
      <c r="W53" s="1">
        <f ca="1">SUMPRODUCT(B53:L53,$B$10:$L$10)+INDEX(Indicators,MATCH(A53,Materials!$D:$D),MATCH("Truck (32+t)",Materials!$1:$1,0))*'Data Entry'!$C$72</f>
        <v>6.6660000000000005E-4</v>
      </c>
      <c r="Z53">
        <v>101.31142</v>
      </c>
      <c r="AA53">
        <v>5.99397</v>
      </c>
      <c r="AB53">
        <v>111.98959000000001</v>
      </c>
      <c r="AC53" s="209">
        <v>47.003720000000001</v>
      </c>
      <c r="AD53" s="209"/>
      <c r="AF53" cm="1">
        <f t="array" ref="AF53">SUMPRODUCT($AF$2:$AF$5, TRANSPOSE($Z53:$AC53))</f>
        <v>50.600138000000001</v>
      </c>
      <c r="AG53" cm="1">
        <f t="array" ref="AG53">SUMPRODUCT($AG$2:$AG$5, TRANSPOSE($Z53:$AC53))</f>
        <v>49.401332000000011</v>
      </c>
      <c r="AH53" cm="1">
        <f t="array" ref="AH53">SUMPRODUCT($AH$2:$AH$5, TRANSPOSE($Z53:$AC53))</f>
        <v>49.401332000000011</v>
      </c>
      <c r="AK53" t="s">
        <v>409</v>
      </c>
      <c r="AL53" t="s">
        <v>54</v>
      </c>
      <c r="AM53" cm="1">
        <f t="array" aca="1" ref="AM53" ca="1">IFERROR(($AM$2*INDEX(Indicators,MATCH($A53,INDEX(Indicators,0,4),0),MATCH($AK$2,INDEX(Indicators,1,0),0)))+($AM$3*INDEX(Indicators,MATCH($A53,INDEX(Indicators,0,4),0),MATCH($AK$3,INDEX(Indicators,1,0),0)))+(INDEX(Electricity_projection,MATCH(AL53&amp;AK53,INDEX(Electricity_projection,0,3),0),MATCH(YEAR(TODAY()),Timeline_elec_projec,0)+3)*$AM$4), 0)</f>
        <v>0.35748310443023401</v>
      </c>
      <c r="AN53" cm="1">
        <f t="array" aca="1" ref="AN53" ca="1">IFERROR(($AN$2*INDEX(Indicators,MATCH($A53,INDEX(Indicators,0,4),0),MATCH($AK$2,INDEX(Indicators,1,0),0)))+($AN$3*INDEX(Indicators,MATCH($A53,INDEX(Indicators,0,4),0),MATCH($AK$3,INDEX(Indicators,1,0),0)))+(INDEX(Electricity_projection,MATCH(AL53&amp;AK53,INDEX(Electricity_projection,0,3),0),MATCH(YEAR(TODAY()),Timeline_elec_projec,0)+3)*$AN$4), 0)</f>
        <v>0.31677273296530351</v>
      </c>
      <c r="AO53" cm="1">
        <f t="array" aca="1" ref="AO53" ca="1">IFERROR(($AO$2*INDEX(Indicators,MATCH($A53,INDEX(Indicators,0,4),0),MATCH($AK$2,INDEX(Indicators,1,0),0)))+($AO$3*INDEX(Indicators,MATCH($A53,INDEX(Indicators,0,4),0),MATCH($AK$3,INDEX(Indicators,1,0),0)))+(INDEX(Electricity_projection,MATCH(AL53&amp;AK53,INDEX(Electricity_projection,0,3),0),MATCH(YEAR(TODAY()),Timeline_elec_projec,0)+3)*$AO$4), 0)</f>
        <v>0.42105954031410375</v>
      </c>
      <c r="AP53" cm="1">
        <f t="array" aca="1" ref="AP53" ca="1">IFERROR(($AP$2*INDEX(Indicators,MATCH($A53,INDEX(Indicators,0,4),0),MATCH($AK$2,INDEX(Indicators,1,0),0)))+($AP$3*INDEX(Indicators,MATCH($A53,INDEX(Indicators,0,4),0),MATCH($AK$3,INDEX(Indicators,1,0),0)))+(INDEX(Electricity_projection,MATCH(AL53&amp;AK53,INDEX(Electricity_projection,0,3),0),MATCH(YEAR(TODAY()),Timeline_elec_projec,0)+3)*$AP$4), 0)</f>
        <v>0.36159369031410382</v>
      </c>
      <c r="AQ53">
        <f ca="1"/>
        <v>0.35748310443023401</v>
      </c>
    </row>
    <row r="54" spans="1:43" x14ac:dyDescent="0.35">
      <c r="A54" t="str" cm="1">
        <f t="array" ref="A54">INDEX(Indicators,ROW()-9,4)</f>
        <v>A2AttributionalPERT</v>
      </c>
      <c r="B54" s="540" cm="1">
        <f t="array" aca="1" ref="B54:I54" ca="1">INDEX(Indicators,ROW()-9,MATCH(Handle_Wearing_Course,Materials!$1:$1,0))</f>
        <v>5.9537555943800016E-3</v>
      </c>
      <c r="C54" s="1">
        <f ca="1"/>
        <v>6.3819398055200002E-3</v>
      </c>
      <c r="D54" s="1">
        <f ca="1"/>
        <v>2.4417861197800001E-2</v>
      </c>
      <c r="E54" s="1">
        <f ca="1"/>
        <v>9.0389676197350027E-2</v>
      </c>
      <c r="F54" s="1">
        <f ca="1"/>
        <v>0</v>
      </c>
      <c r="G54" s="1">
        <f ca="1"/>
        <v>1.14E-3</v>
      </c>
      <c r="H54" s="1">
        <f ca="1"/>
        <v>0</v>
      </c>
      <c r="I54" s="212">
        <f ca="1"/>
        <v>0.42964800000000003</v>
      </c>
      <c r="J54" s="1">
        <v>0.58805699999999994</v>
      </c>
      <c r="K54" s="1">
        <v>0.42964800000000003</v>
      </c>
      <c r="L54" s="1">
        <v>0.42964800000000003</v>
      </c>
      <c r="O54" s="1">
        <f ca="1">SUMPRODUCT(B54:L54,$B$2:$L$2)+INDEX(Indicators,MATCH(A54,Materials!$D:$D),MATCH("Truck (32+t)",Materials!$1:$1,0))*'Data Entry'!$C$64</f>
        <v>1.1019910830558203E-2</v>
      </c>
      <c r="P54" s="1">
        <f ca="1">SUMPRODUCT(B54:L54,$B$3:$L$3)+INDEX(Indicators,MATCH(A54,Materials!$D:$D),MATCH("Truck (32+t)",Materials!$1:$1,0))*'Data Entry'!$C$72</f>
        <v>4.0879950258717199E-2</v>
      </c>
      <c r="Q54" s="1">
        <f ca="1">SUMPRODUCT(B54:L54,$B$4:$L$4)+INDEX(Indicators,MATCH(A54,Materials!$D:$D),MATCH("Truck (32+t)",Materials!$1:$1,0))*'Data Entry'!$C$66+$AQ$16</f>
        <v>1.9372772354049977E-2</v>
      </c>
      <c r="R54" s="1">
        <f ca="1">SUMPRODUCT(B54:L54,$B$5:$L$5)+INDEX(Indicators,MATCH(A54,Materials!$D:$D),MATCH("Truck (32+t)",Materials!$1:$1,0))*'Data Entry'!$C$68+$AQ$16</f>
        <v>2.5309793020596352E-2</v>
      </c>
      <c r="S54" s="1">
        <f ca="1">SUMPRODUCT(B54:L54,$B$6:$L$6)+INDEX(Indicators,MATCH(A54,Materials!$D:$D),MATCH("Truck (32+t)",Materials!$1:$1,0))*'Data Entry'!$C$70+$AQ$16</f>
        <v>1.1142770906652272E-2</v>
      </c>
      <c r="T54" s="1">
        <f ca="1">SUMPRODUCT(B54:L54,$B$7:$L$7)+INDEX(Indicators,MATCH(A54,Materials!$D:$D),MATCH("Truck (32+t)",Materials!$1:$1,0))*'Data Entry'!$C$68+$AQ$16</f>
        <v>1.6231645763692022E-2</v>
      </c>
      <c r="U54" s="1">
        <f ca="1">SUMPRODUCT(B54:L54,$B$8:$L$8)+INDEX(Indicators,MATCH(A54,Materials!$D:$D),MATCH("Truck (32+t)",Materials!$1:$1,0))*'Data Entry'!$C$69+$AQ$16</f>
        <v>1.0298411700622572E-2</v>
      </c>
      <c r="V54" s="1">
        <f ca="1">SUMPRODUCT(B54:L54,$B$9:$L$9)+INDEX(Indicators,MATCH(A54,Materials!$D:$D),MATCH("Truck (32+t)",Materials!$1:$1,0))*'Data Entry'!$C$71</f>
        <v>8.0314500367499996E-3</v>
      </c>
      <c r="W54" s="1">
        <f ca="1">SUMPRODUCT(B54:L54,$B$10:$L$10)+INDEX(Indicators,MATCH(A54,Materials!$D:$D),MATCH("Truck (32+t)",Materials!$1:$1,0))*'Data Entry'!$C$72</f>
        <v>3.7619999999999998E-4</v>
      </c>
      <c r="Z54">
        <v>2.1498599999999999</v>
      </c>
      <c r="AA54">
        <v>0.29894999999999999</v>
      </c>
      <c r="AB54">
        <v>3.0948899999999999</v>
      </c>
      <c r="AC54" s="209">
        <v>0.11283</v>
      </c>
      <c r="AD54" s="209"/>
      <c r="AF54" cm="1">
        <f t="array" ref="AF54">SUMPRODUCT($AF$2:$AF$5, TRANSPOSE($Z54:$AC54))</f>
        <v>0.58805699999999994</v>
      </c>
      <c r="AG54" cm="1">
        <f t="array" ref="AG54">SUMPRODUCT($AG$2:$AG$5, TRANSPOSE($Z54:$AC54))</f>
        <v>0.42964800000000003</v>
      </c>
      <c r="AH54" cm="1">
        <f t="array" ref="AH54">SUMPRODUCT($AH$2:$AH$5, TRANSPOSE($Z54:$AC54))</f>
        <v>0.42964800000000003</v>
      </c>
      <c r="AK54" t="s">
        <v>411</v>
      </c>
      <c r="AL54" t="s">
        <v>54</v>
      </c>
      <c r="AM54" cm="1">
        <f t="array" aca="1" ref="AM54" ca="1">IFERROR(($AM$2*INDEX(Indicators,MATCH($A54,INDEX(Indicators,0,4),0),MATCH($AK$2,INDEX(Indicators,1,0),0)))+($AM$3*INDEX(Indicators,MATCH($A54,INDEX(Indicators,0,4),0),MATCH($AK$3,INDEX(Indicators,1,0),0)))+(INDEX(Electricity_projection,MATCH(AL54&amp;AK54,INDEX(Electricity_projection,0,3),0),MATCH(YEAR(TODAY()),Timeline_elec_projec,0)+3)*$AM$4), 0)</f>
        <v>2.4450678322971521E-2</v>
      </c>
      <c r="AN54" cm="1">
        <f t="array" aca="1" ref="AN54" ca="1">IFERROR(($AN$2*INDEX(Indicators,MATCH($A54,INDEX(Indicators,0,4),0),MATCH($AK$2,INDEX(Indicators,1,0),0)))+($AN$3*INDEX(Indicators,MATCH($A54,INDEX(Indicators,0,4),0),MATCH($AK$3,INDEX(Indicators,1,0),0)))+(INDEX(Electricity_projection,MATCH(AL54&amp;AK54,INDEX(Electricity_projection,0,3),0),MATCH(YEAR(TODAY()),Timeline_elec_projec,0)+3)*$AN$4), 0)</f>
        <v>3.7430153475455703E-2</v>
      </c>
      <c r="AO54" cm="1">
        <f t="array" aca="1" ref="AO54" ca="1">IFERROR(($AO$2*INDEX(Indicators,MATCH($A54,INDEX(Indicators,0,4),0),MATCH($AK$2,INDEX(Indicators,1,0),0)))+($AO$3*INDEX(Indicators,MATCH($A54,INDEX(Indicators,0,4),0),MATCH($AK$3,INDEX(Indicators,1,0),0)))+(INDEX(Electricity_projection,MATCH(AL54&amp;AK54,INDEX(Electricity_projection,0,3),0),MATCH(YEAR(TODAY()),Timeline_elec_projec,0)+3)*$AO$4), 0)</f>
        <v>2.7217424114591889E-2</v>
      </c>
      <c r="AP54" cm="1">
        <f t="array" aca="1" ref="AP54" ca="1">IFERROR(($AP$2*INDEX(Indicators,MATCH($A54,INDEX(Indicators,0,4),0),MATCH($AK$2,INDEX(Indicators,1,0),0)))+($AP$3*INDEX(Indicators,MATCH($A54,INDEX(Indicators,0,4),0),MATCH($AK$3,INDEX(Indicators,1,0),0)))+(INDEX(Electricity_projection,MATCH(AL54&amp;AK54,INDEX(Electricity_projection,0,3),0),MATCH(YEAR(TODAY()),Timeline_elec_projec,0)+3)*$AP$4), 0)</f>
        <v>2.670532301459189E-2</v>
      </c>
      <c r="AQ54">
        <f ca="1"/>
        <v>2.4450678322971521E-2</v>
      </c>
    </row>
    <row r="55" spans="1:43" x14ac:dyDescent="0.35">
      <c r="A55" t="str" cm="1">
        <f t="array" ref="A55">INDEX(Indicators,ROW()-9,4)</f>
        <v>A2AttributionalFW</v>
      </c>
      <c r="B55" s="540" cm="1">
        <f t="array" aca="1" ref="B55:I55" ca="1">INDEX(Indicators,ROW()-9,MATCH(Handle_Wearing_Course,Materials!$1:$1,0))</f>
        <v>3.0031575158999998E-4</v>
      </c>
      <c r="C55" s="1">
        <f ca="1"/>
        <v>1.9836035999999999E-7</v>
      </c>
      <c r="D55" s="1">
        <f ca="1"/>
        <v>1.0366289999999999E-7</v>
      </c>
      <c r="E55" s="1">
        <f ca="1"/>
        <v>1.8883818422541041E-4</v>
      </c>
      <c r="F55" s="1">
        <f ca="1"/>
        <v>0</v>
      </c>
      <c r="G55" s="1">
        <f ca="1"/>
        <v>1E-3</v>
      </c>
      <c r="H55" s="1">
        <f ca="1"/>
        <v>0</v>
      </c>
      <c r="I55" s="212">
        <f ca="1"/>
        <v>7.2910000000000006E-3</v>
      </c>
      <c r="J55" s="1">
        <v>1.03465E-2</v>
      </c>
      <c r="K55" s="1">
        <v>7.2910000000000006E-3</v>
      </c>
      <c r="L55" s="1">
        <v>7.2910000000000006E-3</v>
      </c>
      <c r="O55" s="1">
        <f ca="1">SUMPRODUCT(B55:L55,$B$2:$L$2)+INDEX(Indicators,MATCH(A55,Materials!$D:$D),MATCH("Truck (32+t)",Materials!$1:$1,0))*'Data Entry'!$C$64</f>
        <v>2.9362709754812461E-4</v>
      </c>
      <c r="P55" s="1">
        <f ca="1">SUMPRODUCT(B55:L55,$B$3:$L$3)+INDEX(Indicators,MATCH(A55,Materials!$D:$D),MATCH("Truck (32+t)",Materials!$1:$1,0))*'Data Entry'!$C$72</f>
        <v>9.0308680649459994E-4</v>
      </c>
      <c r="Q55" s="1">
        <f ca="1">SUMPRODUCT(B55:L55,$B$4:$L$4)+INDEX(Indicators,MATCH(A55,Materials!$D:$D),MATCH("Truck (32+t)",Materials!$1:$1,0))*'Data Entry'!$C$66+$AQ$16</f>
        <v>2.9528756249254796E-4</v>
      </c>
      <c r="R55" s="1">
        <f ca="1">SUMPRODUCT(B55:L55,$B$5:$L$5)+INDEX(Indicators,MATCH(A55,Materials!$D:$D),MATCH("Truck (32+t)",Materials!$1:$1,0))*'Data Entry'!$C$68+$AQ$16</f>
        <v>4.1957539426860327E-4</v>
      </c>
      <c r="S55" s="1">
        <f ca="1">SUMPRODUCT(B55:L55,$B$6:$L$6)+INDEX(Indicators,MATCH(A55,Materials!$D:$D),MATCH("Truck (32+t)",Materials!$1:$1,0))*'Data Entry'!$C$70+$AQ$16</f>
        <v>4.1648717364219383E-4</v>
      </c>
      <c r="T55" s="1">
        <f ca="1">SUMPRODUCT(B55:L55,$B$7:$L$7)+INDEX(Indicators,MATCH(A55,Materials!$D:$D),MATCH("Truck (32+t)",Materials!$1:$1,0))*'Data Entry'!$C$68+$AQ$16</f>
        <v>5.2301960087881264E-4</v>
      </c>
      <c r="U55" s="1">
        <f ca="1">SUMPRODUCT(B55:L55,$B$8:$L$8)+INDEX(Indicators,MATCH(A55,Materials!$D:$D),MATCH("Truck (32+t)",Materials!$1:$1,0))*'Data Entry'!$C$69+$AQ$16</f>
        <v>4.1760194931583978E-4</v>
      </c>
      <c r="V55" s="1">
        <f ca="1">SUMPRODUCT(B55:L55,$B$9:$L$9)+INDEX(Indicators,MATCH(A55,Materials!$D:$D),MATCH("Truck (32+t)",Materials!$1:$1,0))*'Data Entry'!$C$71</f>
        <v>3.0017860837499997E-4</v>
      </c>
      <c r="W55" s="1">
        <f ca="1">SUMPRODUCT(B55:L55,$B$10:$L$10)+INDEX(Indicators,MATCH(A55,Materials!$D:$D),MATCH("Truck (32+t)",Materials!$1:$1,0))*'Data Entry'!$C$72</f>
        <v>3.3E-4</v>
      </c>
      <c r="Z55">
        <v>4.6789999999999998E-2</v>
      </c>
      <c r="AA55">
        <v>4.4400000000000004E-3</v>
      </c>
      <c r="AB55">
        <v>5.9029999999999999E-2</v>
      </c>
      <c r="AC55" s="209">
        <v>1.1800000000000001E-3</v>
      </c>
      <c r="AD55" s="209"/>
      <c r="AF55" cm="1">
        <f t="array" ref="AF55">SUMPRODUCT($AF$2:$AF$5, TRANSPOSE($Z55:$AC55))</f>
        <v>1.03465E-2</v>
      </c>
      <c r="AG55" cm="1">
        <f t="array" ref="AG55">SUMPRODUCT($AG$2:$AG$5, TRANSPOSE($Z55:$AC55))</f>
        <v>7.2910000000000006E-3</v>
      </c>
      <c r="AH55" cm="1">
        <f t="array" ref="AH55">SUMPRODUCT($AH$2:$AH$5, TRANSPOSE($Z55:$AC55))</f>
        <v>7.2910000000000006E-3</v>
      </c>
      <c r="AK55" t="s">
        <v>413</v>
      </c>
      <c r="AL55" t="s">
        <v>54</v>
      </c>
      <c r="AM55" cm="1">
        <f t="array" aca="1" ref="AM55" ca="1">IFERROR(($AM$2*INDEX(Indicators,MATCH($A55,INDEX(Indicators,0,4),0),MATCH($AK$2,INDEX(Indicators,1,0),0)))+($AM$3*INDEX(Indicators,MATCH($A55,INDEX(Indicators,0,4),0),MATCH($AK$3,INDEX(Indicators,1,0),0)))+(INDEX(Electricity_projection,MATCH(AL55&amp;AK55,INDEX(Electricity_projection,0,3),0),MATCH(YEAR(TODAY()),Timeline_elec_projec,0)+3)*$AM$4), 0)</f>
        <v>0</v>
      </c>
      <c r="AN55" cm="1">
        <f t="array" aca="1" ref="AN55" ca="1">IFERROR(($AN$2*INDEX(Indicators,MATCH($A55,INDEX(Indicators,0,4),0),MATCH($AK$2,INDEX(Indicators,1,0),0)))+($AN$3*INDEX(Indicators,MATCH($A55,INDEX(Indicators,0,4),0),MATCH($AK$3,INDEX(Indicators,1,0),0)))+(INDEX(Electricity_projection,MATCH(AL55&amp;AK55,INDEX(Electricity_projection,0,3),0),MATCH(YEAR(TODAY()),Timeline_elec_projec,0)+3)*$AN$4), 0)</f>
        <v>0</v>
      </c>
      <c r="AO55" cm="1">
        <f t="array" aca="1" ref="AO55" ca="1">IFERROR(($AO$2*INDEX(Indicators,MATCH($A55,INDEX(Indicators,0,4),0),MATCH($AK$2,INDEX(Indicators,1,0),0)))+($AO$3*INDEX(Indicators,MATCH($A55,INDEX(Indicators,0,4),0),MATCH($AK$3,INDEX(Indicators,1,0),0)))+(INDEX(Electricity_projection,MATCH(AL55&amp;AK55,INDEX(Electricity_projection,0,3),0),MATCH(YEAR(TODAY()),Timeline_elec_projec,0)+3)*$AO$4), 0)</f>
        <v>0</v>
      </c>
      <c r="AP55" cm="1">
        <f t="array" aca="1" ref="AP55" ca="1">IFERROR(($AP$2*INDEX(Indicators,MATCH($A55,INDEX(Indicators,0,4),0),MATCH($AK$2,INDEX(Indicators,1,0),0)))+($AP$3*INDEX(Indicators,MATCH($A55,INDEX(Indicators,0,4),0),MATCH($AK$3,INDEX(Indicators,1,0),0)))+(INDEX(Electricity_projection,MATCH(AL55&amp;AK55,INDEX(Electricity_projection,0,3),0),MATCH(YEAR(TODAY()),Timeline_elec_projec,0)+3)*$AP$4), 0)</f>
        <v>0</v>
      </c>
      <c r="AQ55">
        <f ca="1"/>
        <v>0</v>
      </c>
    </row>
    <row r="56" spans="1:43" x14ac:dyDescent="0.35">
      <c r="A56" t="str" cm="1">
        <f t="array" ref="A56">INDEX(Indicators,ROW()-9,4)</f>
        <v>A2AttributionalSM</v>
      </c>
      <c r="B56" s="540" cm="1">
        <f t="array" aca="1" ref="B56:I56" ca="1">INDEX(Indicators,ROW()-9,MATCH(Handle_Wearing_Course,Materials!$1:$1,0))</f>
        <v>0</v>
      </c>
      <c r="C56" s="1">
        <f ca="1"/>
        <v>0</v>
      </c>
      <c r="D56" s="1">
        <f ca="1"/>
        <v>0</v>
      </c>
      <c r="E56" s="1">
        <f ca="1"/>
        <v>0</v>
      </c>
      <c r="F56" s="1">
        <f ca="1"/>
        <v>0</v>
      </c>
      <c r="G56" s="1">
        <f ca="1"/>
        <v>0</v>
      </c>
      <c r="H56" s="1">
        <f ca="1"/>
        <v>0</v>
      </c>
      <c r="I56" s="212">
        <f ca="1"/>
        <v>0</v>
      </c>
      <c r="J56" s="1">
        <v>0</v>
      </c>
      <c r="K56" s="1">
        <v>0</v>
      </c>
      <c r="L56" s="1">
        <v>0</v>
      </c>
      <c r="O56" s="1">
        <f ca="1">SUMPRODUCT(B56:L56,$B$2:$L$2)+INDEX(Indicators,MATCH(A56,Materials!$D:$D),MATCH("Truck (32+t)",Materials!$1:$1,0))*'Data Entry'!$C$64</f>
        <v>0</v>
      </c>
      <c r="P56" s="1">
        <f ca="1">SUMPRODUCT(B56:L56,$B$3:$L$3)+INDEX(Indicators,MATCH(A56,Materials!$D:$D),MATCH("Truck (32+t)",Materials!$1:$1,0))*'Data Entry'!$C$72</f>
        <v>0</v>
      </c>
      <c r="Q56" s="1">
        <f ca="1">SUMPRODUCT(B56:L56,$B$4:$L$4)+INDEX(Indicators,MATCH(A56,Materials!$D:$D),MATCH("Truck (32+t)",Materials!$1:$1,0))*'Data Entry'!$C$66+$AQ$16</f>
        <v>1.2286007609406925E-4</v>
      </c>
      <c r="R56" s="1">
        <f ca="1">SUMPRODUCT(B56:L56,$B$5:$L$5)+INDEX(Indicators,MATCH(A56,Materials!$D:$D),MATCH("Truck (32+t)",Materials!$1:$1,0))*'Data Entry'!$C$68+$AQ$16</f>
        <v>1.2286007609406925E-4</v>
      </c>
      <c r="S56" s="1">
        <f ca="1">SUMPRODUCT(B56:L56,$B$6:$L$6)+INDEX(Indicators,MATCH(A56,Materials!$D:$D),MATCH("Truck (32+t)",Materials!$1:$1,0))*'Data Entry'!$C$70+$AQ$16</f>
        <v>1.2286007609406925E-4</v>
      </c>
      <c r="T56" s="1">
        <f ca="1">SUMPRODUCT(B56:L56,$B$7:$L$7)+INDEX(Indicators,MATCH(A56,Materials!$D:$D),MATCH("Truck (32+t)",Materials!$1:$1,0))*'Data Entry'!$C$68+$AQ$16</f>
        <v>1.2286007609406925E-4</v>
      </c>
      <c r="U56" s="1">
        <f ca="1">SUMPRODUCT(B56:L56,$B$8:$L$8)+INDEX(Indicators,MATCH(A56,Materials!$D:$D),MATCH("Truck (32+t)",Materials!$1:$1,0))*'Data Entry'!$C$69+$AQ$16</f>
        <v>1.2286007609406925E-4</v>
      </c>
      <c r="V56" s="1">
        <f ca="1">SUMPRODUCT(B56:L56,$B$9:$L$9)+INDEX(Indicators,MATCH(A56,Materials!$D:$D),MATCH("Truck (32+t)",Materials!$1:$1,0))*'Data Entry'!$C$71</f>
        <v>0</v>
      </c>
      <c r="W56" s="1">
        <f ca="1">SUMPRODUCT(B56:L56,$B$10:$L$10)+INDEX(Indicators,MATCH(A56,Materials!$D:$D),MATCH("Truck (32+t)",Materials!$1:$1,0))*'Data Entry'!$C$72</f>
        <v>0</v>
      </c>
      <c r="Z56">
        <v>0</v>
      </c>
      <c r="AA56">
        <v>0</v>
      </c>
      <c r="AB56">
        <v>0</v>
      </c>
      <c r="AC56" s="209">
        <v>0</v>
      </c>
      <c r="AD56" s="209"/>
      <c r="AF56" cm="1">
        <f t="array" ref="AF56">SUMPRODUCT($AF$2:$AF$5, TRANSPOSE($Z56:$AC56))</f>
        <v>0</v>
      </c>
      <c r="AG56" cm="1">
        <f t="array" ref="AG56">SUMPRODUCT($AG$2:$AG$5, TRANSPOSE($Z56:$AC56))</f>
        <v>0</v>
      </c>
      <c r="AH56" cm="1">
        <f t="array" ref="AH56">SUMPRODUCT($AH$2:$AH$5, TRANSPOSE($Z56:$AC56))</f>
        <v>0</v>
      </c>
      <c r="AK56" t="s">
        <v>508</v>
      </c>
      <c r="AL56" t="s">
        <v>54</v>
      </c>
      <c r="AM56" cm="1">
        <f t="array" aca="1" ref="AM56" ca="1">IFERROR(($AM$2*INDEX(Indicators,MATCH($A56,INDEX(Indicators,0,4),0),MATCH($AK$2,INDEX(Indicators,1,0),0)))+($AM$3*INDEX(Indicators,MATCH($A56,INDEX(Indicators,0,4),0),MATCH($AK$3,INDEX(Indicators,1,0),0)))+(INDEX(Electricity_projection,MATCH(AL56&amp;AK56,INDEX(Electricity_projection,0,3),0),MATCH(YEAR(TODAY()),Timeline_elec_projec,0)+3)*$AM$4), 0)</f>
        <v>0</v>
      </c>
      <c r="AN56" cm="1">
        <f t="array" aca="1" ref="AN56" ca="1">IFERROR(($AN$2*INDEX(Indicators,MATCH($A56,INDEX(Indicators,0,4),0),MATCH($AK$2,INDEX(Indicators,1,0),0)))+($AN$3*INDEX(Indicators,MATCH($A56,INDEX(Indicators,0,4),0),MATCH($AK$3,INDEX(Indicators,1,0),0)))+(INDEX(Electricity_projection,MATCH(AL56&amp;AK56,INDEX(Electricity_projection,0,3),0),MATCH(YEAR(TODAY()),Timeline_elec_projec,0)+3)*$AN$4), 0)</f>
        <v>0</v>
      </c>
      <c r="AO56" cm="1">
        <f t="array" aca="1" ref="AO56" ca="1">IFERROR(($AO$2*INDEX(Indicators,MATCH($A56,INDEX(Indicators,0,4),0),MATCH($AK$2,INDEX(Indicators,1,0),0)))+($AO$3*INDEX(Indicators,MATCH($A56,INDEX(Indicators,0,4),0),MATCH($AK$3,INDEX(Indicators,1,0),0)))+(INDEX(Electricity_projection,MATCH(AL56&amp;AK56,INDEX(Electricity_projection,0,3),0),MATCH(YEAR(TODAY()),Timeline_elec_projec,0)+3)*$AO$4), 0)</f>
        <v>0</v>
      </c>
      <c r="AP56" cm="1">
        <f t="array" aca="1" ref="AP56" ca="1">IFERROR(($AP$2*INDEX(Indicators,MATCH($A56,INDEX(Indicators,0,4),0),MATCH($AK$2,INDEX(Indicators,1,0),0)))+($AP$3*INDEX(Indicators,MATCH($A56,INDEX(Indicators,0,4),0),MATCH($AK$3,INDEX(Indicators,1,0),0)))+(INDEX(Electricity_projection,MATCH(AL56&amp;AK56,INDEX(Electricity_projection,0,3),0),MATCH(YEAR(TODAY()),Timeline_elec_projec,0)+3)*$AP$4), 0)</f>
        <v>0</v>
      </c>
      <c r="AQ56">
        <f ca="1"/>
        <v>0</v>
      </c>
    </row>
    <row r="57" spans="1:43" x14ac:dyDescent="0.35">
      <c r="A57" t="str" cm="1">
        <f t="array" ref="A57">INDEX(Indicators,ROW()-9,4)</f>
        <v>A2AttributionalNRSF</v>
      </c>
      <c r="B57" s="540" cm="1">
        <f t="array" aca="1" ref="B57:I57" ca="1">INDEX(Indicators,ROW()-9,MATCH(Handle_Wearing_Course,Materials!$1:$1,0))</f>
        <v>0</v>
      </c>
      <c r="C57" s="1">
        <f ca="1"/>
        <v>0</v>
      </c>
      <c r="D57" s="1">
        <f ca="1"/>
        <v>0</v>
      </c>
      <c r="E57" s="1">
        <f ca="1"/>
        <v>0</v>
      </c>
      <c r="F57" s="1">
        <f ca="1"/>
        <v>0</v>
      </c>
      <c r="G57" s="1">
        <f ca="1"/>
        <v>0</v>
      </c>
      <c r="H57" s="1">
        <f ca="1"/>
        <v>0</v>
      </c>
      <c r="I57" s="212">
        <f ca="1"/>
        <v>0</v>
      </c>
      <c r="J57" s="1">
        <v>0</v>
      </c>
      <c r="K57" s="1">
        <v>0</v>
      </c>
      <c r="L57" s="1">
        <v>0</v>
      </c>
      <c r="O57" s="1">
        <f ca="1">SUMPRODUCT(B57:L57,$B$2:$L$2)+INDEX(Indicators,MATCH(A57,Materials!$D:$D),MATCH("Truck (32+t)",Materials!$1:$1,0))*'Data Entry'!$C$64</f>
        <v>0</v>
      </c>
      <c r="P57" s="1">
        <f ca="1">SUMPRODUCT(B57:L57,$B$3:$L$3)+INDEX(Indicators,MATCH(A57,Materials!$D:$D),MATCH("Truck (32+t)",Materials!$1:$1,0))*'Data Entry'!$C$72</f>
        <v>0</v>
      </c>
      <c r="Q57" s="1">
        <f ca="1">SUMPRODUCT(B57:L57,$B$4:$L$4)+INDEX(Indicators,MATCH(A57,Materials!$D:$D),MATCH("Truck (32+t)",Materials!$1:$1,0))*'Data Entry'!$C$66+$AQ$16</f>
        <v>1.2286007609406925E-4</v>
      </c>
      <c r="R57" s="1">
        <f ca="1">SUMPRODUCT(B57:L57,$B$5:$L$5)+INDEX(Indicators,MATCH(A57,Materials!$D:$D),MATCH("Truck (32+t)",Materials!$1:$1,0))*'Data Entry'!$C$68+$AQ$16</f>
        <v>1.2286007609406925E-4</v>
      </c>
      <c r="S57" s="1">
        <f ca="1">SUMPRODUCT(B57:L57,$B$6:$L$6)+INDEX(Indicators,MATCH(A57,Materials!$D:$D),MATCH("Truck (32+t)",Materials!$1:$1,0))*'Data Entry'!$C$70+$AQ$16</f>
        <v>1.2286007609406925E-4</v>
      </c>
      <c r="T57" s="1">
        <f ca="1">SUMPRODUCT(B57:L57,$B$7:$L$7)+INDEX(Indicators,MATCH(A57,Materials!$D:$D),MATCH("Truck (32+t)",Materials!$1:$1,0))*'Data Entry'!$C$68+$AQ$16</f>
        <v>1.2286007609406925E-4</v>
      </c>
      <c r="U57" s="1">
        <f ca="1">SUMPRODUCT(B57:L57,$B$8:$L$8)+INDEX(Indicators,MATCH(A57,Materials!$D:$D),MATCH("Truck (32+t)",Materials!$1:$1,0))*'Data Entry'!$C$69+$AQ$16</f>
        <v>1.2286007609406925E-4</v>
      </c>
      <c r="V57" s="1">
        <f ca="1">SUMPRODUCT(B57:L57,$B$9:$L$9)+INDEX(Indicators,MATCH(A57,Materials!$D:$D),MATCH("Truck (32+t)",Materials!$1:$1,0))*'Data Entry'!$C$71</f>
        <v>0</v>
      </c>
      <c r="W57" s="1">
        <f ca="1">SUMPRODUCT(B57:L57,$B$10:$L$10)+INDEX(Indicators,MATCH(A57,Materials!$D:$D),MATCH("Truck (32+t)",Materials!$1:$1,0))*'Data Entry'!$C$72</f>
        <v>0</v>
      </c>
      <c r="Z57">
        <v>0</v>
      </c>
      <c r="AA57">
        <v>0</v>
      </c>
      <c r="AB57">
        <v>0</v>
      </c>
      <c r="AC57" s="209">
        <v>0</v>
      </c>
      <c r="AD57" s="209"/>
      <c r="AF57" cm="1">
        <f t="array" ref="AF57">SUMPRODUCT($AF$2:$AF$5, TRANSPOSE($Z57:$AC57))</f>
        <v>0</v>
      </c>
      <c r="AG57" cm="1">
        <f t="array" ref="AG57">SUMPRODUCT($AG$2:$AG$5, TRANSPOSE($Z57:$AC57))</f>
        <v>0</v>
      </c>
      <c r="AH57" cm="1">
        <f t="array" ref="AH57">SUMPRODUCT($AH$2:$AH$5, TRANSPOSE($Z57:$AC57))</f>
        <v>0</v>
      </c>
      <c r="AK57" t="s">
        <v>510</v>
      </c>
      <c r="AL57" t="s">
        <v>54</v>
      </c>
      <c r="AM57" cm="1">
        <f t="array" aca="1" ref="AM57" ca="1">IFERROR(($AM$2*INDEX(Indicators,MATCH($A57,INDEX(Indicators,0,4),0),MATCH($AK$2,INDEX(Indicators,1,0),0)))+($AM$3*INDEX(Indicators,MATCH($A57,INDEX(Indicators,0,4),0),MATCH($AK$3,INDEX(Indicators,1,0),0)))+(INDEX(Electricity_projection,MATCH(AL57&amp;AK57,INDEX(Electricity_projection,0,3),0),MATCH(YEAR(TODAY()),Timeline_elec_projec,0)+3)*$AM$4), 0)</f>
        <v>0</v>
      </c>
      <c r="AN57" cm="1">
        <f t="array" aca="1" ref="AN57" ca="1">IFERROR(($AN$2*INDEX(Indicators,MATCH($A57,INDEX(Indicators,0,4),0),MATCH($AK$2,INDEX(Indicators,1,0),0)))+($AN$3*INDEX(Indicators,MATCH($A57,INDEX(Indicators,0,4),0),MATCH($AK$3,INDEX(Indicators,1,0),0)))+(INDEX(Electricity_projection,MATCH(AL57&amp;AK57,INDEX(Electricity_projection,0,3),0),MATCH(YEAR(TODAY()),Timeline_elec_projec,0)+3)*$AN$4), 0)</f>
        <v>0</v>
      </c>
      <c r="AO57" cm="1">
        <f t="array" aca="1" ref="AO57" ca="1">IFERROR(($AO$2*INDEX(Indicators,MATCH($A57,INDEX(Indicators,0,4),0),MATCH($AK$2,INDEX(Indicators,1,0),0)))+($AO$3*INDEX(Indicators,MATCH($A57,INDEX(Indicators,0,4),0),MATCH($AK$3,INDEX(Indicators,1,0),0)))+(INDEX(Electricity_projection,MATCH(AL57&amp;AK57,INDEX(Electricity_projection,0,3),0),MATCH(YEAR(TODAY()),Timeline_elec_projec,0)+3)*$AO$4), 0)</f>
        <v>0</v>
      </c>
      <c r="AP57" cm="1">
        <f t="array" aca="1" ref="AP57" ca="1">IFERROR(($AP$2*INDEX(Indicators,MATCH($A57,INDEX(Indicators,0,4),0),MATCH($AK$2,INDEX(Indicators,1,0),0)))+($AP$3*INDEX(Indicators,MATCH($A57,INDEX(Indicators,0,4),0),MATCH($AK$3,INDEX(Indicators,1,0),0)))+(INDEX(Electricity_projection,MATCH(AL57&amp;AK57,INDEX(Electricity_projection,0,3),0),MATCH(YEAR(TODAY()),Timeline_elec_projec,0)+3)*$AP$4), 0)</f>
        <v>0</v>
      </c>
      <c r="AQ57">
        <f ca="1"/>
        <v>0</v>
      </c>
    </row>
    <row r="58" spans="1:43" x14ac:dyDescent="0.35">
      <c r="A58" t="str" cm="1">
        <f t="array" ref="A58">INDEX(Indicators,ROW()-9,4)</f>
        <v>A2AttributionalRSF</v>
      </c>
      <c r="B58" s="540" cm="1">
        <f t="array" aca="1" ref="B58:I58" ca="1">INDEX(Indicators,ROW()-9,MATCH(Handle_Wearing_Course,Materials!$1:$1,0))</f>
        <v>0</v>
      </c>
      <c r="C58" s="1">
        <f ca="1"/>
        <v>0</v>
      </c>
      <c r="D58" s="1">
        <f ca="1"/>
        <v>0</v>
      </c>
      <c r="E58" s="1">
        <f ca="1"/>
        <v>0</v>
      </c>
      <c r="F58" s="1">
        <f ca="1"/>
        <v>0</v>
      </c>
      <c r="G58" s="1">
        <f ca="1"/>
        <v>0</v>
      </c>
      <c r="H58" s="1">
        <f ca="1"/>
        <v>0</v>
      </c>
      <c r="I58" s="212">
        <f ca="1"/>
        <v>0</v>
      </c>
      <c r="J58" s="1">
        <v>0</v>
      </c>
      <c r="K58" s="1">
        <v>0</v>
      </c>
      <c r="L58" s="1">
        <v>0</v>
      </c>
      <c r="O58" s="1">
        <f ca="1">SUMPRODUCT(B58:L58,$B$2:$L$2)+INDEX(Indicators,MATCH(A58,Materials!$D:$D),MATCH("Truck (32+t)",Materials!$1:$1,0))*'Data Entry'!$C$64</f>
        <v>0</v>
      </c>
      <c r="P58" s="1">
        <f ca="1">SUMPRODUCT(B58:L58,$B$3:$L$3)+INDEX(Indicators,MATCH(A58,Materials!$D:$D),MATCH("Truck (32+t)",Materials!$1:$1,0))*'Data Entry'!$C$72</f>
        <v>0</v>
      </c>
      <c r="Q58" s="1">
        <f ca="1">SUMPRODUCT(B58:L58,$B$4:$L$4)+INDEX(Indicators,MATCH(A58,Materials!$D:$D),MATCH("Truck (32+t)",Materials!$1:$1,0))*'Data Entry'!$C$66+$AQ$16</f>
        <v>1.2286007609406925E-4</v>
      </c>
      <c r="R58" s="1">
        <f ca="1">SUMPRODUCT(B58:L58,$B$5:$L$5)+INDEX(Indicators,MATCH(A58,Materials!$D:$D),MATCH("Truck (32+t)",Materials!$1:$1,0))*'Data Entry'!$C$68+$AQ$16</f>
        <v>1.2286007609406925E-4</v>
      </c>
      <c r="S58" s="1">
        <f ca="1">SUMPRODUCT(B58:L58,$B$6:$L$6)+INDEX(Indicators,MATCH(A58,Materials!$D:$D),MATCH("Truck (32+t)",Materials!$1:$1,0))*'Data Entry'!$C$70+$AQ$16</f>
        <v>1.2286007609406925E-4</v>
      </c>
      <c r="T58" s="1">
        <f ca="1">SUMPRODUCT(B58:L58,$B$7:$L$7)+INDEX(Indicators,MATCH(A58,Materials!$D:$D),MATCH("Truck (32+t)",Materials!$1:$1,0))*'Data Entry'!$C$68+$AQ$16</f>
        <v>1.2286007609406925E-4</v>
      </c>
      <c r="U58" s="1">
        <f ca="1">SUMPRODUCT(B58:L58,$B$8:$L$8)+INDEX(Indicators,MATCH(A58,Materials!$D:$D),MATCH("Truck (32+t)",Materials!$1:$1,0))*'Data Entry'!$C$69+$AQ$16</f>
        <v>1.2286007609406925E-4</v>
      </c>
      <c r="V58" s="1">
        <f ca="1">SUMPRODUCT(B58:L58,$B$9:$L$9)+INDEX(Indicators,MATCH(A58,Materials!$D:$D),MATCH("Truck (32+t)",Materials!$1:$1,0))*'Data Entry'!$C$71</f>
        <v>0</v>
      </c>
      <c r="W58" s="1">
        <f ca="1">SUMPRODUCT(B58:L58,$B$10:$L$10)+INDEX(Indicators,MATCH(A58,Materials!$D:$D),MATCH("Truck (32+t)",Materials!$1:$1,0))*'Data Entry'!$C$72</f>
        <v>0</v>
      </c>
      <c r="Z58">
        <v>0</v>
      </c>
      <c r="AA58">
        <v>0</v>
      </c>
      <c r="AB58">
        <v>0</v>
      </c>
      <c r="AC58" s="209">
        <v>0</v>
      </c>
      <c r="AD58" s="209"/>
      <c r="AF58" cm="1">
        <f t="array" ref="AF58">SUMPRODUCT($AF$2:$AF$5, TRANSPOSE($Z58:$AC58))</f>
        <v>0</v>
      </c>
      <c r="AG58" cm="1">
        <f t="array" ref="AG58">SUMPRODUCT($AG$2:$AG$5, TRANSPOSE($Z58:$AC58))</f>
        <v>0</v>
      </c>
      <c r="AH58" cm="1">
        <f t="array" ref="AH58">SUMPRODUCT($AH$2:$AH$5, TRANSPOSE($Z58:$AC58))</f>
        <v>0</v>
      </c>
      <c r="AK58" t="s">
        <v>512</v>
      </c>
      <c r="AL58" t="s">
        <v>54</v>
      </c>
      <c r="AM58" cm="1">
        <f t="array" aca="1" ref="AM58" ca="1">IFERROR(($AM$2*INDEX(Indicators,MATCH($A58,INDEX(Indicators,0,4),0),MATCH($AK$2,INDEX(Indicators,1,0),0)))+($AM$3*INDEX(Indicators,MATCH($A58,INDEX(Indicators,0,4),0),MATCH($AK$3,INDEX(Indicators,1,0),0)))+(INDEX(Electricity_projection,MATCH(AL58&amp;AK58,INDEX(Electricity_projection,0,3),0),MATCH(YEAR(TODAY()),Timeline_elec_projec,0)+3)*$AM$4), 0)</f>
        <v>0</v>
      </c>
      <c r="AN58" cm="1">
        <f t="array" aca="1" ref="AN58" ca="1">IFERROR(($AN$2*INDEX(Indicators,MATCH($A58,INDEX(Indicators,0,4),0),MATCH($AK$2,INDEX(Indicators,1,0),0)))+($AN$3*INDEX(Indicators,MATCH($A58,INDEX(Indicators,0,4),0),MATCH($AK$3,INDEX(Indicators,1,0),0)))+(INDEX(Electricity_projection,MATCH(AL58&amp;AK58,INDEX(Electricity_projection,0,3),0),MATCH(YEAR(TODAY()),Timeline_elec_projec,0)+3)*$AN$4), 0)</f>
        <v>0</v>
      </c>
      <c r="AO58" cm="1">
        <f t="array" aca="1" ref="AO58" ca="1">IFERROR(($AO$2*INDEX(Indicators,MATCH($A58,INDEX(Indicators,0,4),0),MATCH($AK$2,INDEX(Indicators,1,0),0)))+($AO$3*INDEX(Indicators,MATCH($A58,INDEX(Indicators,0,4),0),MATCH($AK$3,INDEX(Indicators,1,0),0)))+(INDEX(Electricity_projection,MATCH(AL58&amp;AK58,INDEX(Electricity_projection,0,3),0),MATCH(YEAR(TODAY()),Timeline_elec_projec,0)+3)*$AO$4), 0)</f>
        <v>0</v>
      </c>
      <c r="AP58" cm="1">
        <f t="array" aca="1" ref="AP58" ca="1">IFERROR(($AP$2*INDEX(Indicators,MATCH($A58,INDEX(Indicators,0,4),0),MATCH($AK$2,INDEX(Indicators,1,0),0)))+($AP$3*INDEX(Indicators,MATCH($A58,INDEX(Indicators,0,4),0),MATCH($AK$3,INDEX(Indicators,1,0),0)))+(INDEX(Electricity_projection,MATCH(AL58&amp;AK58,INDEX(Electricity_projection,0,3),0),MATCH(YEAR(TODAY()),Timeline_elec_projec,0)+3)*$AP$4), 0)</f>
        <v>0</v>
      </c>
      <c r="AQ58">
        <f ca="1"/>
        <v>0</v>
      </c>
    </row>
    <row r="59" spans="1:43" x14ac:dyDescent="0.35">
      <c r="A59" t="str" cm="1">
        <f t="array" ref="A59">INDEX(Indicators,ROW()-9,4)</f>
        <v>A2AttributionalHWD</v>
      </c>
      <c r="B59" s="540" cm="1">
        <f t="array" aca="1" ref="B59:I59" ca="1">INDEX(Indicators,ROW()-9,MATCH(Handle_Wearing_Course,Materials!$1:$1,0))</f>
        <v>0</v>
      </c>
      <c r="C59" s="1">
        <f ca="1"/>
        <v>0</v>
      </c>
      <c r="D59" s="1">
        <f ca="1"/>
        <v>0</v>
      </c>
      <c r="E59" s="1">
        <f ca="1"/>
        <v>0</v>
      </c>
      <c r="F59" s="1">
        <f ca="1"/>
        <v>0</v>
      </c>
      <c r="G59" s="1">
        <f ca="1"/>
        <v>0</v>
      </c>
      <c r="H59" s="1">
        <f ca="1"/>
        <v>0</v>
      </c>
      <c r="I59" s="212">
        <f ca="1"/>
        <v>0</v>
      </c>
      <c r="J59" s="1">
        <v>0</v>
      </c>
      <c r="K59" s="1">
        <v>0</v>
      </c>
      <c r="L59" s="1">
        <v>0</v>
      </c>
      <c r="O59" s="1">
        <f ca="1">SUMPRODUCT(B59:L59,$B$2:$L$2)+INDEX(Indicators,MATCH(A59,Materials!$D:$D),MATCH("Truck (32+t)",Materials!$1:$1,0))*'Data Entry'!$C$64</f>
        <v>0</v>
      </c>
      <c r="P59" s="1">
        <f ca="1">SUMPRODUCT(B59:L59,$B$3:$L$3)+INDEX(Indicators,MATCH(A59,Materials!$D:$D),MATCH("Truck (32+t)",Materials!$1:$1,0))*'Data Entry'!$C$72</f>
        <v>0</v>
      </c>
      <c r="Q59" s="1">
        <f ca="1">SUMPRODUCT(B59:L59,$B$4:$L$4)+INDEX(Indicators,MATCH(A59,Materials!$D:$D),MATCH("Truck (32+t)",Materials!$1:$1,0))*'Data Entry'!$C$66+$AQ$16</f>
        <v>1.2286007609406925E-4</v>
      </c>
      <c r="R59" s="1">
        <f ca="1">SUMPRODUCT(B59:L59,$B$5:$L$5)+INDEX(Indicators,MATCH(A59,Materials!$D:$D),MATCH("Truck (32+t)",Materials!$1:$1,0))*'Data Entry'!$C$68+$AQ$16</f>
        <v>1.2286007609406925E-4</v>
      </c>
      <c r="S59" s="1">
        <f ca="1">SUMPRODUCT(B59:L59,$B$6:$L$6)+INDEX(Indicators,MATCH(A59,Materials!$D:$D),MATCH("Truck (32+t)",Materials!$1:$1,0))*'Data Entry'!$C$70+$AQ$16</f>
        <v>1.2286007609406925E-4</v>
      </c>
      <c r="T59" s="1">
        <f ca="1">SUMPRODUCT(B59:L59,$B$7:$L$7)+INDEX(Indicators,MATCH(A59,Materials!$D:$D),MATCH("Truck (32+t)",Materials!$1:$1,0))*'Data Entry'!$C$68+$AQ$16</f>
        <v>1.2286007609406925E-4</v>
      </c>
      <c r="U59" s="1">
        <f ca="1">SUMPRODUCT(B59:L59,$B$8:$L$8)+INDEX(Indicators,MATCH(A59,Materials!$D:$D),MATCH("Truck (32+t)",Materials!$1:$1,0))*'Data Entry'!$C$69+$AQ$16</f>
        <v>1.2286007609406925E-4</v>
      </c>
      <c r="V59" s="1">
        <f ca="1">SUMPRODUCT(B59:L59,$B$9:$L$9)+INDEX(Indicators,MATCH(A59,Materials!$D:$D),MATCH("Truck (32+t)",Materials!$1:$1,0))*'Data Entry'!$C$71</f>
        <v>0</v>
      </c>
      <c r="W59" s="1">
        <f ca="1">SUMPRODUCT(B59:L59,$B$10:$L$10)+INDEX(Indicators,MATCH(A59,Materials!$D:$D),MATCH("Truck (32+t)",Materials!$1:$1,0))*'Data Entry'!$C$72</f>
        <v>0</v>
      </c>
      <c r="Z59">
        <v>0</v>
      </c>
      <c r="AA59">
        <v>0</v>
      </c>
      <c r="AB59">
        <v>0</v>
      </c>
      <c r="AC59" s="209">
        <v>0</v>
      </c>
      <c r="AD59" s="209"/>
      <c r="AF59" cm="1">
        <f t="array" ref="AF59">SUMPRODUCT($AF$2:$AF$5, TRANSPOSE($Z59:$AC59))</f>
        <v>0</v>
      </c>
      <c r="AG59" cm="1">
        <f t="array" ref="AG59">SUMPRODUCT($AG$2:$AG$5, TRANSPOSE($Z59:$AC59))</f>
        <v>0</v>
      </c>
      <c r="AH59" cm="1">
        <f t="array" ref="AH59">SUMPRODUCT($AH$2:$AH$5, TRANSPOSE($Z59:$AC59))</f>
        <v>0</v>
      </c>
      <c r="AK59" t="s">
        <v>546</v>
      </c>
      <c r="AL59" t="s">
        <v>54</v>
      </c>
      <c r="AM59" cm="1">
        <f t="array" aca="1" ref="AM59" ca="1">IFERROR(($AM$2*INDEX(Indicators,MATCH($A59,INDEX(Indicators,0,4),0),MATCH($AK$2,INDEX(Indicators,1,0),0)))+($AM$3*INDEX(Indicators,MATCH($A59,INDEX(Indicators,0,4),0),MATCH($AK$3,INDEX(Indicators,1,0),0)))+(INDEX(Electricity_projection,MATCH(AL59&amp;AK59,INDEX(Electricity_projection,0,3),0),MATCH(YEAR(TODAY()),Timeline_elec_projec,0)+3)*$AM$4), 0)</f>
        <v>0</v>
      </c>
      <c r="AN59" cm="1">
        <f t="array" aca="1" ref="AN59" ca="1">IFERROR(($AN$2*INDEX(Indicators,MATCH($A59,INDEX(Indicators,0,4),0),MATCH($AK$2,INDEX(Indicators,1,0),0)))+($AN$3*INDEX(Indicators,MATCH($A59,INDEX(Indicators,0,4),0),MATCH($AK$3,INDEX(Indicators,1,0),0)))+(INDEX(Electricity_projection,MATCH(AL59&amp;AK59,INDEX(Electricity_projection,0,3),0),MATCH(YEAR(TODAY()),Timeline_elec_projec,0)+3)*$AN$4), 0)</f>
        <v>0</v>
      </c>
      <c r="AO59" cm="1">
        <f t="array" aca="1" ref="AO59" ca="1">IFERROR(($AO$2*INDEX(Indicators,MATCH($A59,INDEX(Indicators,0,4),0),MATCH($AK$2,INDEX(Indicators,1,0),0)))+($AO$3*INDEX(Indicators,MATCH($A59,INDEX(Indicators,0,4),0),MATCH($AK$3,INDEX(Indicators,1,0),0)))+(INDEX(Electricity_projection,MATCH(AL59&amp;AK59,INDEX(Electricity_projection,0,3),0),MATCH(YEAR(TODAY()),Timeline_elec_projec,0)+3)*$AO$4), 0)</f>
        <v>0</v>
      </c>
      <c r="AP59" cm="1">
        <f t="array" aca="1" ref="AP59" ca="1">IFERROR(($AP$2*INDEX(Indicators,MATCH($A59,INDEX(Indicators,0,4),0),MATCH($AK$2,INDEX(Indicators,1,0),0)))+($AP$3*INDEX(Indicators,MATCH($A59,INDEX(Indicators,0,4),0),MATCH($AK$3,INDEX(Indicators,1,0),0)))+(INDEX(Electricity_projection,MATCH(AL59&amp;AK59,INDEX(Electricity_projection,0,3),0),MATCH(YEAR(TODAY()),Timeline_elec_projec,0)+3)*$AP$4), 0)</f>
        <v>0</v>
      </c>
      <c r="AQ59">
        <f ca="1"/>
        <v>0</v>
      </c>
    </row>
    <row r="60" spans="1:43" x14ac:dyDescent="0.35">
      <c r="A60" t="str" cm="1">
        <f t="array" ref="A60">INDEX(Indicators,ROW()-9,4)</f>
        <v>A2AttributionalNHWD</v>
      </c>
      <c r="B60" s="540" cm="1">
        <f t="array" aca="1" ref="B60:I60" ca="1">INDEX(Indicators,ROW()-9,MATCH(Handle_Wearing_Course,Materials!$1:$1,0))</f>
        <v>0</v>
      </c>
      <c r="C60" s="1">
        <f ca="1"/>
        <v>0</v>
      </c>
      <c r="D60" s="1">
        <f ca="1"/>
        <v>0</v>
      </c>
      <c r="E60" s="1">
        <f ca="1"/>
        <v>0</v>
      </c>
      <c r="F60" s="1">
        <f ca="1"/>
        <v>0</v>
      </c>
      <c r="G60" s="1">
        <f ca="1"/>
        <v>0</v>
      </c>
      <c r="H60" s="1">
        <f ca="1"/>
        <v>0</v>
      </c>
      <c r="I60" s="212">
        <f ca="1"/>
        <v>0</v>
      </c>
      <c r="J60" s="1">
        <v>0</v>
      </c>
      <c r="K60" s="1">
        <v>0</v>
      </c>
      <c r="L60" s="1">
        <v>0</v>
      </c>
      <c r="O60" s="1">
        <f ca="1">SUMPRODUCT(B60:L60,$B$2:$L$2)+INDEX(Indicators,MATCH(A60,Materials!$D:$D),MATCH("Truck (32+t)",Materials!$1:$1,0))*'Data Entry'!$C$64</f>
        <v>0</v>
      </c>
      <c r="P60" s="1">
        <f ca="1">SUMPRODUCT(B60:L60,$B$3:$L$3)+INDEX(Indicators,MATCH(A60,Materials!$D:$D),MATCH("Truck (32+t)",Materials!$1:$1,0))*'Data Entry'!$C$72</f>
        <v>0</v>
      </c>
      <c r="Q60" s="1">
        <f ca="1">SUMPRODUCT(B60:L60,$B$4:$L$4)+INDEX(Indicators,MATCH(A60,Materials!$D:$D),MATCH("Truck (32+t)",Materials!$1:$1,0))*'Data Entry'!$C$66+$AQ$16</f>
        <v>1.2286007609406925E-4</v>
      </c>
      <c r="R60" s="1">
        <f ca="1">SUMPRODUCT(B60:L60,$B$5:$L$5)+INDEX(Indicators,MATCH(A60,Materials!$D:$D),MATCH("Truck (32+t)",Materials!$1:$1,0))*'Data Entry'!$C$68+$AQ$16</f>
        <v>1.2286007609406925E-4</v>
      </c>
      <c r="S60" s="1">
        <f ca="1">SUMPRODUCT(B60:L60,$B$6:$L$6)+INDEX(Indicators,MATCH(A60,Materials!$D:$D),MATCH("Truck (32+t)",Materials!$1:$1,0))*'Data Entry'!$C$70+$AQ$16</f>
        <v>1.2286007609406925E-4</v>
      </c>
      <c r="T60" s="1">
        <f ca="1">SUMPRODUCT(B60:L60,$B$7:$L$7)+INDEX(Indicators,MATCH(A60,Materials!$D:$D),MATCH("Truck (32+t)",Materials!$1:$1,0))*'Data Entry'!$C$68+$AQ$16</f>
        <v>1.2286007609406925E-4</v>
      </c>
      <c r="U60" s="1">
        <f ca="1">SUMPRODUCT(B60:L60,$B$8:$L$8)+INDEX(Indicators,MATCH(A60,Materials!$D:$D),MATCH("Truck (32+t)",Materials!$1:$1,0))*'Data Entry'!$C$69+$AQ$16</f>
        <v>1.2286007609406925E-4</v>
      </c>
      <c r="V60" s="1">
        <f ca="1">SUMPRODUCT(B60:L60,$B$9:$L$9)+INDEX(Indicators,MATCH(A60,Materials!$D:$D),MATCH("Truck (32+t)",Materials!$1:$1,0))*'Data Entry'!$C$71</f>
        <v>0</v>
      </c>
      <c r="W60" s="1">
        <f ca="1">SUMPRODUCT(B60:L60,$B$10:$L$10)+INDEX(Indicators,MATCH(A60,Materials!$D:$D),MATCH("Truck (32+t)",Materials!$1:$1,0))*'Data Entry'!$C$72</f>
        <v>0</v>
      </c>
      <c r="Z60">
        <v>0</v>
      </c>
      <c r="AA60">
        <v>0</v>
      </c>
      <c r="AB60">
        <v>0</v>
      </c>
      <c r="AC60" s="209">
        <v>0</v>
      </c>
      <c r="AD60" s="209"/>
      <c r="AF60" cm="1">
        <f t="array" ref="AF60">SUMPRODUCT($AF$2:$AF$5, TRANSPOSE($Z60:$AC60))</f>
        <v>0</v>
      </c>
      <c r="AG60" cm="1">
        <f t="array" ref="AG60">SUMPRODUCT($AG$2:$AG$5, TRANSPOSE($Z60:$AC60))</f>
        <v>0</v>
      </c>
      <c r="AH60" cm="1">
        <f t="array" ref="AH60">SUMPRODUCT($AH$2:$AH$5, TRANSPOSE($Z60:$AC60))</f>
        <v>0</v>
      </c>
      <c r="AK60" t="s">
        <v>516</v>
      </c>
      <c r="AL60" t="s">
        <v>54</v>
      </c>
      <c r="AM60" cm="1">
        <f t="array" aca="1" ref="AM60" ca="1">IFERROR(($AM$2*INDEX(Indicators,MATCH($A60,INDEX(Indicators,0,4),0),MATCH($AK$2,INDEX(Indicators,1,0),0)))+($AM$3*INDEX(Indicators,MATCH($A60,INDEX(Indicators,0,4),0),MATCH($AK$3,INDEX(Indicators,1,0),0)))+(INDEX(Electricity_projection,MATCH(AL60&amp;AK60,INDEX(Electricity_projection,0,3),0),MATCH(YEAR(TODAY()),Timeline_elec_projec,0)+3)*$AM$4), 0)</f>
        <v>0</v>
      </c>
      <c r="AN60" cm="1">
        <f t="array" aca="1" ref="AN60" ca="1">IFERROR(($AN$2*INDEX(Indicators,MATCH($A60,INDEX(Indicators,0,4),0),MATCH($AK$2,INDEX(Indicators,1,0),0)))+($AN$3*INDEX(Indicators,MATCH($A60,INDEX(Indicators,0,4),0),MATCH($AK$3,INDEX(Indicators,1,0),0)))+(INDEX(Electricity_projection,MATCH(AL60&amp;AK60,INDEX(Electricity_projection,0,3),0),MATCH(YEAR(TODAY()),Timeline_elec_projec,0)+3)*$AN$4), 0)</f>
        <v>0</v>
      </c>
      <c r="AO60" cm="1">
        <f t="array" aca="1" ref="AO60" ca="1">IFERROR(($AO$2*INDEX(Indicators,MATCH($A60,INDEX(Indicators,0,4),0),MATCH($AK$2,INDEX(Indicators,1,0),0)))+($AO$3*INDEX(Indicators,MATCH($A60,INDEX(Indicators,0,4),0),MATCH($AK$3,INDEX(Indicators,1,0),0)))+(INDEX(Electricity_projection,MATCH(AL60&amp;AK60,INDEX(Electricity_projection,0,3),0),MATCH(YEAR(TODAY()),Timeline_elec_projec,0)+3)*$AO$4), 0)</f>
        <v>0</v>
      </c>
      <c r="AP60" cm="1">
        <f t="array" aca="1" ref="AP60" ca="1">IFERROR(($AP$2*INDEX(Indicators,MATCH($A60,INDEX(Indicators,0,4),0),MATCH($AK$2,INDEX(Indicators,1,0),0)))+($AP$3*INDEX(Indicators,MATCH($A60,INDEX(Indicators,0,4),0),MATCH($AK$3,INDEX(Indicators,1,0),0)))+(INDEX(Electricity_projection,MATCH(AL60&amp;AK60,INDEX(Electricity_projection,0,3),0),MATCH(YEAR(TODAY()),Timeline_elec_projec,0)+3)*$AP$4), 0)</f>
        <v>0</v>
      </c>
      <c r="AQ60">
        <f ca="1"/>
        <v>0</v>
      </c>
    </row>
    <row r="61" spans="1:43" x14ac:dyDescent="0.35">
      <c r="A61" t="str" cm="1">
        <f t="array" ref="A61">INDEX(Indicators,ROW()-9,4)</f>
        <v>A2AttributionalRWD</v>
      </c>
      <c r="B61" s="540" cm="1">
        <f t="array" aca="1" ref="B61:I61" ca="1">INDEX(Indicators,ROW()-9,MATCH(Handle_Wearing_Course,Materials!$1:$1,0))</f>
        <v>0</v>
      </c>
      <c r="C61" s="1">
        <f ca="1"/>
        <v>0</v>
      </c>
      <c r="D61" s="1">
        <f ca="1"/>
        <v>0</v>
      </c>
      <c r="E61" s="1">
        <f ca="1"/>
        <v>0</v>
      </c>
      <c r="F61" s="1">
        <f ca="1"/>
        <v>0</v>
      </c>
      <c r="G61" s="1">
        <f ca="1"/>
        <v>0</v>
      </c>
      <c r="H61" s="1">
        <f ca="1"/>
        <v>0</v>
      </c>
      <c r="I61" s="212">
        <f ca="1"/>
        <v>0</v>
      </c>
      <c r="J61" s="1">
        <v>0</v>
      </c>
      <c r="K61" s="1">
        <v>0</v>
      </c>
      <c r="L61" s="1">
        <v>0</v>
      </c>
      <c r="O61" s="1">
        <f ca="1">SUMPRODUCT(B61:L61,$B$2:$L$2)+INDEX(Indicators,MATCH(A61,Materials!$D:$D),MATCH("Truck (32+t)",Materials!$1:$1,0))*'Data Entry'!$C$64</f>
        <v>0</v>
      </c>
      <c r="P61" s="1">
        <f ca="1">SUMPRODUCT(B61:L61,$B$3:$L$3)+INDEX(Indicators,MATCH(A61,Materials!$D:$D),MATCH("Truck (32+t)",Materials!$1:$1,0))*'Data Entry'!$C$72</f>
        <v>0</v>
      </c>
      <c r="Q61" s="1">
        <f ca="1">SUMPRODUCT(B61:L61,$B$4:$L$4)+INDEX(Indicators,MATCH(A61,Materials!$D:$D),MATCH("Truck (32+t)",Materials!$1:$1,0))*'Data Entry'!$C$66+$AQ$16</f>
        <v>1.2286007609406925E-4</v>
      </c>
      <c r="R61" s="1">
        <f ca="1">SUMPRODUCT(B61:L61,$B$5:$L$5)+INDEX(Indicators,MATCH(A61,Materials!$D:$D),MATCH("Truck (32+t)",Materials!$1:$1,0))*'Data Entry'!$C$68+$AQ$16</f>
        <v>1.2286007609406925E-4</v>
      </c>
      <c r="S61" s="1">
        <f ca="1">SUMPRODUCT(B61:L61,$B$6:$L$6)+INDEX(Indicators,MATCH(A61,Materials!$D:$D),MATCH("Truck (32+t)",Materials!$1:$1,0))*'Data Entry'!$C$70+$AQ$16</f>
        <v>1.2286007609406925E-4</v>
      </c>
      <c r="T61" s="1">
        <f ca="1">SUMPRODUCT(B61:L61,$B$7:$L$7)+INDEX(Indicators,MATCH(A61,Materials!$D:$D),MATCH("Truck (32+t)",Materials!$1:$1,0))*'Data Entry'!$C$68+$AQ$16</f>
        <v>1.2286007609406925E-4</v>
      </c>
      <c r="U61" s="1">
        <f ca="1">SUMPRODUCT(B61:L61,$B$8:$L$8)+INDEX(Indicators,MATCH(A61,Materials!$D:$D),MATCH("Truck (32+t)",Materials!$1:$1,0))*'Data Entry'!$C$69+$AQ$16</f>
        <v>1.2286007609406925E-4</v>
      </c>
      <c r="V61" s="1">
        <f ca="1">SUMPRODUCT(B61:L61,$B$9:$L$9)+INDEX(Indicators,MATCH(A61,Materials!$D:$D),MATCH("Truck (32+t)",Materials!$1:$1,0))*'Data Entry'!$C$71</f>
        <v>0</v>
      </c>
      <c r="W61" s="1">
        <f ca="1">SUMPRODUCT(B61:L61,$B$10:$L$10)+INDEX(Indicators,MATCH(A61,Materials!$D:$D),MATCH("Truck (32+t)",Materials!$1:$1,0))*'Data Entry'!$C$72</f>
        <v>0</v>
      </c>
      <c r="Z61">
        <v>0</v>
      </c>
      <c r="AA61">
        <v>0</v>
      </c>
      <c r="AB61">
        <v>0</v>
      </c>
      <c r="AC61" s="209">
        <v>0</v>
      </c>
      <c r="AD61" s="209"/>
      <c r="AF61" cm="1">
        <f t="array" ref="AF61">SUMPRODUCT($AF$2:$AF$5, TRANSPOSE($Z61:$AC61))</f>
        <v>0</v>
      </c>
      <c r="AG61" cm="1">
        <f t="array" ref="AG61">SUMPRODUCT($AG$2:$AG$5, TRANSPOSE($Z61:$AC61))</f>
        <v>0</v>
      </c>
      <c r="AH61" cm="1">
        <f t="array" ref="AH61">SUMPRODUCT($AH$2:$AH$5, TRANSPOSE($Z61:$AC61))</f>
        <v>0</v>
      </c>
      <c r="AK61" t="s">
        <v>518</v>
      </c>
      <c r="AL61" t="s">
        <v>54</v>
      </c>
      <c r="AM61" cm="1">
        <f t="array" aca="1" ref="AM61" ca="1">IFERROR(($AM$2*INDEX(Indicators,MATCH($A61,INDEX(Indicators,0,4),0),MATCH($AK$2,INDEX(Indicators,1,0),0)))+($AM$3*INDEX(Indicators,MATCH($A61,INDEX(Indicators,0,4),0),MATCH($AK$3,INDEX(Indicators,1,0),0)))+(INDEX(Electricity_projection,MATCH(AL61&amp;AK61,INDEX(Electricity_projection,0,3),0),MATCH(YEAR(TODAY()),Timeline_elec_projec,0)+3)*$AM$4), 0)</f>
        <v>0</v>
      </c>
      <c r="AN61" cm="1">
        <f t="array" aca="1" ref="AN61" ca="1">IFERROR(($AN$2*INDEX(Indicators,MATCH($A61,INDEX(Indicators,0,4),0),MATCH($AK$2,INDEX(Indicators,1,0),0)))+($AN$3*INDEX(Indicators,MATCH($A61,INDEX(Indicators,0,4),0),MATCH($AK$3,INDEX(Indicators,1,0),0)))+(INDEX(Electricity_projection,MATCH(AL61&amp;AK61,INDEX(Electricity_projection,0,3),0),MATCH(YEAR(TODAY()),Timeline_elec_projec,0)+3)*$AN$4), 0)</f>
        <v>0</v>
      </c>
      <c r="AO61" cm="1">
        <f t="array" aca="1" ref="AO61" ca="1">IFERROR(($AO$2*INDEX(Indicators,MATCH($A61,INDEX(Indicators,0,4),0),MATCH($AK$2,INDEX(Indicators,1,0),0)))+($AO$3*INDEX(Indicators,MATCH($A61,INDEX(Indicators,0,4),0),MATCH($AK$3,INDEX(Indicators,1,0),0)))+(INDEX(Electricity_projection,MATCH(AL61&amp;AK61,INDEX(Electricity_projection,0,3),0),MATCH(YEAR(TODAY()),Timeline_elec_projec,0)+3)*$AO$4), 0)</f>
        <v>0</v>
      </c>
      <c r="AP61" cm="1">
        <f t="array" aca="1" ref="AP61" ca="1">IFERROR(($AP$2*INDEX(Indicators,MATCH($A61,INDEX(Indicators,0,4),0),MATCH($AK$2,INDEX(Indicators,1,0),0)))+($AP$3*INDEX(Indicators,MATCH($A61,INDEX(Indicators,0,4),0),MATCH($AK$3,INDEX(Indicators,1,0),0)))+(INDEX(Electricity_projection,MATCH(AL61&amp;AK61,INDEX(Electricity_projection,0,3),0),MATCH(YEAR(TODAY()),Timeline_elec_projec,0)+3)*$AP$4), 0)</f>
        <v>0</v>
      </c>
      <c r="AQ61">
        <f ca="1"/>
        <v>0</v>
      </c>
    </row>
    <row r="62" spans="1:43" x14ac:dyDescent="0.35">
      <c r="A62" t="str" cm="1">
        <f t="array" ref="A62">INDEX(Indicators,ROW()-9,4)</f>
        <v>A2AttributionalTox_fw</v>
      </c>
      <c r="B62" s="540" cm="1">
        <f t="array" aca="1" ref="B62:I62" ca="1">INDEX(Indicators,ROW()-9,MATCH(Handle_Wearing_Course,Materials!$1:$1,0))</f>
        <v>1.7834645439000001E-4</v>
      </c>
      <c r="C62" s="1">
        <f ca="1"/>
        <v>1.1055885156000001E-4</v>
      </c>
      <c r="D62" s="1">
        <f ca="1"/>
        <v>5.7777930900000001E-5</v>
      </c>
      <c r="E62" s="1">
        <f ca="1"/>
        <v>0.16910076955584466</v>
      </c>
      <c r="F62" s="1">
        <f ca="1"/>
        <v>0</v>
      </c>
      <c r="G62" s="1">
        <f ca="1"/>
        <v>7.8599999999999993E-6</v>
      </c>
      <c r="H62" s="1">
        <f ca="1"/>
        <v>0</v>
      </c>
      <c r="I62" s="212">
        <f ca="1"/>
        <v>3.0213320000000001</v>
      </c>
      <c r="J62" s="1">
        <v>4.4389079999999996</v>
      </c>
      <c r="K62" s="1">
        <v>3.0213320000000001</v>
      </c>
      <c r="L62" s="1">
        <v>3.0213320000000001</v>
      </c>
      <c r="O62" s="1">
        <f ca="1">SUMPRODUCT(B62:L62,$B$2:$L$2)+INDEX(Indicators,MATCH(A62,Materials!$D:$D),MATCH("Truck (32+t)",Materials!$1:$1,0))*'Data Entry'!$C$64</f>
        <v>1.031369184047728E-2</v>
      </c>
      <c r="P62" s="1">
        <f ca="1">SUMPRODUCT(B62:L62,$B$3:$L$3)+INDEX(Indicators,MATCH(A62,Materials!$D:$D),MATCH("Truck (32+t)",Materials!$1:$1,0))*'Data Entry'!$C$72</f>
        <v>0.26650212566712661</v>
      </c>
      <c r="Q62" s="1">
        <f ca="1">SUMPRODUCT(B62:L62,$B$4:$L$4)+INDEX(Indicators,MATCH(A62,Materials!$D:$D),MATCH("Truck (32+t)",Materials!$1:$1,0))*'Data Entry'!$C$66+$AQ$16</f>
        <v>1.2077548738189897E-2</v>
      </c>
      <c r="R62" s="1">
        <f ca="1">SUMPRODUCT(B62:L62,$B$5:$L$5)+INDEX(Indicators,MATCH(A62,Materials!$D:$D),MATCH("Truck (32+t)",Materials!$1:$1,0))*'Data Entry'!$C$68+$AQ$16</f>
        <v>6.1991595270962624E-2</v>
      </c>
      <c r="S62" s="1">
        <f ca="1">SUMPRODUCT(B62:L62,$B$6:$L$6)+INDEX(Indicators,MATCH(A62,Materials!$D:$D),MATCH("Truck (32+t)",Materials!$1:$1,0))*'Data Entry'!$C$70+$AQ$16</f>
        <v>1.0436551916571349E-2</v>
      </c>
      <c r="T62" s="1">
        <f ca="1">SUMPRODUCT(B62:L62,$B$7:$L$7)+INDEX(Indicators,MATCH(A62,Materials!$D:$D),MATCH("Truck (32+t)",Materials!$1:$1,0))*'Data Entry'!$C$68+$AQ$16</f>
        <v>5.322002037323368E-2</v>
      </c>
      <c r="U62" s="1">
        <f ca="1">SUMPRODUCT(B62:L62,$B$8:$L$8)+INDEX(Indicators,MATCH(A62,Materials!$D:$D),MATCH("Truck (32+t)",Materials!$1:$1,0))*'Data Entry'!$C$69+$AQ$16</f>
        <v>8.7473276855568015E-3</v>
      </c>
      <c r="V62" s="1">
        <f ca="1">SUMPRODUCT(B62:L62,$B$9:$L$9)+INDEX(Indicators,MATCH(A62,Materials!$D:$D),MATCH("Truck (32+t)",Materials!$1:$1,0))*'Data Entry'!$C$71</f>
        <v>1.01907813375E-4</v>
      </c>
      <c r="W62" s="1">
        <f ca="1">SUMPRODUCT(B62:L62,$B$10:$L$10)+INDEX(Indicators,MATCH(A62,Materials!$D:$D),MATCH("Truck (32+t)",Materials!$1:$1,0))*'Data Entry'!$C$72</f>
        <v>2.5938000000000001E-6</v>
      </c>
      <c r="Z62">
        <v>22.037659999999999</v>
      </c>
      <c r="AA62">
        <v>4.6789999999999998E-2</v>
      </c>
      <c r="AB62">
        <v>28.67709</v>
      </c>
      <c r="AC62" s="209">
        <v>0.18618000000000001</v>
      </c>
      <c r="AD62" s="209"/>
      <c r="AF62" cm="1">
        <f t="array" ref="AF62">SUMPRODUCT($AF$2:$AF$5, TRANSPOSE($Z62:$AC62))</f>
        <v>4.4389079999999996</v>
      </c>
      <c r="AG62" cm="1">
        <f t="array" ref="AG62">SUMPRODUCT($AG$2:$AG$5, TRANSPOSE($Z62:$AC62))</f>
        <v>3.0213320000000001</v>
      </c>
      <c r="AH62" cm="1">
        <f t="array" ref="AH62">SUMPRODUCT($AH$2:$AH$5, TRANSPOSE($Z62:$AC62))</f>
        <v>3.0213320000000001</v>
      </c>
      <c r="AK62" t="s">
        <v>416</v>
      </c>
      <c r="AL62" t="s">
        <v>54</v>
      </c>
      <c r="AM62" cm="1">
        <f t="array" aca="1" ref="AM62" ca="1">IFERROR(($AM$2*INDEX(Indicators,MATCH($A62,INDEX(Indicators,0,4),0),MATCH($AK$2,INDEX(Indicators,1,0),0)))+($AM$3*INDEX(Indicators,MATCH($A62,INDEX(Indicators,0,4),0),MATCH($AK$3,INDEX(Indicators,1,0),0)))+(INDEX(Electricity_projection,MATCH(AL62&amp;AK62,INDEX(Electricity_projection,0,3),0),MATCH(YEAR(TODAY()),Timeline_elec_projec,0)+3)*$AM$4), 0)</f>
        <v>0</v>
      </c>
      <c r="AN62" cm="1">
        <f t="array" aca="1" ref="AN62" ca="1">IFERROR(($AN$2*INDEX(Indicators,MATCH($A62,INDEX(Indicators,0,4),0),MATCH($AK$2,INDEX(Indicators,1,0),0)))+($AN$3*INDEX(Indicators,MATCH($A62,INDEX(Indicators,0,4),0),MATCH($AK$3,INDEX(Indicators,1,0),0)))+(INDEX(Electricity_projection,MATCH(AL62&amp;AK62,INDEX(Electricity_projection,0,3),0),MATCH(YEAR(TODAY()),Timeline_elec_projec,0)+3)*$AN$4), 0)</f>
        <v>0</v>
      </c>
      <c r="AO62" cm="1">
        <f t="array" aca="1" ref="AO62" ca="1">IFERROR(($AO$2*INDEX(Indicators,MATCH($A62,INDEX(Indicators,0,4),0),MATCH($AK$2,INDEX(Indicators,1,0),0)))+($AO$3*INDEX(Indicators,MATCH($A62,INDEX(Indicators,0,4),0),MATCH($AK$3,INDEX(Indicators,1,0),0)))+(INDEX(Electricity_projection,MATCH(AL62&amp;AK62,INDEX(Electricity_projection,0,3),0),MATCH(YEAR(TODAY()),Timeline_elec_projec,0)+3)*$AO$4), 0)</f>
        <v>0</v>
      </c>
      <c r="AP62" cm="1">
        <f t="array" aca="1" ref="AP62" ca="1">IFERROR(($AP$2*INDEX(Indicators,MATCH($A62,INDEX(Indicators,0,4),0),MATCH($AK$2,INDEX(Indicators,1,0),0)))+($AP$3*INDEX(Indicators,MATCH($A62,INDEX(Indicators,0,4),0),MATCH($AK$3,INDEX(Indicators,1,0),0)))+(INDEX(Electricity_projection,MATCH(AL62&amp;AK62,INDEX(Electricity_projection,0,3),0),MATCH(YEAR(TODAY()),Timeline_elec_projec,0)+3)*$AP$4), 0)</f>
        <v>0</v>
      </c>
      <c r="AQ62">
        <f ca="1"/>
        <v>0</v>
      </c>
    </row>
    <row r="63" spans="1:43" x14ac:dyDescent="0.35">
      <c r="A63" t="str" cm="1">
        <f t="array" ref="A63">INDEX(Indicators,ROW()-9,4)</f>
        <v>A2AttributionalTox_canc</v>
      </c>
      <c r="B63" s="540" cm="1">
        <f t="array" aca="1" ref="B63:I63" ca="1">INDEX(Indicators,ROW()-9,MATCH(Handle_Wearing_Course,Materials!$1:$1,0))</f>
        <v>1.6749978874555101E-13</v>
      </c>
      <c r="C63" s="1">
        <f ca="1"/>
        <v>1.0009988503269753E-13</v>
      </c>
      <c r="D63" s="1">
        <f ca="1"/>
        <v>5.2312086810872999E-14</v>
      </c>
      <c r="E63" s="1">
        <f ca="1"/>
        <v>1.5253804831957922E-10</v>
      </c>
      <c r="F63" s="1">
        <f ca="1"/>
        <v>0</v>
      </c>
      <c r="G63" s="1">
        <f ca="1"/>
        <v>2.72E-14</v>
      </c>
      <c r="H63" s="1">
        <f ca="1"/>
        <v>0</v>
      </c>
      <c r="I63" s="212">
        <f ca="1"/>
        <v>1.2668486E-9</v>
      </c>
      <c r="J63" s="1">
        <v>1.7942729000000001E-9</v>
      </c>
      <c r="K63" s="1">
        <v>1.2668486E-9</v>
      </c>
      <c r="L63" s="1">
        <v>1.2668486E-9</v>
      </c>
      <c r="O63" s="1">
        <f ca="1">SUMPRODUCT(B63:L63,$B$2:$L$2)+INDEX(Indicators,MATCH(A63,Materials!$D:$D),MATCH("Truck (32+t)",Materials!$1:$1,0))*'Data Entry'!$C$64</f>
        <v>9.3097327005955705E-12</v>
      </c>
      <c r="P63" s="1">
        <f ca="1">SUMPRODUCT(B63:L63,$B$3:$L$3)+INDEX(Indicators,MATCH(A63,Materials!$D:$D),MATCH("Truck (32+t)",Materials!$1:$1,0))*'Data Entry'!$C$72</f>
        <v>1.0781382380142083E-10</v>
      </c>
      <c r="Q63" s="1">
        <f ca="1">SUMPRODUCT(B63:L63,$B$4:$L$4)+INDEX(Indicators,MATCH(A63,Materials!$D:$D),MATCH("Truck (32+t)",Materials!$1:$1,0))*'Data Entry'!$C$66+$AQ$16</f>
        <v>1.2286008688143236E-4</v>
      </c>
      <c r="R63" s="1">
        <f ca="1">SUMPRODUCT(B63:L63,$B$5:$L$5)+INDEX(Indicators,MATCH(A63,Materials!$D:$D),MATCH("Truck (32+t)",Materials!$1:$1,0))*'Data Entry'!$C$68+$AQ$16</f>
        <v>1.2286010638186702E-4</v>
      </c>
      <c r="S63" s="1">
        <f ca="1">SUMPRODUCT(B63:L63,$B$6:$L$6)+INDEX(Indicators,MATCH(A63,Materials!$D:$D),MATCH("Truck (32+t)",Materials!$1:$1,0))*'Data Entry'!$C$70+$AQ$16</f>
        <v>1.2286008540380195E-4</v>
      </c>
      <c r="T63" s="1">
        <f ca="1">SUMPRODUCT(B63:L63,$B$7:$L$7)+INDEX(Indicators,MATCH(A63,Materials!$D:$D),MATCH("Truck (32+t)",Materials!$1:$1,0))*'Data Entry'!$C$68+$AQ$16</f>
        <v>1.2286010211846023E-4</v>
      </c>
      <c r="U63" s="1">
        <f ca="1">SUMPRODUCT(B63:L63,$B$8:$L$8)+INDEX(Indicators,MATCH(A63,Materials!$D:$D),MATCH("Truck (32+t)",Materials!$1:$1,0))*'Data Entry'!$C$69+$AQ$16</f>
        <v>1.2286008388009647E-4</v>
      </c>
      <c r="V63" s="1">
        <f ca="1">SUMPRODUCT(B63:L63,$B$9:$L$9)+INDEX(Indicators,MATCH(A63,Materials!$D:$D),MATCH("Truck (32+t)",Materials!$1:$1,0))*'Data Entry'!$C$71</f>
        <v>9.8292311734950098E-14</v>
      </c>
      <c r="W63" s="1">
        <f ca="1">SUMPRODUCT(B63:L63,$B$10:$L$10)+INDEX(Indicators,MATCH(A63,Materials!$D:$D),MATCH("Truck (32+t)",Materials!$1:$1,0))*'Data Entry'!$C$72</f>
        <v>8.9760000000000007E-15</v>
      </c>
      <c r="Z63" s="1">
        <v>1.99612E-8</v>
      </c>
      <c r="AA63" s="1">
        <v>1.23086E-10</v>
      </c>
      <c r="AB63" s="1">
        <v>1.08494E-8</v>
      </c>
      <c r="AC63" s="209">
        <v>2.1199999999999999E-10</v>
      </c>
      <c r="AD63" s="209"/>
      <c r="AF63" cm="1">
        <f t="array" ref="AF63">SUMPRODUCT($AF$2:$AF$5, TRANSPOSE($Z63:$AC63))</f>
        <v>1.7942729000000001E-9</v>
      </c>
      <c r="AG63" cm="1">
        <f t="array" ref="AG63">SUMPRODUCT($AG$2:$AG$5, TRANSPOSE($Z63:$AC63))</f>
        <v>1.2668486E-9</v>
      </c>
      <c r="AH63" cm="1">
        <f t="array" ref="AH63">SUMPRODUCT($AH$2:$AH$5, TRANSPOSE($Z63:$AC63))</f>
        <v>1.2668486E-9</v>
      </c>
      <c r="AK63" t="s">
        <v>419</v>
      </c>
      <c r="AL63" t="s">
        <v>54</v>
      </c>
      <c r="AM63" cm="1">
        <f t="array" aca="1" ref="AM63" ca="1">IFERROR(($AM$2*INDEX(Indicators,MATCH($A63,INDEX(Indicators,0,4),0),MATCH($AK$2,INDEX(Indicators,1,0),0)))+($AM$3*INDEX(Indicators,MATCH($A63,INDEX(Indicators,0,4),0),MATCH($AK$3,INDEX(Indicators,1,0),0)))+(INDEX(Electricity_projection,MATCH(AL63&amp;AK63,INDEX(Electricity_projection,0,3),0),MATCH(YEAR(TODAY()),Timeline_elec_projec,0)+3)*$AM$4), 0)</f>
        <v>0</v>
      </c>
      <c r="AN63" cm="1">
        <f t="array" aca="1" ref="AN63" ca="1">IFERROR(($AN$2*INDEX(Indicators,MATCH($A63,INDEX(Indicators,0,4),0),MATCH($AK$2,INDEX(Indicators,1,0),0)))+($AN$3*INDEX(Indicators,MATCH($A63,INDEX(Indicators,0,4),0),MATCH($AK$3,INDEX(Indicators,1,0),0)))+(INDEX(Electricity_projection,MATCH(AL63&amp;AK63,INDEX(Electricity_projection,0,3),0),MATCH(YEAR(TODAY()),Timeline_elec_projec,0)+3)*$AN$4), 0)</f>
        <v>0</v>
      </c>
      <c r="AO63" cm="1">
        <f t="array" aca="1" ref="AO63" ca="1">IFERROR(($AO$2*INDEX(Indicators,MATCH($A63,INDEX(Indicators,0,4),0),MATCH($AK$2,INDEX(Indicators,1,0),0)))+($AO$3*INDEX(Indicators,MATCH($A63,INDEX(Indicators,0,4),0),MATCH($AK$3,INDEX(Indicators,1,0),0)))+(INDEX(Electricity_projection,MATCH(AL63&amp;AK63,INDEX(Electricity_projection,0,3),0),MATCH(YEAR(TODAY()),Timeline_elec_projec,0)+3)*$AO$4), 0)</f>
        <v>0</v>
      </c>
      <c r="AP63" cm="1">
        <f t="array" aca="1" ref="AP63" ca="1">IFERROR(($AP$2*INDEX(Indicators,MATCH($A63,INDEX(Indicators,0,4),0),MATCH($AK$2,INDEX(Indicators,1,0),0)))+($AP$3*INDEX(Indicators,MATCH($A63,INDEX(Indicators,0,4),0),MATCH($AK$3,INDEX(Indicators,1,0),0)))+(INDEX(Electricity_projection,MATCH(AL63&amp;AK63,INDEX(Electricity_projection,0,3),0),MATCH(YEAR(TODAY()),Timeline_elec_projec,0)+3)*$AP$4), 0)</f>
        <v>0</v>
      </c>
      <c r="AQ63">
        <f ca="1"/>
        <v>0</v>
      </c>
    </row>
    <row r="64" spans="1:43" x14ac:dyDescent="0.35">
      <c r="A64" t="str" cm="1">
        <f t="array" ref="A64">INDEX(Indicators,ROW()-9,4)</f>
        <v>A2AttributionalTox_non_canc</v>
      </c>
      <c r="B64" s="540" cm="1">
        <f t="array" aca="1" ref="B64:I64" ca="1">INDEX(Indicators,ROW()-9,MATCH(Handle_Wearing_Course,Materials!$1:$1,0))</f>
        <v>7.5763480593454104E-12</v>
      </c>
      <c r="C64" s="1">
        <f ca="1"/>
        <v>4.2262310789854039E-12</v>
      </c>
      <c r="D64" s="1">
        <f ca="1"/>
        <v>2.2086235864754229E-12</v>
      </c>
      <c r="E64" s="1">
        <f ca="1"/>
        <v>5.8649441048378935E-9</v>
      </c>
      <c r="F64" s="1">
        <f ca="1"/>
        <v>0</v>
      </c>
      <c r="G64" s="1">
        <f ca="1"/>
        <v>2.8299999999999999E-12</v>
      </c>
      <c r="H64" s="1">
        <f ca="1"/>
        <v>0</v>
      </c>
      <c r="I64" s="212">
        <f ca="1"/>
        <v>2.4986420000000004E-8</v>
      </c>
      <c r="J64" s="1">
        <v>3.2769629999999996E-8</v>
      </c>
      <c r="K64" s="1">
        <v>2.4986420000000004E-8</v>
      </c>
      <c r="L64" s="1">
        <v>2.4986420000000004E-8</v>
      </c>
      <c r="O64" s="1">
        <f ca="1">SUMPRODUCT(B64:L64,$B$2:$L$2)+INDEX(Indicators,MATCH(A64,Materials!$D:$D),MATCH("Truck (32+t)",Materials!$1:$1,0))*'Data Entry'!$C$64</f>
        <v>3.5901841346605827E-10</v>
      </c>
      <c r="P64" s="1">
        <f ca="1">SUMPRODUCT(B64:L64,$B$3:$L$3)+INDEX(Indicators,MATCH(A64,Materials!$D:$D),MATCH("Truck (32+t)",Materials!$1:$1,0))*'Data Entry'!$C$72</f>
        <v>1.9732995671757843E-9</v>
      </c>
      <c r="Q64" s="1">
        <f ca="1">SUMPRODUCT(B64:L64,$B$4:$L$4)+INDEX(Indicators,MATCH(A64,Materials!$D:$D),MATCH("Truck (32+t)",Materials!$1:$1,0))*'Data Entry'!$C$66+$AQ$16</f>
        <v>1.2286049153907049E-4</v>
      </c>
      <c r="R64" s="1">
        <f ca="1">SUMPRODUCT(B64:L64,$B$5:$L$5)+INDEX(Indicators,MATCH(A64,Materials!$D:$D),MATCH("Truck (32+t)",Materials!$1:$1,0))*'Data Entry'!$C$68+$AQ$16</f>
        <v>1.2286082616489867E-4</v>
      </c>
      <c r="S64" s="1">
        <f ca="1">SUMPRODUCT(B64:L64,$B$6:$L$6)+INDEX(Indicators,MATCH(A64,Materials!$D:$D),MATCH("Truck (32+t)",Materials!$1:$1,0))*'Data Entry'!$C$70+$AQ$16</f>
        <v>1.2286043511248272E-4</v>
      </c>
      <c r="T64" s="1">
        <f ca="1">SUMPRODUCT(B64:L64,$B$7:$L$7)+INDEX(Indicators,MATCH(A64,Materials!$D:$D),MATCH("Truck (32+t)",Materials!$1:$1,0))*'Data Entry'!$C$68+$AQ$16</f>
        <v>1.2286072193462113E-4</v>
      </c>
      <c r="U64" s="1">
        <f ca="1">SUMPRODUCT(B64:L64,$B$8:$L$8)+INDEX(Indicators,MATCH(A64,Materials!$D:$D),MATCH("Truck (32+t)",Materials!$1:$1,0))*'Data Entry'!$C$69+$AQ$16</f>
        <v>1.2286037653880515E-4</v>
      </c>
      <c r="V64" s="1">
        <f ca="1">SUMPRODUCT(B64:L64,$B$9:$L$9)+INDEX(Indicators,MATCH(A64,Materials!$D:$D),MATCH("Truck (32+t)",Materials!$1:$1,0))*'Data Entry'!$C$71</f>
        <v>4.6543987469677895E-12</v>
      </c>
      <c r="W64" s="1">
        <f ca="1">SUMPRODUCT(B64:L64,$B$10:$L$10)+INDEX(Indicators,MATCH(A64,Materials!$D:$D),MATCH("Truck (32+t)",Materials!$1:$1,0))*'Data Entry'!$C$72</f>
        <v>9.3390000000000009E-13</v>
      </c>
      <c r="Z64" s="1">
        <v>1.16313E-7</v>
      </c>
      <c r="AA64" s="1">
        <v>1.4162200000000001E-8</v>
      </c>
      <c r="AB64" s="1">
        <v>1.6034199999999999E-7</v>
      </c>
      <c r="AC64" s="209">
        <v>9.4199999999999993E-9</v>
      </c>
      <c r="AD64" s="209"/>
      <c r="AF64" cm="1">
        <f t="array" ref="AF64">SUMPRODUCT($AF$2:$AF$5, TRANSPOSE($Z64:$AC64))</f>
        <v>3.2769629999999996E-8</v>
      </c>
      <c r="AG64" cm="1">
        <f t="array" ref="AG64">SUMPRODUCT($AG$2:$AG$5, TRANSPOSE($Z64:$AC64))</f>
        <v>2.4986420000000004E-8</v>
      </c>
      <c r="AH64" cm="1">
        <f t="array" ref="AH64">SUMPRODUCT($AH$2:$AH$5, TRANSPOSE($Z64:$AC64))</f>
        <v>2.4986420000000004E-8</v>
      </c>
      <c r="AK64" t="s">
        <v>421</v>
      </c>
      <c r="AL64" t="s">
        <v>54</v>
      </c>
      <c r="AM64" cm="1">
        <f t="array" aca="1" ref="AM64" ca="1">IFERROR(($AM$2*INDEX(Indicators,MATCH($A64,INDEX(Indicators,0,4),0),MATCH($AK$2,INDEX(Indicators,1,0),0)))+($AM$3*INDEX(Indicators,MATCH($A64,INDEX(Indicators,0,4),0),MATCH($AK$3,INDEX(Indicators,1,0),0)))+(INDEX(Electricity_projection,MATCH(AL64&amp;AK64,INDEX(Electricity_projection,0,3),0),MATCH(YEAR(TODAY()),Timeline_elec_projec,0)+3)*$AM$4), 0)</f>
        <v>0</v>
      </c>
      <c r="AN64" cm="1">
        <f t="array" aca="1" ref="AN64" ca="1">IFERROR(($AN$2*INDEX(Indicators,MATCH($A64,INDEX(Indicators,0,4),0),MATCH($AK$2,INDEX(Indicators,1,0),0)))+($AN$3*INDEX(Indicators,MATCH($A64,INDEX(Indicators,0,4),0),MATCH($AK$3,INDEX(Indicators,1,0),0)))+(INDEX(Electricity_projection,MATCH(AL64&amp;AK64,INDEX(Electricity_projection,0,3),0),MATCH(YEAR(TODAY()),Timeline_elec_projec,0)+3)*$AN$4), 0)</f>
        <v>0</v>
      </c>
      <c r="AO64" cm="1">
        <f t="array" aca="1" ref="AO64" ca="1">IFERROR(($AO$2*INDEX(Indicators,MATCH($A64,INDEX(Indicators,0,4),0),MATCH($AK$2,INDEX(Indicators,1,0),0)))+($AO$3*INDEX(Indicators,MATCH($A64,INDEX(Indicators,0,4),0),MATCH($AK$3,INDEX(Indicators,1,0),0)))+(INDEX(Electricity_projection,MATCH(AL64&amp;AK64,INDEX(Electricity_projection,0,3),0),MATCH(YEAR(TODAY()),Timeline_elec_projec,0)+3)*$AO$4), 0)</f>
        <v>0</v>
      </c>
      <c r="AP64" cm="1">
        <f t="array" aca="1" ref="AP64" ca="1">IFERROR(($AP$2*INDEX(Indicators,MATCH($A64,INDEX(Indicators,0,4),0),MATCH($AK$2,INDEX(Indicators,1,0),0)))+($AP$3*INDEX(Indicators,MATCH($A64,INDEX(Indicators,0,4),0),MATCH($AK$3,INDEX(Indicators,1,0),0)))+(INDEX(Electricity_projection,MATCH(AL64&amp;AK64,INDEX(Electricity_projection,0,3),0),MATCH(YEAR(TODAY()),Timeline_elec_projec,0)+3)*$AP$4), 0)</f>
        <v>0</v>
      </c>
      <c r="AQ64">
        <f ca="1"/>
        <v>0</v>
      </c>
    </row>
    <row r="65" spans="1:43" x14ac:dyDescent="0.35">
      <c r="A65" t="str" cm="1">
        <f t="array" ref="A65">INDEX(Indicators,ROW()-9,4)</f>
        <v>A2AttributionalIR</v>
      </c>
      <c r="B65" s="540" cm="1">
        <f t="array" aca="1" ref="B65:I65" ca="1">INDEX(Indicators,ROW()-9,MATCH(Handle_Wearing_Course,Materials!$1:$1,0))</f>
        <v>2.4062368785000002E-4</v>
      </c>
      <c r="C65" s="1">
        <f ca="1"/>
        <v>1.3401346140000001E-4</v>
      </c>
      <c r="D65" s="1">
        <f ca="1"/>
        <v>7.0035283499999995E-5</v>
      </c>
      <c r="E65" s="1">
        <f ca="1"/>
        <v>0.20792336169997044</v>
      </c>
      <c r="F65" s="1">
        <f ca="1"/>
        <v>0</v>
      </c>
      <c r="G65" s="1">
        <f ca="1"/>
        <v>9.1000000000000003E-5</v>
      </c>
      <c r="H65" s="1">
        <f ca="1"/>
        <v>0</v>
      </c>
      <c r="I65" s="212">
        <f ca="1"/>
        <v>0.19503300000000001</v>
      </c>
      <c r="J65" s="1">
        <v>0.18746949999999998</v>
      </c>
      <c r="K65" s="1">
        <v>0.19503300000000001</v>
      </c>
      <c r="L65" s="1">
        <v>0.19503300000000001</v>
      </c>
      <c r="O65" s="1">
        <f ca="1">SUMPRODUCT(B65:L65,$B$2:$L$2)+INDEX(Indicators,MATCH(A65,Materials!$D:$D),MATCH("Truck (32+t)",Materials!$1:$1,0))*'Data Entry'!$C$64</f>
        <v>1.2701587968577226E-2</v>
      </c>
      <c r="P65" s="1">
        <f ca="1">SUMPRODUCT(B65:L65,$B$3:$L$3)+INDEX(Indicators,MATCH(A65,Materials!$D:$D),MATCH("Truck (32+t)",Materials!$1:$1,0))*'Data Entry'!$C$72</f>
        <v>1.1474356266578998E-2</v>
      </c>
      <c r="Q65" s="1">
        <f ca="1">SUMPRODUCT(B65:L65,$B$4:$L$4)+INDEX(Indicators,MATCH(A65,Materials!$D:$D),MATCH("Truck (32+t)",Materials!$1:$1,0))*'Data Entry'!$C$66+$AQ$16</f>
        <v>1.4833040063052501E-2</v>
      </c>
      <c r="R65" s="1">
        <f ca="1">SUMPRODUCT(B65:L65,$B$5:$L$5)+INDEX(Indicators,MATCH(A65,Materials!$D:$D),MATCH("Truck (32+t)",Materials!$1:$1,0))*'Data Entry'!$C$68+$AQ$16</f>
        <v>1.4607458733303018E-2</v>
      </c>
      <c r="S65" s="1">
        <f ca="1">SUMPRODUCT(B65:L65,$B$6:$L$6)+INDEX(Indicators,MATCH(A65,Materials!$D:$D),MATCH("Truck (32+t)",Materials!$1:$1,0))*'Data Entry'!$C$70+$AQ$16</f>
        <v>1.2824448044671295E-2</v>
      </c>
      <c r="T65" s="1">
        <f ca="1">SUMPRODUCT(B65:L65,$B$7:$L$7)+INDEX(Indicators,MATCH(A65,Materials!$D:$D),MATCH("Truck (32+t)",Materials!$1:$1,0))*'Data Entry'!$C$68+$AQ$16</f>
        <v>1.2631092619171738E-2</v>
      </c>
      <c r="U65" s="1">
        <f ca="1">SUMPRODUCT(B65:L65,$B$8:$L$8)+INDEX(Indicators,MATCH(A65,Materials!$D:$D),MATCH("Truck (32+t)",Materials!$1:$1,0))*'Data Entry'!$C$69+$AQ$16</f>
        <v>1.0747620664550091E-2</v>
      </c>
      <c r="V65" s="1">
        <f ca="1">SUMPRODUCT(B65:L65,$B$9:$L$9)+INDEX(Indicators,MATCH(A65,Materials!$D:$D),MATCH("Truck (32+t)",Materials!$1:$1,0))*'Data Entry'!$C$71</f>
        <v>1.4796890062500001E-4</v>
      </c>
      <c r="W65" s="1">
        <f ca="1">SUMPRODUCT(B65:L65,$B$10:$L$10)+INDEX(Indicators,MATCH(A65,Materials!$D:$D),MATCH("Truck (32+t)",Materials!$1:$1,0))*'Data Entry'!$C$72</f>
        <v>3.0030000000000002E-5</v>
      </c>
      <c r="Z65">
        <v>0.15492</v>
      </c>
      <c r="AA65">
        <v>2.0660000000000001E-2</v>
      </c>
      <c r="AB65">
        <v>0.24839</v>
      </c>
      <c r="AC65" s="209">
        <v>0.21016000000000001</v>
      </c>
      <c r="AD65" s="209"/>
      <c r="AF65" cm="1">
        <f t="array" ref="AF65">SUMPRODUCT($AF$2:$AF$5, TRANSPOSE($Z65:$AC65))</f>
        <v>0.18746949999999998</v>
      </c>
      <c r="AG65" cm="1">
        <f t="array" ref="AG65">SUMPRODUCT($AG$2:$AG$5, TRANSPOSE($Z65:$AC65))</f>
        <v>0.19503300000000001</v>
      </c>
      <c r="AH65" cm="1">
        <f t="array" ref="AH65">SUMPRODUCT($AH$2:$AH$5, TRANSPOSE($Z65:$AC65))</f>
        <v>0.19503300000000001</v>
      </c>
      <c r="AK65" t="s">
        <v>553</v>
      </c>
      <c r="AL65" t="s">
        <v>54</v>
      </c>
      <c r="AM65" cm="1">
        <f t="array" aca="1" ref="AM65" ca="1">IFERROR(($AM$2*INDEX(Indicators,MATCH($A65,INDEX(Indicators,0,4),0),MATCH($AK$2,INDEX(Indicators,1,0),0)))+($AM$3*INDEX(Indicators,MATCH($A65,INDEX(Indicators,0,4),0),MATCH($AK$3,INDEX(Indicators,1,0),0)))+(INDEX(Electricity_projection,MATCH(AL65&amp;AK65,INDEX(Electricity_projection,0,3),0),MATCH(YEAR(TODAY()),Timeline_elec_projec,0)+3)*$AM$4), 0)</f>
        <v>0</v>
      </c>
      <c r="AN65" cm="1">
        <f t="array" aca="1" ref="AN65" ca="1">IFERROR(($AN$2*INDEX(Indicators,MATCH($A65,INDEX(Indicators,0,4),0),MATCH($AK$2,INDEX(Indicators,1,0),0)))+($AN$3*INDEX(Indicators,MATCH($A65,INDEX(Indicators,0,4),0),MATCH($AK$3,INDEX(Indicators,1,0),0)))+(INDEX(Electricity_projection,MATCH(AL65&amp;AK65,INDEX(Electricity_projection,0,3),0),MATCH(YEAR(TODAY()),Timeline_elec_projec,0)+3)*$AN$4), 0)</f>
        <v>0</v>
      </c>
      <c r="AO65" cm="1">
        <f t="array" aca="1" ref="AO65" ca="1">IFERROR(($AO$2*INDEX(Indicators,MATCH($A65,INDEX(Indicators,0,4),0),MATCH($AK$2,INDEX(Indicators,1,0),0)))+($AO$3*INDEX(Indicators,MATCH($A65,INDEX(Indicators,0,4),0),MATCH($AK$3,INDEX(Indicators,1,0),0)))+(INDEX(Electricity_projection,MATCH(AL65&amp;AK65,INDEX(Electricity_projection,0,3),0),MATCH(YEAR(TODAY()),Timeline_elec_projec,0)+3)*$AO$4), 0)</f>
        <v>0</v>
      </c>
      <c r="AP65" cm="1">
        <f t="array" aca="1" ref="AP65" ca="1">IFERROR(($AP$2*INDEX(Indicators,MATCH($A65,INDEX(Indicators,0,4),0),MATCH($AK$2,INDEX(Indicators,1,0),0)))+($AP$3*INDEX(Indicators,MATCH($A65,INDEX(Indicators,0,4),0),MATCH($AK$3,INDEX(Indicators,1,0),0)))+(INDEX(Electricity_projection,MATCH(AL65&amp;AK65,INDEX(Electricity_projection,0,3),0),MATCH(YEAR(TODAY()),Timeline_elec_projec,0)+3)*$AP$4), 0)</f>
        <v>0</v>
      </c>
      <c r="AQ65">
        <f ca="1"/>
        <v>0</v>
      </c>
    </row>
    <row r="66" spans="1:43" x14ac:dyDescent="0.35">
      <c r="A66" t="str" cm="1">
        <f t="array" ref="A66">INDEX(Indicators,ROW()-9,4)</f>
        <v>A2AttributionalLU</v>
      </c>
      <c r="B66" s="540" cm="1">
        <f t="array" aca="1" ref="B66:I66" ca="1">INDEX(Indicators,ROW()-9,MATCH(Handle_Wearing_Course,Materials!$1:$1,0))</f>
        <v>4.4913006197999997E-4</v>
      </c>
      <c r="C66" s="1">
        <f ca="1"/>
        <v>2.7425423591999999E-4</v>
      </c>
      <c r="D66" s="1">
        <f ca="1"/>
        <v>1.4332495379999998E-4</v>
      </c>
      <c r="E66" s="1">
        <f ca="1"/>
        <v>0.41791618369243561</v>
      </c>
      <c r="F66" s="1">
        <f ca="1"/>
        <v>0</v>
      </c>
      <c r="G66" s="1">
        <f ca="1"/>
        <v>4.1900000000000002E-5</v>
      </c>
      <c r="H66" s="1">
        <f ca="1"/>
        <v>0</v>
      </c>
      <c r="I66" s="212">
        <f ca="1"/>
        <v>1.234702</v>
      </c>
      <c r="J66" s="1">
        <v>1.506418</v>
      </c>
      <c r="K66" s="1">
        <v>1.234702</v>
      </c>
      <c r="L66" s="1">
        <v>1.234702</v>
      </c>
      <c r="O66" s="1">
        <f ca="1">SUMPRODUCT(B66:L66,$B$2:$L$2)+INDEX(Indicators,MATCH(A66,Materials!$D:$D),MATCH("Truck (32+t)",Materials!$1:$1,0))*'Data Entry'!$C$64</f>
        <v>2.5497153279807335E-2</v>
      </c>
      <c r="P66" s="1">
        <f ca="1">SUMPRODUCT(B66:L66,$B$3:$L$3)+INDEX(Indicators,MATCH(A66,Materials!$D:$D),MATCH("Truck (32+t)",Materials!$1:$1,0))*'Data Entry'!$C$72</f>
        <v>9.080726225826119E-2</v>
      </c>
      <c r="Q66" s="1">
        <f ca="1">SUMPRODUCT(B66:L66,$B$4:$L$4)+INDEX(Indicators,MATCH(A66,Materials!$D:$D),MATCH("Truck (32+t)",Materials!$1:$1,0))*'Data Entry'!$C$66+$AQ$16</f>
        <v>2.9672361848933966E-2</v>
      </c>
      <c r="R66" s="1">
        <f ca="1">SUMPRODUCT(B66:L66,$B$5:$L$5)+INDEX(Indicators,MATCH(A66,Materials!$D:$D),MATCH("Truck (32+t)",Materials!$1:$1,0))*'Data Entry'!$C$68+$AQ$16</f>
        <v>4.3966113634316344E-2</v>
      </c>
      <c r="S66" s="1">
        <f ca="1">SUMPRODUCT(B66:L66,$B$6:$L$6)+INDEX(Indicators,MATCH(A66,Materials!$D:$D),MATCH("Truck (32+t)",Materials!$1:$1,0))*'Data Entry'!$C$70+$AQ$16</f>
        <v>2.5620013355901406E-2</v>
      </c>
      <c r="T66" s="1">
        <f ca="1">SUMPRODUCT(B66:L66,$B$7:$L$7)+INDEX(Indicators,MATCH(A66,Materials!$D:$D),MATCH("Truck (32+t)",Materials!$1:$1,0))*'Data Entry'!$C$68+$AQ$16</f>
        <v>3.7871800600514878E-2</v>
      </c>
      <c r="U66" s="1">
        <f ca="1">SUMPRODUCT(B66:L66,$B$8:$L$8)+INDEX(Indicators,MATCH(A66,Materials!$D:$D),MATCH("Truck (32+t)",Materials!$1:$1,0))*'Data Entry'!$C$69+$AQ$16</f>
        <v>2.1445342819596851E-2</v>
      </c>
      <c r="V66" s="1">
        <f ca="1">SUMPRODUCT(B66:L66,$B$9:$L$9)+INDEX(Indicators,MATCH(A66,Materials!$D:$D),MATCH("Truck (32+t)",Materials!$1:$1,0))*'Data Entry'!$C$71</f>
        <v>2.5951502175000001E-4</v>
      </c>
      <c r="W66" s="1">
        <f ca="1">SUMPRODUCT(B66:L66,$B$10:$L$10)+INDEX(Indicators,MATCH(A66,Materials!$D:$D),MATCH("Truck (32+t)",Materials!$1:$1,0))*'Data Entry'!$C$72</f>
        <v>1.3827000000000002E-5</v>
      </c>
      <c r="Z66">
        <v>4.8452900000000003</v>
      </c>
      <c r="AA66">
        <v>0.46984999999999999</v>
      </c>
      <c r="AB66">
        <v>6.34701</v>
      </c>
      <c r="AC66" s="209">
        <v>0.69127000000000005</v>
      </c>
      <c r="AD66" s="209"/>
      <c r="AF66" cm="1">
        <f t="array" ref="AF66">SUMPRODUCT($AF$2:$AF$5, TRANSPOSE($Z66:$AC66))</f>
        <v>1.506418</v>
      </c>
      <c r="AG66" cm="1">
        <f t="array" ref="AG66">SUMPRODUCT($AG$2:$AG$5, TRANSPOSE($Z66:$AC66))</f>
        <v>1.234702</v>
      </c>
      <c r="AH66" cm="1">
        <f t="array" ref="AH66">SUMPRODUCT($AH$2:$AH$5, TRANSPOSE($Z66:$AC66))</f>
        <v>1.234702</v>
      </c>
      <c r="AK66" t="s">
        <v>424</v>
      </c>
      <c r="AL66" t="s">
        <v>54</v>
      </c>
      <c r="AM66" cm="1">
        <f t="array" aca="1" ref="AM66" ca="1">IFERROR(($AM$2*INDEX(Indicators,MATCH($A66,INDEX(Indicators,0,4),0),MATCH($AK$2,INDEX(Indicators,1,0),0)))+($AM$3*INDEX(Indicators,MATCH($A66,INDEX(Indicators,0,4),0),MATCH($AK$3,INDEX(Indicators,1,0),0)))+(INDEX(Electricity_projection,MATCH(AL66&amp;AK66,INDEX(Electricity_projection,0,3),0),MATCH(YEAR(TODAY()),Timeline_elec_projec,0)+3)*$AM$4), 0)</f>
        <v>0</v>
      </c>
      <c r="AN66" cm="1">
        <f t="array" aca="1" ref="AN66" ca="1">IFERROR(($AN$2*INDEX(Indicators,MATCH($A66,INDEX(Indicators,0,4),0),MATCH($AK$2,INDEX(Indicators,1,0),0)))+($AN$3*INDEX(Indicators,MATCH($A66,INDEX(Indicators,0,4),0),MATCH($AK$3,INDEX(Indicators,1,0),0)))+(INDEX(Electricity_projection,MATCH(AL66&amp;AK66,INDEX(Electricity_projection,0,3),0),MATCH(YEAR(TODAY()),Timeline_elec_projec,0)+3)*$AN$4), 0)</f>
        <v>0</v>
      </c>
      <c r="AO66" cm="1">
        <f t="array" aca="1" ref="AO66" ca="1">IFERROR(($AO$2*INDEX(Indicators,MATCH($A66,INDEX(Indicators,0,4),0),MATCH($AK$2,INDEX(Indicators,1,0),0)))+($AO$3*INDEX(Indicators,MATCH($A66,INDEX(Indicators,0,4),0),MATCH($AK$3,INDEX(Indicators,1,0),0)))+(INDEX(Electricity_projection,MATCH(AL66&amp;AK66,INDEX(Electricity_projection,0,3),0),MATCH(YEAR(TODAY()),Timeline_elec_projec,0)+3)*$AO$4), 0)</f>
        <v>0</v>
      </c>
      <c r="AP66" cm="1">
        <f t="array" aca="1" ref="AP66" ca="1">IFERROR(($AP$2*INDEX(Indicators,MATCH($A66,INDEX(Indicators,0,4),0),MATCH($AK$2,INDEX(Indicators,1,0),0)))+($AP$3*INDEX(Indicators,MATCH($A66,INDEX(Indicators,0,4),0),MATCH($AK$3,INDEX(Indicators,1,0),0)))+(INDEX(Electricity_projection,MATCH(AL66&amp;AK66,INDEX(Electricity_projection,0,3),0),MATCH(YEAR(TODAY()),Timeline_elec_projec,0)+3)*$AP$4), 0)</f>
        <v>0</v>
      </c>
      <c r="AQ66">
        <f ca="1"/>
        <v>0</v>
      </c>
    </row>
    <row r="67" spans="1:43" x14ac:dyDescent="0.35">
      <c r="A67" t="str" cm="1">
        <f t="array" ref="A67">INDEX(Indicators,ROW()-9,4)</f>
        <v>A2AttributionalPM</v>
      </c>
      <c r="B67" s="540" cm="1">
        <f t="array" aca="1" ref="B67:I67" ca="1">INDEX(Indicators,ROW()-9,MATCH(Handle_Wearing_Course,Materials!$1:$1,0))</f>
        <v>4.989987684559511E-11</v>
      </c>
      <c r="C67" s="1">
        <f ca="1"/>
        <v>3.1018112517019822E-11</v>
      </c>
      <c r="D67" s="1">
        <f ca="1"/>
        <v>1.621003055267985E-11</v>
      </c>
      <c r="E67" s="1">
        <f ca="1"/>
        <v>2.5851237489894271E-8</v>
      </c>
      <c r="F67" s="1">
        <f ca="1"/>
        <v>0</v>
      </c>
      <c r="G67" s="1">
        <f ca="1"/>
        <v>1.75E-12</v>
      </c>
      <c r="H67" s="1">
        <f ca="1"/>
        <v>0</v>
      </c>
      <c r="I67" s="212">
        <f ca="1"/>
        <v>4.3546910000000004E-8</v>
      </c>
      <c r="J67" s="1">
        <v>5.1970364999999995E-8</v>
      </c>
      <c r="K67" s="1">
        <v>4.3546910000000004E-8</v>
      </c>
      <c r="L67" s="1">
        <v>4.3546910000000004E-8</v>
      </c>
      <c r="O67" s="1">
        <f ca="1">SUMPRODUCT(B67:L67,$B$2:$L$2)+INDEX(Indicators,MATCH(A67,Materials!$D:$D),MATCH("Truck (32+t)",Materials!$1:$1,0))*'Data Entry'!$C$64</f>
        <v>1.5979801336285155E-9</v>
      </c>
      <c r="P67" s="1">
        <f ca="1">SUMPRODUCT(B67:L67,$B$3:$L$3)+INDEX(Indicators,MATCH(A67,Materials!$D:$D),MATCH("Truck (32+t)",Materials!$1:$1,0))*'Data Entry'!$C$72</f>
        <v>3.1651277842348593E-9</v>
      </c>
      <c r="Q67" s="1">
        <f ca="1">SUMPRODUCT(B67:L67,$B$4:$L$4)+INDEX(Indicators,MATCH(A67,Materials!$D:$D),MATCH("Truck (32+t)",Materials!$1:$1,0))*'Data Entry'!$C$66+$AQ$16</f>
        <v>1.2286191861164049E-4</v>
      </c>
      <c r="R67" s="1">
        <f ca="1">SUMPRODUCT(B67:L67,$B$5:$L$5)+INDEX(Indicators,MATCH(A67,Materials!$D:$D),MATCH("Truck (32+t)",Materials!$1:$1,0))*'Data Entry'!$C$68+$AQ$16</f>
        <v>1.2286222828590941E-4</v>
      </c>
      <c r="S67" s="1">
        <f ca="1">SUMPRODUCT(B67:L67,$B$6:$L$6)+INDEX(Indicators,MATCH(A67,Materials!$D:$D),MATCH("Truck (32+t)",Materials!$1:$1,0))*'Data Entry'!$C$70+$AQ$16</f>
        <v>1.2286167407420288E-4</v>
      </c>
      <c r="T67" s="1">
        <f ca="1">SUMPRODUCT(B67:L67,$B$7:$L$7)+INDEX(Indicators,MATCH(A67,Materials!$D:$D),MATCH("Truck (32+t)",Materials!$1:$1,0))*'Data Entry'!$C$68+$AQ$16</f>
        <v>1.2286193950929053E-4</v>
      </c>
      <c r="U67" s="1">
        <f ca="1">SUMPRODUCT(B67:L67,$B$8:$L$8)+INDEX(Indicators,MATCH(A67,Materials!$D:$D),MATCH("Truck (32+t)",Materials!$1:$1,0))*'Data Entry'!$C$69+$AQ$16</f>
        <v>1.2286141606082676E-4</v>
      </c>
      <c r="V67" s="1">
        <f ca="1">SUMPRODUCT(B67:L67,$B$9:$L$9)+INDEX(Indicators,MATCH(A67,Materials!$D:$D),MATCH("Truck (32+t)",Materials!$1:$1,0))*'Data Entry'!$C$71</f>
        <v>2.8454444533333527E-11</v>
      </c>
      <c r="W67" s="1">
        <f ca="1">SUMPRODUCT(B67:L67,$B$10:$L$10)+INDEX(Indicators,MATCH(A67,Materials!$D:$D),MATCH("Truck (32+t)",Materials!$1:$1,0))*'Data Entry'!$C$72</f>
        <v>5.7750000000000001E-13</v>
      </c>
      <c r="Z67" s="1">
        <v>1.61911E-7</v>
      </c>
      <c r="AA67" s="1">
        <v>1.31611E-8</v>
      </c>
      <c r="AB67" s="1">
        <v>2.0870799999999999E-7</v>
      </c>
      <c r="AC67" s="209">
        <v>2.6700000000000001E-8</v>
      </c>
      <c r="AD67" s="209"/>
      <c r="AF67" cm="1">
        <f t="array" ref="AF67">SUMPRODUCT($AF$2:$AF$5, TRANSPOSE($Z67:$AC67))</f>
        <v>5.1970364999999995E-8</v>
      </c>
      <c r="AG67" cm="1">
        <f t="array" ref="AG67">SUMPRODUCT($AG$2:$AG$5, TRANSPOSE($Z67:$AC67))</f>
        <v>4.3546910000000004E-8</v>
      </c>
      <c r="AH67" cm="1">
        <f t="array" ref="AH67">SUMPRODUCT($AH$2:$AH$5, TRANSPOSE($Z67:$AC67))</f>
        <v>4.3546910000000004E-8</v>
      </c>
      <c r="AK67" t="s">
        <v>556</v>
      </c>
      <c r="AL67" t="s">
        <v>54</v>
      </c>
      <c r="AM67" cm="1">
        <f t="array" aca="1" ref="AM67" ca="1">IFERROR(($AM$2*INDEX(Indicators,MATCH($A67,INDEX(Indicators,0,4),0),MATCH($AK$2,INDEX(Indicators,1,0),0)))+($AM$3*INDEX(Indicators,MATCH($A67,INDEX(Indicators,0,4),0),MATCH($AK$3,INDEX(Indicators,1,0),0)))+(INDEX(Electricity_projection,MATCH(AL67&amp;AK67,INDEX(Electricity_projection,0,3),0),MATCH(YEAR(TODAY()),Timeline_elec_projec,0)+3)*$AM$4), 0)</f>
        <v>0</v>
      </c>
      <c r="AN67" cm="1">
        <f t="array" aca="1" ref="AN67" ca="1">IFERROR(($AN$2*INDEX(Indicators,MATCH($A67,INDEX(Indicators,0,4),0),MATCH($AK$2,INDEX(Indicators,1,0),0)))+($AN$3*INDEX(Indicators,MATCH($A67,INDEX(Indicators,0,4),0),MATCH($AK$3,INDEX(Indicators,1,0),0)))+(INDEX(Electricity_projection,MATCH(AL67&amp;AK67,INDEX(Electricity_projection,0,3),0),MATCH(YEAR(TODAY()),Timeline_elec_projec,0)+3)*$AN$4), 0)</f>
        <v>0</v>
      </c>
      <c r="AO67" cm="1">
        <f t="array" aca="1" ref="AO67" ca="1">IFERROR(($AO$2*INDEX(Indicators,MATCH($A67,INDEX(Indicators,0,4),0),MATCH($AK$2,INDEX(Indicators,1,0),0)))+($AO$3*INDEX(Indicators,MATCH($A67,INDEX(Indicators,0,4),0),MATCH($AK$3,INDEX(Indicators,1,0),0)))+(INDEX(Electricity_projection,MATCH(AL67&amp;AK67,INDEX(Electricity_projection,0,3),0),MATCH(YEAR(TODAY()),Timeline_elec_projec,0)+3)*$AO$4), 0)</f>
        <v>0</v>
      </c>
      <c r="AP67" cm="1">
        <f t="array" aca="1" ref="AP67" ca="1">IFERROR(($AP$2*INDEX(Indicators,MATCH($A67,INDEX(Indicators,0,4),0),MATCH($AK$2,INDEX(Indicators,1,0),0)))+($AP$3*INDEX(Indicators,MATCH($A67,INDEX(Indicators,0,4),0),MATCH($AK$3,INDEX(Indicators,1,0),0)))+(INDEX(Electricity_projection,MATCH(AL67&amp;AK67,INDEX(Electricity_projection,0,3),0),MATCH(YEAR(TODAY()),Timeline_elec_projec,0)+3)*$AP$4), 0)</f>
        <v>0</v>
      </c>
      <c r="AQ67">
        <f ca="1"/>
        <v>0</v>
      </c>
    </row>
    <row r="68" spans="1:43" x14ac:dyDescent="0.35">
      <c r="A68" t="str" cm="1">
        <f t="array" ref="A68">INDEX(Indicators,ROW()-9,4)</f>
        <v>A1ConsequentialAP</v>
      </c>
      <c r="B68" s="540" cm="1">
        <f t="array" aca="1" ref="B68:I68" ca="1">INDEX(Indicators,ROW()-9,MATCH(Handle_Wearing_Course,Materials!$1:$1,0))</f>
        <v>1.4485022387250077E-5</v>
      </c>
      <c r="C68" s="1">
        <f ca="1"/>
        <v>1.1117920531860697E-5</v>
      </c>
      <c r="D68" s="1">
        <f ca="1"/>
        <v>2.0894606873889887E-5</v>
      </c>
      <c r="E68" s="1">
        <f ca="1"/>
        <v>4.8069164615614224E-3</v>
      </c>
      <c r="F68" s="1">
        <f ca="1"/>
        <v>2.7399999999999998E-3</v>
      </c>
      <c r="G68" s="1">
        <f ca="1"/>
        <v>1.36E-7</v>
      </c>
      <c r="H68" s="1">
        <f ca="1"/>
        <v>4.1000000000000002E-2</v>
      </c>
      <c r="I68" s="212">
        <f ca="1"/>
        <v>1.6030000000000003E-3</v>
      </c>
      <c r="J68" s="1">
        <v>2.0950000000000005E-4</v>
      </c>
      <c r="K68" s="1">
        <v>1.6030000000000003E-3</v>
      </c>
      <c r="L68" s="1">
        <v>1.6030000000000003E-3</v>
      </c>
      <c r="O68" s="1">
        <f ca="1">SUMPRODUCT(B68:L68,$B$2:$L$2)+INDEX(Indicators,MATCH(A68,Materials!$D:$D),MATCH("Truck (32+t)",Materials!$1:$1,0))*'Data Entry'!$C$64</f>
        <v>3.0203090873770038E-4</v>
      </c>
      <c r="P68" s="1">
        <f ca="1">SUMPRODUCT(B68:L68,$B$3:$L$3)+INDEX(Indicators,MATCH(A68,Materials!$D:$D),MATCH("Truck (32+t)",Materials!$1:$1,0))*'Data Entry'!$C$72</f>
        <v>2.6185921044015075E-5</v>
      </c>
      <c r="Q68" s="1">
        <f ca="1">SUMPRODUCT(B68:L68,$B$4:$L$4)+INDEX(Indicators,MATCH(A68,Materials!$D:$D),MATCH("Truck (32+t)",Materials!$1:$1,0))*'Data Entry'!$C$66+$AQ$16</f>
        <v>4.7537913301816739E-4</v>
      </c>
      <c r="R68" s="1">
        <f ca="1">SUMPRODUCT(B68:L68,$B$5:$L$5)+INDEX(Indicators,MATCH(A68,Materials!$D:$D),MATCH("Truck (32+t)",Materials!$1:$1,0))*'Data Entry'!$C$68+$AQ$16</f>
        <v>4.1931059494084235E-4</v>
      </c>
      <c r="S68" s="1">
        <f ca="1">SUMPRODUCT(B68:L68,$B$6:$L$6)+INDEX(Indicators,MATCH(A68,Materials!$D:$D),MATCH("Truck (32+t)",Materials!$1:$1,0))*'Data Entry'!$C$70+$AQ$16</f>
        <v>4.2489098483176966E-4</v>
      </c>
      <c r="T68" s="1">
        <f ca="1">SUMPRODUCT(B68:L68,$B$7:$L$7)+INDEX(Indicators,MATCH(A68,Materials!$D:$D),MATCH("Truck (32+t)",Materials!$1:$1,0))*'Data Entry'!$C$68+$AQ$16</f>
        <v>3.7683223790834831E-4</v>
      </c>
      <c r="U68" s="1">
        <f ca="1">SUMPRODUCT(B68:L68,$B$8:$L$8)+INDEX(Indicators,MATCH(A68,Materials!$D:$D),MATCH("Truck (32+t)",Materials!$1:$1,0))*'Data Entry'!$C$69+$AQ$16</f>
        <v>3.7696667044002799E-4</v>
      </c>
      <c r="V68" s="1">
        <f ca="1">SUMPRODUCT(B68:L68,$B$9:$L$9)+INDEX(Indicators,MATCH(A68,Materials!$D:$D),MATCH("Truck (32+t)",Materials!$1:$1,0))*'Data Entry'!$C$71</f>
        <v>1.5702418325684031E-3</v>
      </c>
      <c r="W68" s="1">
        <f ca="1">SUMPRODUCT(B68:L68,$B$10:$L$10)+INDEX(Indicators,MATCH(A68,Materials!$D:$D),MATCH("Truck (32+t)",Materials!$1:$1,0))*'Data Entry'!$C$72</f>
        <v>1.8358448800000001E-3</v>
      </c>
      <c r="Z68">
        <v>7.1500000000000001E-3</v>
      </c>
      <c r="AA68">
        <v>-2.6519999999999998E-2</v>
      </c>
      <c r="AB68">
        <v>7.43E-3</v>
      </c>
      <c r="AC68" s="209">
        <v>4.3899999999999998E-3</v>
      </c>
      <c r="AD68" s="209"/>
      <c r="AF68" cm="1">
        <f t="array" ref="AF68">SUMPRODUCT($AF$2:$AF$5, TRANSPOSE($Z68:$AC68))</f>
        <v>2.0950000000000005E-4</v>
      </c>
      <c r="AG68" cm="1">
        <f t="array" ref="AG68">SUMPRODUCT($AG$2:$AG$5, TRANSPOSE($Z68:$AC68))</f>
        <v>1.6030000000000003E-3</v>
      </c>
      <c r="AH68" cm="1">
        <f t="array" ref="AH68">SUMPRODUCT($AH$2:$AH$5, TRANSPOSE($Z68:$AC68))</f>
        <v>1.6030000000000003E-3</v>
      </c>
      <c r="AK68" t="s">
        <v>379</v>
      </c>
      <c r="AL68" t="s">
        <v>485</v>
      </c>
      <c r="AM68" cm="1">
        <f t="array" aca="1" ref="AM68" ca="1">IFERROR(($AM$2*INDEX(Indicators,MATCH($A68,INDEX(Indicators,0,4),0),MATCH($AK$2,INDEX(Indicators,1,0),0)))+($AM$3*INDEX(Indicators,MATCH($A68,INDEX(Indicators,0,4),0),MATCH($AK$3,INDEX(Indicators,1,0),0)))+(INDEX(Electricity_projection,MATCH(AL68&amp;AK68,INDEX(Electricity_projection,0,3),0),MATCH(YEAR(TODAY()),Timeline_elec_projec,0)+3)*$AM$4), 0)</f>
        <v>1.1781894926282515E-4</v>
      </c>
      <c r="AN68" cm="1">
        <f t="array" aca="1" ref="AN68" ca="1">IFERROR(($AN$2*INDEX(Indicators,MATCH($A68,INDEX(Indicators,0,4),0),MATCH($AK$2,INDEX(Indicators,1,0),0)))+($AN$3*INDEX(Indicators,MATCH($A68,INDEX(Indicators,0,4),0),MATCH($AK$3,INDEX(Indicators,1,0),0)))+(INDEX(Electricity_projection,MATCH(AL68&amp;AK68,INDEX(Electricity_projection,0,3),0),MATCH(YEAR(TODAY()),Timeline_elec_projec,0)+3)*$AN$4), 0)</f>
        <v>1.1240252404956564E-4</v>
      </c>
      <c r="AO68" cm="1">
        <f t="array" aca="1" ref="AO68" ca="1">IFERROR(($AO$2*INDEX(Indicators,MATCH($A68,INDEX(Indicators,0,4),0),MATCH($AK$2,INDEX(Indicators,1,0),0)))+($AO$3*INDEX(Indicators,MATCH($A68,INDEX(Indicators,0,4),0),MATCH($AK$3,INDEX(Indicators,1,0),0)))+(INDEX(Electricity_projection,MATCH(AL68&amp;AK68,INDEX(Electricity_projection,0,3),0),MATCH(YEAR(TODAY()),Timeline_elec_projec,0)+3)*$AO$4), 0)</f>
        <v>4.0104872056970778E-5</v>
      </c>
      <c r="AP68" cm="1">
        <f t="array" aca="1" ref="AP68" ca="1">IFERROR(($AP$2*INDEX(Indicators,MATCH($A68,INDEX(Indicators,0,4),0),MATCH($AK$2,INDEX(Indicators,1,0),0)))+($AP$3*INDEX(Indicators,MATCH($A68,INDEX(Indicators,0,4),0),MATCH($AK$3,INDEX(Indicators,1,0),0)))+(INDEX(Electricity_projection,MATCH(AL68&amp;AK68,INDEX(Electricity_projection,0,3),0),MATCH(YEAR(TODAY()),Timeline_elec_projec,0)+3)*$AP$4), 0)</f>
        <v>3.6989568567970775E-5</v>
      </c>
      <c r="AQ68">
        <f ca="1"/>
        <v>1.1781894926282515E-4</v>
      </c>
    </row>
    <row r="69" spans="1:43" x14ac:dyDescent="0.35">
      <c r="A69" t="str" cm="1">
        <f t="array" ref="A69">INDEX(Indicators,ROW()-9,4)</f>
        <v>A1ConsequentialADPE</v>
      </c>
      <c r="B69" s="540" cm="1">
        <f t="array" aca="1" ref="B69:I69" ca="1">INDEX(Indicators,ROW()-9,MATCH(Handle_Wearing_Course,Materials!$1:$1,0))</f>
        <v>1.5617765392927509E-9</v>
      </c>
      <c r="C69" s="1">
        <f ca="1"/>
        <v>1.4843554924941998E-9</v>
      </c>
      <c r="D69" s="1">
        <f ca="1"/>
        <v>4.7456796100269564E-9</v>
      </c>
      <c r="E69" s="1">
        <f ca="1"/>
        <v>4.1478572376396445E-7</v>
      </c>
      <c r="F69" s="1">
        <f ca="1"/>
        <v>5.3000000000000001E-7</v>
      </c>
      <c r="G69" s="1">
        <f ca="1"/>
        <v>1.8400000000000001E-10</v>
      </c>
      <c r="H69" s="1">
        <f ca="1"/>
        <v>3.8700000000000001E-7</v>
      </c>
      <c r="I69" s="212">
        <f ca="1"/>
        <v>-1.0639999999999783E-8</v>
      </c>
      <c r="J69" s="1">
        <v>-1.0959600000000001E-6</v>
      </c>
      <c r="K69" s="1">
        <v>-1.0639999999999783E-8</v>
      </c>
      <c r="L69" s="1">
        <v>-1.0639999999999783E-8</v>
      </c>
      <c r="O69" s="1">
        <f ca="1">SUMPRODUCT(B69:L69,$B$2:$L$2)+INDEX(Indicators,MATCH(A69,Materials!$D:$D),MATCH("Truck (32+t)",Materials!$1:$1,0))*'Data Entry'!$C$64</f>
        <v>2.6355213372773051E-8</v>
      </c>
      <c r="P69" s="1">
        <f ca="1">SUMPRODUCT(B69:L69,$B$3:$L$3)+INDEX(Indicators,MATCH(A69,Materials!$D:$D),MATCH("Truck (32+t)",Materials!$1:$1,0))*'Data Entry'!$C$72</f>
        <v>-6.4289530053064819E-8</v>
      </c>
      <c r="Q69" s="1">
        <f ca="1">SUMPRODUCT(B69:L69,$B$4:$L$4)+INDEX(Indicators,MATCH(A69,Materials!$D:$D),MATCH("Truck (32+t)",Materials!$1:$1,0))*'Data Entry'!$C$66+$AQ$16</f>
        <v>1.2289183710814257E-4</v>
      </c>
      <c r="R69" s="1">
        <f ca="1">SUMPRODUCT(B69:L69,$B$5:$L$5)+INDEX(Indicators,MATCH(A69,Materials!$D:$D),MATCH("Truck (32+t)",Materials!$1:$1,0))*'Data Entry'!$C$68+$AQ$16</f>
        <v>1.2288439215797669E-4</v>
      </c>
      <c r="S69" s="1">
        <f ca="1">SUMPRODUCT(B69:L69,$B$6:$L$6)+INDEX(Indicators,MATCH(A69,Materials!$D:$D),MATCH("Truck (32+t)",Materials!$1:$1,0))*'Data Entry'!$C$70+$AQ$16</f>
        <v>1.2288643130744202E-4</v>
      </c>
      <c r="T69" s="1">
        <f ca="1">SUMPRODUCT(B69:L69,$B$7:$L$7)+INDEX(Indicators,MATCH(A69,Materials!$D:$D),MATCH("Truck (32+t)",Materials!$1:$1,0))*'Data Entry'!$C$68+$AQ$16</f>
        <v>1.2288004992158557E-4</v>
      </c>
      <c r="U69" s="1">
        <f ca="1">SUMPRODUCT(B69:L69,$B$8:$L$8)+INDEX(Indicators,MATCH(A69,Materials!$D:$D),MATCH("Truck (32+t)",Materials!$1:$1,0))*'Data Entry'!$C$69+$AQ$16</f>
        <v>1.2288229906796976E-4</v>
      </c>
      <c r="V69" s="1">
        <f ca="1">SUMPRODUCT(B69:L69,$B$9:$L$9)+INDEX(Indicators,MATCH(A69,Materials!$D:$D),MATCH("Truck (32+t)",Materials!$1:$1,0))*'Data Entry'!$C$71</f>
        <v>7.6967624191651756E-8</v>
      </c>
      <c r="W69" s="1">
        <f ca="1">SUMPRODUCT(B69:L69,$B$10:$L$10)+INDEX(Indicators,MATCH(A69,Materials!$D:$D),MATCH("Truck (32+t)",Materials!$1:$1,0))*'Data Entry'!$C$72</f>
        <v>3.5516072000000003E-7</v>
      </c>
      <c r="Z69" s="1">
        <v>6.1883600000000005E-5</v>
      </c>
      <c r="AA69" s="1">
        <v>-7.9453100000000007E-5</v>
      </c>
      <c r="AB69" s="1">
        <v>6.2066700000000007E-5</v>
      </c>
      <c r="AC69" s="209">
        <v>2.1600000000000001E-6</v>
      </c>
      <c r="AD69" s="209"/>
      <c r="AF69" cm="1">
        <f t="array" ref="AF69">SUMPRODUCT($AF$2:$AF$5, TRANSPOSE($Z69:$AC69))</f>
        <v>-1.0959600000000001E-6</v>
      </c>
      <c r="AG69" cm="1">
        <f t="array" ref="AG69">SUMPRODUCT($AG$2:$AG$5, TRANSPOSE($Z69:$AC69))</f>
        <v>-1.0639999999999783E-8</v>
      </c>
      <c r="AH69" cm="1">
        <f t="array" ref="AH69">SUMPRODUCT($AH$2:$AH$5, TRANSPOSE($Z69:$AC69))</f>
        <v>-1.0639999999999783E-8</v>
      </c>
      <c r="AK69" t="s">
        <v>391</v>
      </c>
      <c r="AL69" t="s">
        <v>485</v>
      </c>
      <c r="AM69" cm="1">
        <f t="array" aca="1" ref="AM69" ca="1">IFERROR(($AM$2*INDEX(Indicators,MATCH($A69,INDEX(Indicators,0,4),0),MATCH($AK$2,INDEX(Indicators,1,0),0)))+($AM$3*INDEX(Indicators,MATCH($A69,INDEX(Indicators,0,4),0),MATCH($AK$3,INDEX(Indicators,1,0),0)))+(INDEX(Electricity_projection,MATCH(AL69&amp;AK69,INDEX(Electricity_projection,0,3),0),MATCH(YEAR(TODAY()),Timeline_elec_projec,0)+3)*$AM$4), 0)</f>
        <v>7.8815701719457371E-9</v>
      </c>
      <c r="AN69" cm="1">
        <f t="array" aca="1" ref="AN69" ca="1">IFERROR(($AN$2*INDEX(Indicators,MATCH($A69,INDEX(Indicators,0,4),0),MATCH($AK$2,INDEX(Indicators,1,0),0)))+($AN$3*INDEX(Indicators,MATCH($A69,INDEX(Indicators,0,4),0),MATCH($AK$3,INDEX(Indicators,1,0),0)))+(INDEX(Electricity_projection,MATCH(AL69&amp;AK69,INDEX(Electricity_projection,0,3),0),MATCH(YEAR(TODAY()),Timeline_elec_projec,0)+3)*$AN$4), 0)</f>
        <v>9.8453422065628557E-9</v>
      </c>
      <c r="AO69" cm="1">
        <f t="array" aca="1" ref="AO69" ca="1">IFERROR(($AO$2*INDEX(Indicators,MATCH($A69,INDEX(Indicators,0,4),0),MATCH($AK$2,INDEX(Indicators,1,0),0)))+($AO$3*INDEX(Indicators,MATCH($A69,INDEX(Indicators,0,4),0),MATCH($AK$3,INDEX(Indicators,1,0),0)))+(INDEX(Electricity_projection,MATCH(AL69&amp;AK69,INDEX(Electricity_projection,0,3),0),MATCH(YEAR(TODAY()),Timeline_elec_projec,0)+3)*$AO$4), 0)</f>
        <v>5.5040715983488401E-8</v>
      </c>
      <c r="AP69" cm="1">
        <f t="array" aca="1" ref="AP69" ca="1">IFERROR(($AP$2*INDEX(Indicators,MATCH($A69,INDEX(Indicators,0,4),0),MATCH($AK$2,INDEX(Indicators,1,0),0)))+($AP$3*INDEX(Indicators,MATCH($A69,INDEX(Indicators,0,4),0),MATCH($AK$3,INDEX(Indicators,1,0),0)))+(INDEX(Electricity_projection,MATCH(AL69&amp;AK69,INDEX(Electricity_projection,0,3),0),MATCH(YEAR(TODAY()),Timeline_elec_projec,0)+3)*$AP$4), 0)</f>
        <v>4.7468608473488407E-8</v>
      </c>
      <c r="AQ69">
        <f ca="1"/>
        <v>7.8815701719457371E-9</v>
      </c>
    </row>
    <row r="70" spans="1:43" x14ac:dyDescent="0.35">
      <c r="A70" t="str" cm="1">
        <f t="array" ref="A70">INDEX(Indicators,ROW()-9,4)</f>
        <v>A1ConsequentialADPF</v>
      </c>
      <c r="B70" s="540" cm="1">
        <f t="array" aca="1" ref="B70:I70" ca="1">INDEX(Indicators,ROW()-9,MATCH(Handle_Wearing_Course,Materials!$1:$1,0))</f>
        <v>5.0895473818077457E-2</v>
      </c>
      <c r="C70" s="1">
        <f ca="1"/>
        <v>3.3657391515152617E-2</v>
      </c>
      <c r="D70" s="1">
        <f ca="1"/>
        <v>3.193768919777662E-2</v>
      </c>
      <c r="E70" s="1">
        <f ca="1"/>
        <v>45.496171420817944</v>
      </c>
      <c r="F70" s="1">
        <f ca="1"/>
        <v>2.69</v>
      </c>
      <c r="G70" s="1">
        <f ca="1"/>
        <v>1.3799999999999999E-3</v>
      </c>
      <c r="H70" s="1">
        <f ca="1"/>
        <v>49.9</v>
      </c>
      <c r="I70" s="212">
        <f ca="1"/>
        <v>50.381350000000005</v>
      </c>
      <c r="J70" s="1">
        <v>51.492330000000003</v>
      </c>
      <c r="K70" s="1">
        <v>50.381350000000005</v>
      </c>
      <c r="L70" s="1">
        <v>50.381350000000005</v>
      </c>
      <c r="O70" s="1">
        <f ca="1">SUMPRODUCT(B70:L70,$B$2:$L$2)+INDEX(Indicators,MATCH(A70,Materials!$D:$D),MATCH("Truck (32+t)",Materials!$1:$1,0))*'Data Entry'!$C$64</f>
        <v>2.7776120306380694</v>
      </c>
      <c r="P70" s="1">
        <f ca="1">SUMPRODUCT(B70:L70,$B$3:$L$3)+INDEX(Indicators,MATCH(A70,Materials!$D:$D),MATCH("Truck (32+t)",Materials!$1:$1,0))*'Data Entry'!$C$72</f>
        <v>3.1373815453889926</v>
      </c>
      <c r="Q70" s="1">
        <f ca="1">SUMPRODUCT(B70:L70,$B$4:$L$4)+INDEX(Indicators,MATCH(A70,Materials!$D:$D),MATCH("Truck (32+t)",Materials!$1:$1,0))*'Data Entry'!$C$66+$AQ$16</f>
        <v>3.224604536336042</v>
      </c>
      <c r="R70" s="1">
        <f ca="1">SUMPRODUCT(B70:L70,$B$5:$L$5)+INDEX(Indicators,MATCH(A70,Materials!$D:$D),MATCH("Truck (32+t)",Materials!$1:$1,0))*'Data Entry'!$C$68+$AQ$16</f>
        <v>3.310095161471728</v>
      </c>
      <c r="S70" s="1">
        <f ca="1">SUMPRODUCT(B70:L70,$B$6:$L$6)+INDEX(Indicators,MATCH(A70,Materials!$D:$D),MATCH("Truck (32+t)",Materials!$1:$1,0))*'Data Entry'!$C$70+$AQ$16</f>
        <v>2.7777348907141635</v>
      </c>
      <c r="T70" s="1">
        <f ca="1">SUMPRODUCT(B70:L70,$B$7:$L$7)+INDEX(Indicators,MATCH(A70,Materials!$D:$D),MATCH("Truck (32+t)",Materials!$1:$1,0))*'Data Entry'!$C$68+$AQ$16</f>
        <v>2.8510125694018944</v>
      </c>
      <c r="U70" s="1">
        <f ca="1">SUMPRODUCT(B70:L70,$B$8:$L$8)+INDEX(Indicators,MATCH(A70,Materials!$D:$D),MATCH("Truck (32+t)",Materials!$1:$1,0))*'Data Entry'!$C$69+$AQ$16</f>
        <v>2.3232821312441652</v>
      </c>
      <c r="V70" s="1">
        <f ca="1">SUMPRODUCT(B70:L70,$B$9:$L$9)+INDEX(Indicators,MATCH(A70,Materials!$D:$D),MATCH("Truck (32+t)",Materials!$1:$1,0))*'Data Entry'!$C$71</f>
        <v>1.8518422747485939</v>
      </c>
      <c r="W70" s="1">
        <f ca="1">SUMPRODUCT(B70:L70,$B$10:$L$10)+INDEX(Indicators,MATCH(A70,Materials!$D:$D),MATCH("Truck (32+t)",Materials!$1:$1,0))*'Data Entry'!$C$72</f>
        <v>1.8027554000000001</v>
      </c>
      <c r="Z70">
        <v>83.137219999999999</v>
      </c>
      <c r="AA70">
        <v>24.776330000000002</v>
      </c>
      <c r="AB70">
        <v>93.762050000000002</v>
      </c>
      <c r="AC70" s="209">
        <v>48.159390000000002</v>
      </c>
      <c r="AD70" s="209"/>
      <c r="AF70" cm="1">
        <f t="array" ref="AF70">SUMPRODUCT($AF$2:$AF$5, TRANSPOSE($Z70:$AC70))</f>
        <v>51.492330000000003</v>
      </c>
      <c r="AG70" cm="1">
        <f t="array" ref="AG70">SUMPRODUCT($AG$2:$AG$5, TRANSPOSE($Z70:$AC70))</f>
        <v>50.381350000000005</v>
      </c>
      <c r="AH70" cm="1">
        <f t="array" ref="AH70">SUMPRODUCT($AH$2:$AH$5, TRANSPOSE($Z70:$AC70))</f>
        <v>50.381350000000005</v>
      </c>
      <c r="AK70" t="s">
        <v>489</v>
      </c>
      <c r="AL70" t="s">
        <v>485</v>
      </c>
      <c r="AM70" cm="1">
        <f t="array" aca="1" ref="AM70" ca="1">IFERROR(($AM$2*INDEX(Indicators,MATCH($A70,INDEX(Indicators,0,4),0),MATCH($AK$2,INDEX(Indicators,1,0),0)))+($AM$3*INDEX(Indicators,MATCH($A70,INDEX(Indicators,0,4),0),MATCH($AK$3,INDEX(Indicators,1,0),0)))+(INDEX(Electricity_projection,MATCH(AL70&amp;AK70,INDEX(Electricity_projection,0,3),0),MATCH(YEAR(TODAY()),Timeline_elec_projec,0)+3)*$AM$4), 0)</f>
        <v>0.35659377718180268</v>
      </c>
      <c r="AN70" cm="1">
        <f t="array" aca="1" ref="AN70" ca="1">IFERROR(($AN$2*INDEX(Indicators,MATCH($A70,INDEX(Indicators,0,4),0),MATCH($AK$2,INDEX(Indicators,1,0),0)))+($AN$3*INDEX(Indicators,MATCH($A70,INDEX(Indicators,0,4),0),MATCH($AK$3,INDEX(Indicators,1,0),0)))+(INDEX(Electricity_projection,MATCH(AL70&amp;AK70,INDEX(Electricity_projection,0,3),0),MATCH(YEAR(TODAY()),Timeline_elec_projec,0)+3)*$AN$4), 0)</f>
        <v>0.31560551574680723</v>
      </c>
      <c r="AO70" cm="1">
        <f t="array" aca="1" ref="AO70" ca="1">IFERROR(($AO$2*INDEX(Indicators,MATCH($A70,INDEX(Indicators,0,4),0),MATCH($AK$2,INDEX(Indicators,1,0),0)))+($AO$3*INDEX(Indicators,MATCH($A70,INDEX(Indicators,0,4),0),MATCH($AK$3,INDEX(Indicators,1,0),0)))+(INDEX(Electricity_projection,MATCH(AL70&amp;AK70,INDEX(Electricity_projection,0,3),0),MATCH(YEAR(TODAY()),Timeline_elec_projec,0)+3)*$AO$4), 0)</f>
        <v>0.41524010937981365</v>
      </c>
      <c r="AP70" cm="1">
        <f t="array" aca="1" ref="AP70" ca="1">IFERROR(($AP$2*INDEX(Indicators,MATCH($A70,INDEX(Indicators,0,4),0),MATCH($AK$2,INDEX(Indicators,1,0),0)))+($AP$3*INDEX(Indicators,MATCH($A70,INDEX(Indicators,0,4),0),MATCH($AK$3,INDEX(Indicators,1,0),0)))+(INDEX(Electricity_projection,MATCH(AL70&amp;AK70,INDEX(Electricity_projection,0,3),0),MATCH(YEAR(TODAY()),Timeline_elec_projec,0)+3)*$AP$4), 0)</f>
        <v>0.35655814597981367</v>
      </c>
      <c r="AQ70">
        <f ca="1"/>
        <v>0.35659377718180268</v>
      </c>
    </row>
    <row r="71" spans="1:43" x14ac:dyDescent="0.35">
      <c r="A71" t="str" cm="1">
        <f t="array" ref="A71">INDEX(Indicators,ROW()-9,4)</f>
        <v>A1ConsequentialEP</v>
      </c>
      <c r="B71" s="540" cm="1">
        <f t="array" aca="1" ref="B71:I71" ca="1">INDEX(Indicators,ROW()-9,MATCH(Handle_Wearing_Course,Materials!$1:$1,0))</f>
        <v>3.1164552417177667E-6</v>
      </c>
      <c r="C71" s="1">
        <f ca="1"/>
        <v>2.3390111935336644E-6</v>
      </c>
      <c r="D71" s="1">
        <f ca="1"/>
        <v>4.100921410825954E-6</v>
      </c>
      <c r="E71" s="1">
        <f ca="1"/>
        <v>6.5916253823509183E-4</v>
      </c>
      <c r="F71" s="1">
        <f ca="1"/>
        <v>1.14E-3</v>
      </c>
      <c r="G71" s="1">
        <f ca="1"/>
        <v>4.6800000000000002E-8</v>
      </c>
      <c r="H71" s="1">
        <f ca="1"/>
        <v>2.0200000000000001E-3</v>
      </c>
      <c r="I71" s="212">
        <f ca="1"/>
        <v>-5.3499999999999999E-4</v>
      </c>
      <c r="J71" s="1">
        <v>-1.0425E-3</v>
      </c>
      <c r="K71" s="1">
        <v>-5.3499999999999999E-4</v>
      </c>
      <c r="L71" s="1">
        <v>-5.3499999999999999E-4</v>
      </c>
      <c r="O71" s="1">
        <f ca="1">SUMPRODUCT(B71:L71,$B$2:$L$2)+INDEX(Indicators,MATCH(A71,Materials!$D:$D),MATCH("Truck (32+t)",Materials!$1:$1,0))*'Data Entry'!$C$64</f>
        <v>4.2479220221320208E-5</v>
      </c>
      <c r="P71" s="1">
        <f ca="1">SUMPRODUCT(B71:L71,$B$3:$L$3)+INDEX(Indicators,MATCH(A71,Materials!$D:$D),MATCH("Truck (32+t)",Materials!$1:$1,0))*'Data Entry'!$C$72</f>
        <v>-5.9620532072785301E-5</v>
      </c>
      <c r="Q71" s="1">
        <f ca="1">SUMPRODUCT(B71:L71,$B$4:$L$4)+INDEX(Indicators,MATCH(A71,Materials!$D:$D),MATCH("Truck (32+t)",Materials!$1:$1,0))*'Data Entry'!$C$66+$AQ$16</f>
        <v>1.7229354361296648E-4</v>
      </c>
      <c r="R71" s="1">
        <f ca="1">SUMPRODUCT(B71:L71,$B$5:$L$5)+INDEX(Indicators,MATCH(A71,Materials!$D:$D),MATCH("Truck (32+t)",Materials!$1:$1,0))*'Data Entry'!$C$68+$AQ$16</f>
        <v>1.5139569919385236E-4</v>
      </c>
      <c r="S71" s="1">
        <f ca="1">SUMPRODUCT(B71:L71,$B$6:$L$6)+INDEX(Indicators,MATCH(A71,Materials!$D:$D),MATCH("Truck (32+t)",Materials!$1:$1,0))*'Data Entry'!$C$70+$AQ$16</f>
        <v>1.6533929631538946E-4</v>
      </c>
      <c r="T71" s="1">
        <f ca="1">SUMPRODUCT(B71:L71,$B$7:$L$7)+INDEX(Indicators,MATCH(A71,Materials!$D:$D),MATCH("Truck (32+t)",Materials!$1:$1,0))*'Data Entry'!$C$68+$AQ$16</f>
        <v>1.4742685824186308E-4</v>
      </c>
      <c r="U71" s="1">
        <f ca="1">SUMPRODUCT(B71:L71,$B$8:$L$8)+INDEX(Indicators,MATCH(A71,Materials!$D:$D),MATCH("Truck (32+t)",Materials!$1:$1,0))*'Data Entry'!$C$69+$AQ$16</f>
        <v>1.5877883548545571E-4</v>
      </c>
      <c r="V71" s="1">
        <f ca="1">SUMPRODUCT(B71:L71,$B$9:$L$9)+INDEX(Indicators,MATCH(A71,Materials!$D:$D),MATCH("Truck (32+t)",Materials!$1:$1,0))*'Data Entry'!$C$71</f>
        <v>1.9978543190302407E-4</v>
      </c>
      <c r="W71" s="1">
        <f ca="1">SUMPRODUCT(B71:L71,$B$10:$L$10)+INDEX(Indicators,MATCH(A71,Materials!$D:$D),MATCH("Truck (32+t)",Materials!$1:$1,0))*'Data Entry'!$C$72</f>
        <v>7.6381544400000001E-4</v>
      </c>
      <c r="Z71">
        <v>4.0099999999999997E-3</v>
      </c>
      <c r="AA71">
        <v>-1.155E-2</v>
      </c>
      <c r="AB71">
        <v>2.3600000000000001E-3</v>
      </c>
      <c r="AC71" s="209">
        <v>4.8000000000000001E-4</v>
      </c>
      <c r="AD71" s="209"/>
      <c r="AF71" cm="1">
        <f t="array" ref="AF71">SUMPRODUCT($AF$2:$AF$5, TRANSPOSE($Z71:$AC71))</f>
        <v>-1.0425E-3</v>
      </c>
      <c r="AG71" cm="1">
        <f t="array" ref="AG71">SUMPRODUCT($AG$2:$AG$5, TRANSPOSE($Z71:$AC71))</f>
        <v>-5.3499999999999999E-4</v>
      </c>
      <c r="AH71" cm="1">
        <f t="array" ref="AH71">SUMPRODUCT($AH$2:$AH$5, TRANSPOSE($Z71:$AC71))</f>
        <v>-5.3499999999999999E-4</v>
      </c>
      <c r="AK71" t="s">
        <v>491</v>
      </c>
      <c r="AL71" t="s">
        <v>485</v>
      </c>
      <c r="AM71" cm="1">
        <f t="array" aca="1" ref="AM71" ca="1">IFERROR(($AM$2*INDEX(Indicators,MATCH($A71,INDEX(Indicators,0,4),0),MATCH($AK$2,INDEX(Indicators,1,0),0)))+($AM$3*INDEX(Indicators,MATCH($A71,INDEX(Indicators,0,4),0),MATCH($AK$3,INDEX(Indicators,1,0),0)))+(INDEX(Electricity_projection,MATCH(AL71&amp;AK71,INDEX(Electricity_projection,0,3),0),MATCH(YEAR(TODAY()),Timeline_elec_projec,0)+3)*$AM$4), 0)</f>
        <v>2.6607087855412172E-5</v>
      </c>
      <c r="AN71" cm="1">
        <f t="array" aca="1" ref="AN71" ca="1">IFERROR(($AN$2*INDEX(Indicators,MATCH($A71,INDEX(Indicators,0,4),0),MATCH($AK$2,INDEX(Indicators,1,0),0)))+($AN$3*INDEX(Indicators,MATCH($A71,INDEX(Indicators,0,4),0),MATCH($AK$3,INDEX(Indicators,1,0),0)))+(INDEX(Electricity_projection,MATCH(AL71&amp;AK71,INDEX(Electricity_projection,0,3),0),MATCH(YEAR(TODAY()),Timeline_elec_projec,0)+3)*$AN$4), 0)</f>
        <v>2.4969124995942041E-5</v>
      </c>
      <c r="AO71" cm="1">
        <f t="array" aca="1" ref="AO71" ca="1">IFERROR(($AO$2*INDEX(Indicators,MATCH($A71,INDEX(Indicators,0,4),0),MATCH($AK$2,INDEX(Indicators,1,0),0)))+($AO$3*INDEX(Indicators,MATCH($A71,INDEX(Indicators,0,4),0),MATCH($AK$3,INDEX(Indicators,1,0),0)))+(INDEX(Electricity_projection,MATCH(AL71&amp;AK71,INDEX(Electricity_projection,0,3),0),MATCH(YEAR(TODAY()),Timeline_elec_projec,0)+3)*$AO$4), 0)</f>
        <v>1.0621348176459661E-5</v>
      </c>
      <c r="AP71" cm="1">
        <f t="array" aca="1" ref="AP71" ca="1">IFERROR(($AP$2*INDEX(Indicators,MATCH($A71,INDEX(Indicators,0,4),0),MATCH($AK$2,INDEX(Indicators,1,0),0)))+($AP$3*INDEX(Indicators,MATCH($A71,INDEX(Indicators,0,4),0),MATCH($AK$3,INDEX(Indicators,1,0),0)))+(INDEX(Electricity_projection,MATCH(AL71&amp;AK71,INDEX(Electricity_projection,0,3),0),MATCH(YEAR(TODAY()),Timeline_elec_projec,0)+3)*$AP$4), 0)</f>
        <v>9.5958626584596608E-6</v>
      </c>
      <c r="AQ71">
        <f ca="1"/>
        <v>2.6607087855412172E-5</v>
      </c>
    </row>
    <row r="72" spans="1:43" x14ac:dyDescent="0.35">
      <c r="A72" t="str" cm="1">
        <f t="array" ref="A72">INDEX(Indicators,ROW()-9,4)</f>
        <v>A1ConsequentialGWP</v>
      </c>
      <c r="B72" s="540" cm="1">
        <f t="array" aca="1" ref="B72:I72" ca="1">INDEX(Indicators,ROW()-9,MATCH(Handle_Wearing_Course,Materials!$1:$1,0))</f>
        <v>3.8302393074512156E-3</v>
      </c>
      <c r="C72" s="1">
        <f ca="1"/>
        <v>2.5561344505870679E-3</v>
      </c>
      <c r="D72" s="1">
        <f ca="1"/>
        <v>2.5504945088975035E-3</v>
      </c>
      <c r="E72" s="1">
        <f ca="1"/>
        <v>0.42616652927542742</v>
      </c>
      <c r="F72" s="1">
        <f ca="1"/>
        <v>0.90400000000000003</v>
      </c>
      <c r="G72" s="1">
        <f ca="1"/>
        <v>7.7799999999999994E-5</v>
      </c>
      <c r="H72" s="1">
        <f ca="1"/>
        <v>3.97</v>
      </c>
      <c r="I72" s="212">
        <f ca="1"/>
        <v>0.92111600000000005</v>
      </c>
      <c r="J72" s="1">
        <v>1.0988039999999999</v>
      </c>
      <c r="K72" s="1">
        <v>0.92111600000000005</v>
      </c>
      <c r="L72" s="1">
        <v>0.92111600000000005</v>
      </c>
      <c r="O72" s="1">
        <f ca="1">SUMPRODUCT(B72:L72,$B$2:$L$2)+INDEX(Indicators,MATCH(A72,Materials!$D:$D),MATCH("Truck (32+t)",Materials!$1:$1,0))*'Data Entry'!$C$64</f>
        <v>2.9170416705529785E-2</v>
      </c>
      <c r="P72" s="1">
        <f ca="1">SUMPRODUCT(B72:L72,$B$3:$L$3)+INDEX(Indicators,MATCH(A72,Materials!$D:$D),MATCH("Truck (32+t)",Materials!$1:$1,0))*'Data Entry'!$C$72</f>
        <v>6.9528664949004129E-2</v>
      </c>
      <c r="Q72" s="1">
        <f ca="1">SUMPRODUCT(B72:L72,$B$4:$L$4)+INDEX(Indicators,MATCH(A72,Materials!$D:$D),MATCH("Truck (32+t)",Materials!$1:$1,0))*'Data Entry'!$C$66+$AQ$16</f>
        <v>3.3004741761882138E-2</v>
      </c>
      <c r="R72" s="1">
        <f ca="1">SUMPRODUCT(B72:L72,$B$5:$L$5)+INDEX(Indicators,MATCH(A72,Materials!$D:$D),MATCH("Truck (32+t)",Materials!$1:$1,0))*'Data Entry'!$C$68+$AQ$16</f>
        <v>4.1666357499562164E-2</v>
      </c>
      <c r="S72" s="1">
        <f ca="1">SUMPRODUCT(B72:L72,$B$6:$L$6)+INDEX(Indicators,MATCH(A72,Materials!$D:$D),MATCH("Truck (32+t)",Materials!$1:$1,0))*'Data Entry'!$C$70+$AQ$16</f>
        <v>2.9293276781623856E-2</v>
      </c>
      <c r="T72" s="1">
        <f ca="1">SUMPRODUCT(B72:L72,$B$7:$L$7)+INDEX(Indicators,MATCH(A72,Materials!$D:$D),MATCH("Truck (32+t)",Materials!$1:$1,0))*'Data Entry'!$C$68+$AQ$16</f>
        <v>3.6717518842492448E-2</v>
      </c>
      <c r="U72" s="1">
        <f ca="1">SUMPRODUCT(B72:L72,$B$8:$L$8)+INDEX(Indicators,MATCH(A72,Materials!$D:$D),MATCH("Truck (32+t)",Materials!$1:$1,0))*'Data Entry'!$C$69+$AQ$16</f>
        <v>2.5069913881944097E-2</v>
      </c>
      <c r="V72" s="1">
        <f ca="1">SUMPRODUCT(B72:L72,$B$9:$L$9)+INDEX(Indicators,MATCH(A72,Materials!$D:$D),MATCH("Truck (32+t)",Materials!$1:$1,0))*'Data Entry'!$C$71</f>
        <v>0.23001688855550512</v>
      </c>
      <c r="W72" s="1">
        <f ca="1">SUMPRODUCT(B72:L72,$B$10:$L$10)+INDEX(Indicators,MATCH(A72,Materials!$D:$D),MATCH("Truck (32+t)",Materials!$1:$1,0))*'Data Entry'!$C$72</f>
        <v>0.60570567400000008</v>
      </c>
      <c r="Z72">
        <v>3.2532199999999998</v>
      </c>
      <c r="AA72">
        <v>0.64868999999999999</v>
      </c>
      <c r="AB72">
        <v>4.0365500000000001</v>
      </c>
      <c r="AC72" s="209">
        <v>0.56574000000000002</v>
      </c>
      <c r="AD72" s="209"/>
      <c r="AF72" cm="1">
        <f t="array" ref="AF72">SUMPRODUCT($AF$2:$AF$5, TRANSPOSE($Z72:$AC72))</f>
        <v>1.0988039999999999</v>
      </c>
      <c r="AG72" cm="1">
        <f t="array" ref="AG72">SUMPRODUCT($AG$2:$AG$5, TRANSPOSE($Z72:$AC72))</f>
        <v>0.92111600000000005</v>
      </c>
      <c r="AH72" cm="1">
        <f t="array" ref="AH72">SUMPRODUCT($AH$2:$AH$5, TRANSPOSE($Z72:$AC72))</f>
        <v>0.92111600000000005</v>
      </c>
      <c r="AK72" t="s">
        <v>382</v>
      </c>
      <c r="AL72" t="s">
        <v>485</v>
      </c>
      <c r="AM72" cm="1">
        <f t="array" aca="1" ref="AM72" ca="1">IFERROR(($AM$2*INDEX(Indicators,MATCH($A72,INDEX(Indicators,0,4),0),MATCH($AK$2,INDEX(Indicators,1,0),0)))+($AM$3*INDEX(Indicators,MATCH($A72,INDEX(Indicators,0,4),0),MATCH($AK$3,INDEX(Indicators,1,0),0)))+(INDEX(Electricity_projection,MATCH(AL72&amp;AK72,INDEX(Electricity_projection,0,3),0),MATCH(YEAR(TODAY()),Timeline_elec_projec,0)+3)*$AM$4), 0)</f>
        <v>2.6850238463816439E-2</v>
      </c>
      <c r="AN72" cm="1">
        <f t="array" aca="1" ref="AN72" ca="1">IFERROR(($AN$2*INDEX(Indicators,MATCH($A72,INDEX(Indicators,0,4),0),MATCH($AK$2,INDEX(Indicators,1,0),0)))+($AN$3*INDEX(Indicators,MATCH($A72,INDEX(Indicators,0,4),0),MATCH($AK$3,INDEX(Indicators,1,0),0)))+(INDEX(Electricity_projection,MATCH(AL72&amp;AK72,INDEX(Electricity_projection,0,3),0),MATCH(YEAR(TODAY()),Timeline_elec_projec,0)+3)*$AN$4), 0)</f>
        <v>2.3869461085845395E-2</v>
      </c>
      <c r="AO72" cm="1">
        <f t="array" aca="1" ref="AO72" ca="1">IFERROR(($AO$2*INDEX(Indicators,MATCH($A72,INDEX(Indicators,0,4),0),MATCH($AK$2,INDEX(Indicators,1,0),0)))+($AO$3*INDEX(Indicators,MATCH($A72,INDEX(Indicators,0,4),0),MATCH($AK$3,INDEX(Indicators,1,0),0)))+(INDEX(Electricity_projection,MATCH(AL72&amp;AK72,INDEX(Electricity_projection,0,3),0),MATCH(YEAR(TODAY()),Timeline_elec_projec,0)+3)*$AO$4), 0)</f>
        <v>2.4369943500509826E-2</v>
      </c>
      <c r="AP72" cm="1">
        <f t="array" aca="1" ref="AP72" ca="1">IFERROR(($AP$2*INDEX(Indicators,MATCH($A72,INDEX(Indicators,0,4),0),MATCH($AK$2,INDEX(Indicators,1,0),0)))+($AP$3*INDEX(Indicators,MATCH($A72,INDEX(Indicators,0,4),0),MATCH($AK$3,INDEX(Indicators,1,0),0)))+(INDEX(Electricity_projection,MATCH(AL72&amp;AK72,INDEX(Electricity_projection,0,3),0),MATCH(YEAR(TODAY()),Timeline_elec_projec,0)+3)*$AP$4), 0)</f>
        <v>2.1007977300509826E-2</v>
      </c>
      <c r="AQ72">
        <f ca="1"/>
        <v>2.6850238463816439E-2</v>
      </c>
    </row>
    <row r="73" spans="1:43" x14ac:dyDescent="0.35">
      <c r="A73" t="str" cm="1">
        <f t="array" ref="A73">INDEX(Indicators,ROW()-9,4)</f>
        <v>A1ConsequentialODP</v>
      </c>
      <c r="B73" s="540" cm="1">
        <f t="array" aca="1" ref="B73:I73" ca="1">INDEX(Indicators,ROW()-9,MATCH(Handle_Wearing_Course,Materials!$1:$1,0))</f>
        <v>6.1823058906757036E-10</v>
      </c>
      <c r="C73" s="1">
        <f ca="1"/>
        <v>3.8749867609595444E-10</v>
      </c>
      <c r="D73" s="1">
        <f ca="1"/>
        <v>2.087233637293158E-10</v>
      </c>
      <c r="E73" s="1">
        <f ca="1"/>
        <v>5.9811555292195356E-7</v>
      </c>
      <c r="F73" s="1">
        <f ca="1"/>
        <v>1.81E-8</v>
      </c>
      <c r="G73" s="1">
        <f ca="1"/>
        <v>9.1600000000000006E-12</v>
      </c>
      <c r="H73" s="1">
        <f ca="1"/>
        <v>2.5299999999999999E-12</v>
      </c>
      <c r="I73" s="212">
        <f ca="1"/>
        <v>5.5586580000000008E-7</v>
      </c>
      <c r="J73" s="1">
        <v>5.2429869999999995E-7</v>
      </c>
      <c r="K73" s="1">
        <v>5.5586580000000008E-7</v>
      </c>
      <c r="L73" s="1">
        <v>5.5586580000000008E-7</v>
      </c>
      <c r="O73" s="1">
        <f ca="1">SUMPRODUCT(B73:L73,$B$2:$L$2)+INDEX(Indicators,MATCH(A73,Materials!$D:$D),MATCH("Truck (32+t)",Materials!$1:$1,0))*'Data Entry'!$C$64</f>
        <v>3.6468069929040723E-8</v>
      </c>
      <c r="P73" s="1">
        <f ca="1">SUMPRODUCT(B73:L73,$B$3:$L$3)+INDEX(Indicators,MATCH(A73,Materials!$D:$D),MATCH("Truck (32+t)",Materials!$1:$1,0))*'Data Entry'!$C$72</f>
        <v>3.2039058753723512E-8</v>
      </c>
      <c r="Q73" s="1">
        <f ca="1">SUMPRODUCT(B73:L73,$B$4:$L$4)+INDEX(Indicators,MATCH(A73,Materials!$D:$D),MATCH("Truck (32+t)",Materials!$1:$1,0))*'Data Entry'!$C$66+$AQ$16</f>
        <v>1.2290235533433149E-4</v>
      </c>
      <c r="R73" s="1">
        <f ca="1">SUMPRODUCT(B73:L73,$B$5:$L$5)+INDEX(Indicators,MATCH(A73,Materials!$D:$D),MATCH("Truck (32+t)",Materials!$1:$1,0))*'Data Entry'!$C$68+$AQ$16</f>
        <v>1.2290161596365535E-4</v>
      </c>
      <c r="S73" s="1">
        <f ca="1">SUMPRODUCT(B73:L73,$B$6:$L$6)+INDEX(Indicators,MATCH(A73,Materials!$D:$D),MATCH("Truck (32+t)",Materials!$1:$1,0))*'Data Entry'!$C$70+$AQ$16</f>
        <v>1.2289654416399828E-4</v>
      </c>
      <c r="T73" s="1">
        <f ca="1">SUMPRODUCT(B73:L73,$B$7:$L$7)+INDEX(Indicators,MATCH(A73,Materials!$D:$D),MATCH("Truck (32+t)",Materials!$1:$1,0))*'Data Entry'!$C$68+$AQ$16</f>
        <v>1.2289591041770445E-4</v>
      </c>
      <c r="U73" s="1">
        <f ca="1">SUMPRODUCT(B73:L73,$B$8:$L$8)+INDEX(Indicators,MATCH(A73,Materials!$D:$D),MATCH("Truck (32+t)",Materials!$1:$1,0))*'Data Entry'!$C$69+$AQ$16</f>
        <v>1.2289056919077495E-4</v>
      </c>
      <c r="V73" s="1">
        <f ca="1">SUMPRODUCT(B73:L73,$B$9:$L$9)+INDEX(Indicators,MATCH(A73,Materials!$D:$D),MATCH("Truck (32+t)",Materials!$1:$1,0))*'Data Entry'!$C$71</f>
        <v>2.5243098672796486E-9</v>
      </c>
      <c r="W73" s="1">
        <f ca="1">SUMPRODUCT(B73:L73,$B$10:$L$10)+INDEX(Indicators,MATCH(A73,Materials!$D:$D),MATCH("Truck (32+t)",Materials!$1:$1,0))*'Data Entry'!$C$72</f>
        <v>1.2130022800000001E-8</v>
      </c>
      <c r="Z73" s="1">
        <v>1.49236E-7</v>
      </c>
      <c r="AA73" s="1">
        <v>3.7301799999999999E-7</v>
      </c>
      <c r="AB73" s="1">
        <v>2.3363999999999999E-7</v>
      </c>
      <c r="AC73" s="209">
        <v>6.1900000000000002E-7</v>
      </c>
      <c r="AD73" s="209"/>
      <c r="AF73" cm="1">
        <f t="array" ref="AF73">SUMPRODUCT($AF$2:$AF$5, TRANSPOSE($Z73:$AC73))</f>
        <v>5.2429869999999995E-7</v>
      </c>
      <c r="AG73" cm="1">
        <f t="array" ref="AG73">SUMPRODUCT($AG$2:$AG$5, TRANSPOSE($Z73:$AC73))</f>
        <v>5.5586580000000008E-7</v>
      </c>
      <c r="AH73" cm="1">
        <f t="array" ref="AH73">SUMPRODUCT($AH$2:$AH$5, TRANSPOSE($Z73:$AC73))</f>
        <v>5.5586580000000008E-7</v>
      </c>
      <c r="AK73" t="s">
        <v>403</v>
      </c>
      <c r="AL73" t="s">
        <v>485</v>
      </c>
      <c r="AM73" cm="1">
        <f t="array" aca="1" ref="AM73" ca="1">IFERROR(($AM$2*INDEX(Indicators,MATCH($A73,INDEX(Indicators,0,4),0),MATCH($AK$2,INDEX(Indicators,1,0),0)))+($AM$3*INDEX(Indicators,MATCH($A73,INDEX(Indicators,0,4),0),MATCH($AK$3,INDEX(Indicators,1,0),0)))+(INDEX(Electricity_projection,MATCH(AL73&amp;AK73,INDEX(Electricity_projection,0,3),0),MATCH(YEAR(TODAY()),Timeline_elec_projec,0)+3)*$AM$4), 0)</f>
        <v>4.4791923313149619E-9</v>
      </c>
      <c r="AN73" cm="1">
        <f t="array" aca="1" ref="AN73" ca="1">IFERROR(($AN$2*INDEX(Indicators,MATCH($A73,INDEX(Indicators,0,4),0),MATCH($AK$2,INDEX(Indicators,1,0),0)))+($AN$3*INDEX(Indicators,MATCH($A73,INDEX(Indicators,0,4),0),MATCH($AK$3,INDEX(Indicators,1,0),0)))+(INDEX(Electricity_projection,MATCH(AL73&amp;AK73,INDEX(Electricity_projection,0,3),0),MATCH(YEAR(TODAY()),Timeline_elec_projec,0)+3)*$AN$4), 0)</f>
        <v>3.8276291358653739E-9</v>
      </c>
      <c r="AO73" cm="1">
        <f t="array" aca="1" ref="AO73" ca="1">IFERROR(($AO$2*INDEX(Indicators,MATCH($A73,INDEX(Indicators,0,4),0),MATCH($AK$2,INDEX(Indicators,1,0),0)))+($AO$3*INDEX(Indicators,MATCH($A73,INDEX(Indicators,0,4),0),MATCH($AK$3,INDEX(Indicators,1,0),0)))+(INDEX(Electricity_projection,MATCH(AL73&amp;AK73,INDEX(Electricity_projection,0,3),0),MATCH(YEAR(TODAY()),Timeline_elec_projec,0)+3)*$AO$4), 0)</f>
        <v>2.5961811431989719E-9</v>
      </c>
      <c r="AP73" cm="1">
        <f t="array" aca="1" ref="AP73" ca="1">IFERROR(($AP$2*INDEX(Indicators,MATCH($A73,INDEX(Indicators,0,4),0),MATCH($AK$2,INDEX(Indicators,1,0),0)))+($AP$3*INDEX(Indicators,MATCH($A73,INDEX(Indicators,0,4),0),MATCH($AK$3,INDEX(Indicators,1,0),0)))+(INDEX(Electricity_projection,MATCH(AL73&amp;AK73,INDEX(Electricity_projection,0,3),0),MATCH(YEAR(TODAY()),Timeline_elec_projec,0)+3)*$AP$4), 0)</f>
        <v>2.223231766998972E-9</v>
      </c>
      <c r="AQ73">
        <f ca="1"/>
        <v>4.4791923313149619E-9</v>
      </c>
    </row>
    <row r="74" spans="1:43" x14ac:dyDescent="0.35">
      <c r="A74" t="str" cm="1">
        <f t="array" ref="A74">INDEX(Indicators,ROW()-9,4)</f>
        <v>A1ConsequentialPOCP</v>
      </c>
      <c r="B74" s="540" cm="1">
        <f t="array" aca="1" ref="B74:I74" ca="1">INDEX(Indicators,ROW()-9,MATCH(Handle_Wearing_Course,Materials!$1:$1,0))</f>
        <v>-1.7327473496071023E-6</v>
      </c>
      <c r="C74" s="1">
        <f ca="1"/>
        <v>-1.0436160671500383E-6</v>
      </c>
      <c r="D74" s="1">
        <f ca="1"/>
        <v>-2.0160206113447169E-7</v>
      </c>
      <c r="E74" s="1">
        <f ca="1"/>
        <v>1.6221614038682035E-4</v>
      </c>
      <c r="F74" s="1">
        <f ca="1"/>
        <v>1.4300000000000001E-4</v>
      </c>
      <c r="G74" s="1">
        <f ca="1"/>
        <v>8.7899999999999996E-9</v>
      </c>
      <c r="H74" s="1">
        <f ca="1"/>
        <v>1.98E-3</v>
      </c>
      <c r="I74" s="212">
        <f ca="1"/>
        <v>2.1700000000000002E-4</v>
      </c>
      <c r="J74" s="1">
        <v>2.3050000000000002E-4</v>
      </c>
      <c r="K74" s="1">
        <v>2.1700000000000002E-4</v>
      </c>
      <c r="L74" s="1">
        <v>2.1700000000000002E-4</v>
      </c>
      <c r="O74" s="1">
        <f ca="1">SUMPRODUCT(B74:L74,$B$2:$L$2)+INDEX(Indicators,MATCH(A74,Materials!$D:$D),MATCH("Truck (32+t)",Materials!$1:$1,0))*'Data Entry'!$C$64</f>
        <v>8.1041859145785462E-6</v>
      </c>
      <c r="P74" s="1">
        <f ca="1">SUMPRODUCT(B74:L74,$B$3:$L$3)+INDEX(Indicators,MATCH(A74,Materials!$D:$D),MATCH("Truck (32+t)",Materials!$1:$1,0))*'Data Entry'!$C$72</f>
        <v>1.2201217491369326E-5</v>
      </c>
      <c r="Q74" s="1">
        <f ca="1">SUMPRODUCT(B74:L74,$B$4:$L$4)+INDEX(Indicators,MATCH(A74,Materials!$D:$D),MATCH("Truck (32+t)",Materials!$1:$1,0))*'Data Entry'!$C$66+$AQ$16</f>
        <v>1.3321620900140111E-4</v>
      </c>
      <c r="R74" s="1">
        <f ca="1">SUMPRODUCT(B74:L74,$B$5:$L$5)+INDEX(Indicators,MATCH(A74,Materials!$D:$D),MATCH("Truck (32+t)",Materials!$1:$1,0))*'Data Entry'!$C$68+$AQ$16</f>
        <v>1.3417492654463177E-4</v>
      </c>
      <c r="S74" s="1">
        <f ca="1">SUMPRODUCT(B74:L74,$B$6:$L$6)+INDEX(Indicators,MATCH(A74,Materials!$D:$D),MATCH("Truck (32+t)",Materials!$1:$1,0))*'Data Entry'!$C$70+$AQ$16</f>
        <v>1.3096426200864778E-4</v>
      </c>
      <c r="T74" s="1">
        <f ca="1">SUMPRODUCT(B74:L74,$B$7:$L$7)+INDEX(Indicators,MATCH(A74,Materials!$D:$D),MATCH("Truck (32+t)",Materials!$1:$1,0))*'Data Entry'!$C$68+$AQ$16</f>
        <v>1.3178601990284549E-4</v>
      </c>
      <c r="U74" s="1">
        <f ca="1">SUMPRODUCT(B74:L74,$B$8:$L$8)+INDEX(Indicators,MATCH(A74,Materials!$D:$D),MATCH("Truck (32+t)",Materials!$1:$1,0))*'Data Entry'!$C$69+$AQ$16</f>
        <v>1.2932477313128352E-4</v>
      </c>
      <c r="V74" s="1">
        <f ca="1">SUMPRODUCT(B74:L74,$B$9:$L$9)+INDEX(Indicators,MATCH(A74,Materials!$D:$D),MATCH("Truck (32+t)",Materials!$1:$1,0))*'Data Entry'!$C$71</f>
        <v>7.5654624412969549E-5</v>
      </c>
      <c r="W74" s="1">
        <f ca="1">SUMPRODUCT(B74:L74,$B$10:$L$10)+INDEX(Indicators,MATCH(A74,Materials!$D:$D),MATCH("Truck (32+t)",Materials!$1:$1,0))*'Data Entry'!$C$72</f>
        <v>9.58129007E-5</v>
      </c>
      <c r="Z74">
        <v>7.6999999999999996E-4</v>
      </c>
      <c r="AA74">
        <v>-8.1999999999999998E-4</v>
      </c>
      <c r="AB74">
        <v>1.47E-3</v>
      </c>
      <c r="AC74" s="209">
        <v>1.9000000000000001E-4</v>
      </c>
      <c r="AD74" s="209"/>
      <c r="AF74" cm="1">
        <f t="array" ref="AF74">SUMPRODUCT($AF$2:$AF$5, TRANSPOSE($Z74:$AC74))</f>
        <v>2.3050000000000002E-4</v>
      </c>
      <c r="AG74" cm="1">
        <f t="array" ref="AG74">SUMPRODUCT($AG$2:$AG$5, TRANSPOSE($Z74:$AC74))</f>
        <v>2.1700000000000002E-4</v>
      </c>
      <c r="AH74" cm="1">
        <f t="array" ref="AH74">SUMPRODUCT($AH$2:$AH$5, TRANSPOSE($Z74:$AC74))</f>
        <v>2.1700000000000002E-4</v>
      </c>
      <c r="AK74" t="s">
        <v>495</v>
      </c>
      <c r="AL74" t="s">
        <v>485</v>
      </c>
      <c r="AM74" cm="1">
        <f t="array" aca="1" ref="AM74" ca="1">IFERROR(($AM$2*INDEX(Indicators,MATCH($A74,INDEX(Indicators,0,4),0),MATCH($AK$2,INDEX(Indicators,1,0),0)))+($AM$3*INDEX(Indicators,MATCH($A74,INDEX(Indicators,0,4),0),MATCH($AK$3,INDEX(Indicators,1,0),0)))+(INDEX(Electricity_projection,MATCH(AL74&amp;AK74,INDEX(Electricity_projection,0,3),0),MATCH(YEAR(TODAY()),Timeline_elec_projec,0)+3)*$AM$4), 0)</f>
        <v>7.9386410734767041E-6</v>
      </c>
      <c r="AN74" cm="1">
        <f t="array" aca="1" ref="AN74" ca="1">IFERROR(($AN$2*INDEX(Indicators,MATCH($A74,INDEX(Indicators,0,4),0),MATCH($AK$2,INDEX(Indicators,1,0),0)))+($AN$3*INDEX(Indicators,MATCH($A74,INDEX(Indicators,0,4),0),MATCH($AK$3,INDEX(Indicators,1,0),0)))+(INDEX(Electricity_projection,MATCH(AL74&amp;AK74,INDEX(Electricity_projection,0,3),0),MATCH(YEAR(TODAY()),Timeline_elec_projec,0)+3)*$AN$4), 0)</f>
        <v>7.0452814178232601E-6</v>
      </c>
      <c r="AO74" cm="1">
        <f t="array" aca="1" ref="AO74" ca="1">IFERROR(($AO$2*INDEX(Indicators,MATCH($A74,INDEX(Indicators,0,4),0),MATCH($AK$2,INDEX(Indicators,1,0),0)))+($AO$3*INDEX(Indicators,MATCH($A74,INDEX(Indicators,0,4),0),MATCH($AK$3,INDEX(Indicators,1,0),0)))+(INDEX(Electricity_projection,MATCH(AL74&amp;AK74,INDEX(Electricity_projection,0,3),0),MATCH(YEAR(TODAY()),Timeline_elec_projec,0)+3)*$AO$4), 0)</f>
        <v>2.952711709045114E-6</v>
      </c>
      <c r="AP74" cm="1">
        <f t="array" aca="1" ref="AP74" ca="1">IFERROR(($AP$2*INDEX(Indicators,MATCH($A74,INDEX(Indicators,0,4),0),MATCH($AK$2,INDEX(Indicators,1,0),0)))+($AP$3*INDEX(Indicators,MATCH($A74,INDEX(Indicators,0,4),0),MATCH($AK$3,INDEX(Indicators,1,0),0)))+(INDEX(Electricity_projection,MATCH(AL74&amp;AK74,INDEX(Electricity_projection,0,3),0),MATCH(YEAR(TODAY()),Timeline_elec_projec,0)+3)*$AP$4), 0)</f>
        <v>2.5940218758451139E-6</v>
      </c>
      <c r="AQ74">
        <f ca="1"/>
        <v>7.9386410734767041E-6</v>
      </c>
    </row>
    <row r="75" spans="1:43" x14ac:dyDescent="0.35">
      <c r="A75" t="str" cm="1">
        <f t="array" ref="A75">INDEX(Indicators,ROW()-9,4)</f>
        <v>A1ConsequentialCFU</v>
      </c>
      <c r="B75" s="540" cm="1">
        <f t="array" aca="1" ref="B75:I75" ca="1">INDEX(Indicators,ROW()-9,MATCH(Handle_Wearing_Course,Materials!$1:$1,0))</f>
        <v>0</v>
      </c>
      <c r="C75" s="1">
        <f ca="1"/>
        <v>0</v>
      </c>
      <c r="D75" s="1">
        <f ca="1"/>
        <v>0</v>
      </c>
      <c r="E75" s="1">
        <f ca="1"/>
        <v>0</v>
      </c>
      <c r="F75" s="1">
        <f ca="1"/>
        <v>0</v>
      </c>
      <c r="G75" s="1">
        <f ca="1"/>
        <v>0</v>
      </c>
      <c r="H75" s="1">
        <f ca="1"/>
        <v>0</v>
      </c>
      <c r="I75" s="212">
        <f ca="1"/>
        <v>0</v>
      </c>
      <c r="J75" s="1">
        <v>0</v>
      </c>
      <c r="K75" s="1">
        <v>0</v>
      </c>
      <c r="L75" s="1">
        <v>0</v>
      </c>
      <c r="O75" s="1">
        <f ca="1">SUMPRODUCT(B75:L75,$B$2:$L$2)+INDEX(Indicators,MATCH(A75,Materials!$D:$D),MATCH("Truck (32+t)",Materials!$1:$1,0))*'Data Entry'!$C$64</f>
        <v>0</v>
      </c>
      <c r="P75" s="1">
        <f ca="1">SUMPRODUCT(B75:L75,$B$3:$L$3)+INDEX(Indicators,MATCH(A75,Materials!$D:$D),MATCH("Truck (32+t)",Materials!$1:$1,0))*'Data Entry'!$C$72</f>
        <v>0</v>
      </c>
      <c r="Q75" s="1">
        <f ca="1">SUMPRODUCT(B75:L75,$B$4:$L$4)+INDEX(Indicators,MATCH(A75,Materials!$D:$D),MATCH("Truck (32+t)",Materials!$1:$1,0))*'Data Entry'!$C$66+$AQ$16</f>
        <v>1.2286007609406925E-4</v>
      </c>
      <c r="R75" s="1">
        <f ca="1">SUMPRODUCT(B75:L75,$B$5:$L$5)+INDEX(Indicators,MATCH(A75,Materials!$D:$D),MATCH("Truck (32+t)",Materials!$1:$1,0))*'Data Entry'!$C$68+$AQ$16</f>
        <v>1.2286007609406925E-4</v>
      </c>
      <c r="S75" s="1">
        <f ca="1">SUMPRODUCT(B75:L75,$B$6:$L$6)+INDEX(Indicators,MATCH(A75,Materials!$D:$D),MATCH("Truck (32+t)",Materials!$1:$1,0))*'Data Entry'!$C$70+$AQ$16</f>
        <v>1.2286007609406925E-4</v>
      </c>
      <c r="T75" s="1">
        <f ca="1">SUMPRODUCT(B75:L75,$B$7:$L$7)+INDEX(Indicators,MATCH(A75,Materials!$D:$D),MATCH("Truck (32+t)",Materials!$1:$1,0))*'Data Entry'!$C$68+$AQ$16</f>
        <v>1.2286007609406925E-4</v>
      </c>
      <c r="U75" s="1">
        <f ca="1">SUMPRODUCT(B75:L75,$B$8:$L$8)+INDEX(Indicators,MATCH(A75,Materials!$D:$D),MATCH("Truck (32+t)",Materials!$1:$1,0))*'Data Entry'!$C$69+$AQ$16</f>
        <v>1.2286007609406925E-4</v>
      </c>
      <c r="V75" s="1">
        <f ca="1">SUMPRODUCT(B75:L75,$B$9:$L$9)+INDEX(Indicators,MATCH(A75,Materials!$D:$D),MATCH("Truck (32+t)",Materials!$1:$1,0))*'Data Entry'!$C$71</f>
        <v>0</v>
      </c>
      <c r="W75" s="1">
        <f ca="1">SUMPRODUCT(B75:L75,$B$10:$L$10)+INDEX(Indicators,MATCH(A75,Materials!$D:$D),MATCH("Truck (32+t)",Materials!$1:$1,0))*'Data Entry'!$C$72</f>
        <v>0</v>
      </c>
      <c r="Z75">
        <v>0</v>
      </c>
      <c r="AA75">
        <v>0</v>
      </c>
      <c r="AB75">
        <v>0</v>
      </c>
      <c r="AC75" s="209">
        <v>0</v>
      </c>
      <c r="AD75" s="209"/>
      <c r="AF75" cm="1">
        <f t="array" ref="AF75">SUMPRODUCT($AF$2:$AF$5, TRANSPOSE($Z75:$AC75))</f>
        <v>0</v>
      </c>
      <c r="AG75" cm="1">
        <f t="array" ref="AG75">SUMPRODUCT($AG$2:$AG$5, TRANSPOSE($Z75:$AC75))</f>
        <v>0</v>
      </c>
      <c r="AH75" cm="1">
        <f t="array" ref="AH75">SUMPRODUCT($AH$2:$AH$5, TRANSPOSE($Z75:$AC75))</f>
        <v>0</v>
      </c>
      <c r="AK75" t="s">
        <v>497</v>
      </c>
      <c r="AL75" t="s">
        <v>485</v>
      </c>
      <c r="AM75" cm="1">
        <f t="array" aca="1" ref="AM75" ca="1">IFERROR(($AM$2*INDEX(Indicators,MATCH($A75,INDEX(Indicators,0,4),0),MATCH($AK$2,INDEX(Indicators,1,0),0)))+($AM$3*INDEX(Indicators,MATCH($A75,INDEX(Indicators,0,4),0),MATCH($AK$3,INDEX(Indicators,1,0),0)))+(INDEX(Electricity_projection,MATCH(AL75&amp;AK75,INDEX(Electricity_projection,0,3),0),MATCH(YEAR(TODAY()),Timeline_elec_projec,0)+3)*$AM$4), 0)</f>
        <v>0</v>
      </c>
      <c r="AN75" cm="1">
        <f t="array" aca="1" ref="AN75" ca="1">IFERROR(($AN$2*INDEX(Indicators,MATCH($A75,INDEX(Indicators,0,4),0),MATCH($AK$2,INDEX(Indicators,1,0),0)))+($AN$3*INDEX(Indicators,MATCH($A75,INDEX(Indicators,0,4),0),MATCH($AK$3,INDEX(Indicators,1,0),0)))+(INDEX(Electricity_projection,MATCH(AL75&amp;AK75,INDEX(Electricity_projection,0,3),0),MATCH(YEAR(TODAY()),Timeline_elec_projec,0)+3)*$AN$4), 0)</f>
        <v>0</v>
      </c>
      <c r="AO75" cm="1">
        <f t="array" aca="1" ref="AO75" ca="1">IFERROR(($AO$2*INDEX(Indicators,MATCH($A75,INDEX(Indicators,0,4),0),MATCH($AK$2,INDEX(Indicators,1,0),0)))+($AO$3*INDEX(Indicators,MATCH($A75,INDEX(Indicators,0,4),0),MATCH($AK$3,INDEX(Indicators,1,0),0)))+(INDEX(Electricity_projection,MATCH(AL75&amp;AK75,INDEX(Electricity_projection,0,3),0),MATCH(YEAR(TODAY()),Timeline_elec_projec,0)+3)*$AO$4), 0)</f>
        <v>0</v>
      </c>
      <c r="AP75" cm="1">
        <f t="array" aca="1" ref="AP75" ca="1">IFERROR(($AP$2*INDEX(Indicators,MATCH($A75,INDEX(Indicators,0,4),0),MATCH($AK$2,INDEX(Indicators,1,0),0)))+($AP$3*INDEX(Indicators,MATCH($A75,INDEX(Indicators,0,4),0),MATCH($AK$3,INDEX(Indicators,1,0),0)))+(INDEX(Electricity_projection,MATCH(AL75&amp;AK75,INDEX(Electricity_projection,0,3),0),MATCH(YEAR(TODAY()),Timeline_elec_projec,0)+3)*$AP$4), 0)</f>
        <v>0</v>
      </c>
      <c r="AQ75">
        <f ca="1"/>
        <v>0</v>
      </c>
    </row>
    <row r="76" spans="1:43" x14ac:dyDescent="0.35">
      <c r="A76" t="str" cm="1">
        <f t="array" ref="A76">INDEX(Indicators,ROW()-9,4)</f>
        <v>A1ConsequentialEE</v>
      </c>
      <c r="B76" s="540" cm="1">
        <f t="array" aca="1" ref="B76:I76" ca="1">INDEX(Indicators,ROW()-9,MATCH(Handle_Wearing_Course,Materials!$1:$1,0))</f>
        <v>0</v>
      </c>
      <c r="C76" s="1">
        <f ca="1"/>
        <v>0</v>
      </c>
      <c r="D76" s="1">
        <f ca="1"/>
        <v>0</v>
      </c>
      <c r="E76" s="1">
        <f ca="1"/>
        <v>0</v>
      </c>
      <c r="F76" s="1">
        <f ca="1"/>
        <v>0.30099999999999999</v>
      </c>
      <c r="G76" s="1">
        <f ca="1"/>
        <v>0</v>
      </c>
      <c r="H76" s="1">
        <f ca="1"/>
        <v>0</v>
      </c>
      <c r="I76" s="212">
        <f ca="1"/>
        <v>0</v>
      </c>
      <c r="J76" s="1">
        <v>0</v>
      </c>
      <c r="K76" s="1">
        <v>0</v>
      </c>
      <c r="L76" s="1">
        <v>0</v>
      </c>
      <c r="O76" s="1">
        <f ca="1">SUMPRODUCT(B76:L76,$B$2:$L$2)+INDEX(Indicators,MATCH(A76,Materials!$D:$D),MATCH("Truck (32+t)",Materials!$1:$1,0))*'Data Entry'!$C$64</f>
        <v>0</v>
      </c>
      <c r="P76" s="1">
        <f ca="1">SUMPRODUCT(B76:L76,$B$3:$L$3)+INDEX(Indicators,MATCH(A76,Materials!$D:$D),MATCH("Truck (32+t)",Materials!$1:$1,0))*'Data Entry'!$C$72</f>
        <v>0</v>
      </c>
      <c r="Q76" s="1">
        <f ca="1">SUMPRODUCT(B76:L76,$B$4:$L$4)+INDEX(Indicators,MATCH(A76,Materials!$D:$D),MATCH("Truck (32+t)",Materials!$1:$1,0))*'Data Entry'!$C$66+$AQ$16</f>
        <v>1.2286007609406925E-4</v>
      </c>
      <c r="R76" s="1">
        <f ca="1">SUMPRODUCT(B76:L76,$B$5:$L$5)+INDEX(Indicators,MATCH(A76,Materials!$D:$D),MATCH("Truck (32+t)",Materials!$1:$1,0))*'Data Entry'!$C$68+$AQ$16</f>
        <v>1.2286007609406925E-4</v>
      </c>
      <c r="S76" s="1">
        <f ca="1">SUMPRODUCT(B76:L76,$B$6:$L$6)+INDEX(Indicators,MATCH(A76,Materials!$D:$D),MATCH("Truck (32+t)",Materials!$1:$1,0))*'Data Entry'!$C$70+$AQ$16</f>
        <v>1.2286007609406925E-4</v>
      </c>
      <c r="T76" s="1">
        <f ca="1">SUMPRODUCT(B76:L76,$B$7:$L$7)+INDEX(Indicators,MATCH(A76,Materials!$D:$D),MATCH("Truck (32+t)",Materials!$1:$1,0))*'Data Entry'!$C$68+$AQ$16</f>
        <v>1.2286007609406925E-4</v>
      </c>
      <c r="U76" s="1">
        <f ca="1">SUMPRODUCT(B76:L76,$B$8:$L$8)+INDEX(Indicators,MATCH(A76,Materials!$D:$D),MATCH("Truck (32+t)",Materials!$1:$1,0))*'Data Entry'!$C$69+$AQ$16</f>
        <v>1.2286007609406925E-4</v>
      </c>
      <c r="V76" s="1">
        <f ca="1">SUMPRODUCT(B76:L76,$B$9:$L$9)+INDEX(Indicators,MATCH(A76,Materials!$D:$D),MATCH("Truck (32+t)",Materials!$1:$1,0))*'Data Entry'!$C$71</f>
        <v>3.6119999999999999E-2</v>
      </c>
      <c r="W76" s="1">
        <f ca="1">SUMPRODUCT(B76:L76,$B$10:$L$10)+INDEX(Indicators,MATCH(A76,Materials!$D:$D),MATCH("Truck (32+t)",Materials!$1:$1,0))*'Data Entry'!$C$72</f>
        <v>0.20167000000000002</v>
      </c>
      <c r="Z76">
        <v>0</v>
      </c>
      <c r="AA76">
        <v>0</v>
      </c>
      <c r="AB76">
        <v>0</v>
      </c>
      <c r="AC76" s="209">
        <v>0</v>
      </c>
      <c r="AD76" s="209"/>
      <c r="AF76" cm="1">
        <f t="array" ref="AF76">SUMPRODUCT($AF$2:$AF$5, TRANSPOSE($Z76:$AC76))</f>
        <v>0</v>
      </c>
      <c r="AG76" cm="1">
        <f t="array" ref="AG76">SUMPRODUCT($AG$2:$AG$5, TRANSPOSE($Z76:$AC76))</f>
        <v>0</v>
      </c>
      <c r="AH76" cm="1">
        <f t="array" ref="AH76">SUMPRODUCT($AH$2:$AH$5, TRANSPOSE($Z76:$AC76))</f>
        <v>0</v>
      </c>
      <c r="AK76" t="s">
        <v>499</v>
      </c>
      <c r="AL76" t="s">
        <v>485</v>
      </c>
      <c r="AM76" cm="1">
        <f t="array" aca="1" ref="AM76" ca="1">IFERROR(($AM$2*INDEX(Indicators,MATCH($A76,INDEX(Indicators,0,4),0),MATCH($AK$2,INDEX(Indicators,1,0),0)))+($AM$3*INDEX(Indicators,MATCH($A76,INDEX(Indicators,0,4),0),MATCH($AK$3,INDEX(Indicators,1,0),0)))+(INDEX(Electricity_projection,MATCH(AL76&amp;AK76,INDEX(Electricity_projection,0,3),0),MATCH(YEAR(TODAY()),Timeline_elec_projec,0)+3)*$AM$4), 0)</f>
        <v>0</v>
      </c>
      <c r="AN76" cm="1">
        <f t="array" aca="1" ref="AN76" ca="1">IFERROR(($AN$2*INDEX(Indicators,MATCH($A76,INDEX(Indicators,0,4),0),MATCH($AK$2,INDEX(Indicators,1,0),0)))+($AN$3*INDEX(Indicators,MATCH($A76,INDEX(Indicators,0,4),0),MATCH($AK$3,INDEX(Indicators,1,0),0)))+(INDEX(Electricity_projection,MATCH(AL76&amp;AK76,INDEX(Electricity_projection,0,3),0),MATCH(YEAR(TODAY()),Timeline_elec_projec,0)+3)*$AN$4), 0)</f>
        <v>0</v>
      </c>
      <c r="AO76" cm="1">
        <f t="array" aca="1" ref="AO76" ca="1">IFERROR(($AO$2*INDEX(Indicators,MATCH($A76,INDEX(Indicators,0,4),0),MATCH($AK$2,INDEX(Indicators,1,0),0)))+($AO$3*INDEX(Indicators,MATCH($A76,INDEX(Indicators,0,4),0),MATCH($AK$3,INDEX(Indicators,1,0),0)))+(INDEX(Electricity_projection,MATCH(AL76&amp;AK76,INDEX(Electricity_projection,0,3),0),MATCH(YEAR(TODAY()),Timeline_elec_projec,0)+3)*$AO$4), 0)</f>
        <v>0</v>
      </c>
      <c r="AP76" cm="1">
        <f t="array" aca="1" ref="AP76" ca="1">IFERROR(($AP$2*INDEX(Indicators,MATCH($A76,INDEX(Indicators,0,4),0),MATCH($AK$2,INDEX(Indicators,1,0),0)))+($AP$3*INDEX(Indicators,MATCH($A76,INDEX(Indicators,0,4),0),MATCH($AK$3,INDEX(Indicators,1,0),0)))+(INDEX(Electricity_projection,MATCH(AL76&amp;AK76,INDEX(Electricity_projection,0,3),0),MATCH(YEAR(TODAY()),Timeline_elec_projec,0)+3)*$AP$4), 0)</f>
        <v>0</v>
      </c>
      <c r="AQ76">
        <f ca="1"/>
        <v>0</v>
      </c>
    </row>
    <row r="77" spans="1:43" x14ac:dyDescent="0.35">
      <c r="A77" t="str" cm="1">
        <f t="array" ref="A77">INDEX(Indicators,ROW()-9,4)</f>
        <v>A1ConsequentialMER</v>
      </c>
      <c r="B77" s="540" cm="1">
        <f t="array" aca="1" ref="B77:I77" ca="1">INDEX(Indicators,ROW()-9,MATCH(Handle_Wearing_Course,Materials!$1:$1,0))</f>
        <v>0</v>
      </c>
      <c r="C77" s="1">
        <f ca="1"/>
        <v>0</v>
      </c>
      <c r="D77" s="1">
        <f ca="1"/>
        <v>0</v>
      </c>
      <c r="E77" s="1">
        <f ca="1"/>
        <v>0</v>
      </c>
      <c r="F77" s="1">
        <f ca="1"/>
        <v>0</v>
      </c>
      <c r="G77" s="1">
        <f ca="1"/>
        <v>0</v>
      </c>
      <c r="H77" s="1">
        <f ca="1"/>
        <v>0</v>
      </c>
      <c r="I77" s="212">
        <f ca="1"/>
        <v>0</v>
      </c>
      <c r="J77" s="1">
        <v>0</v>
      </c>
      <c r="K77" s="1">
        <v>0</v>
      </c>
      <c r="L77" s="1">
        <v>0</v>
      </c>
      <c r="O77" s="1">
        <f ca="1">SUMPRODUCT(B77:L77,$B$2:$L$2)+INDEX(Indicators,MATCH(A77,Materials!$D:$D),MATCH("Truck (32+t)",Materials!$1:$1,0))*'Data Entry'!$C$64</f>
        <v>0</v>
      </c>
      <c r="P77" s="1">
        <f ca="1">SUMPRODUCT(B77:L77,$B$3:$L$3)+INDEX(Indicators,MATCH(A77,Materials!$D:$D),MATCH("Truck (32+t)",Materials!$1:$1,0))*'Data Entry'!$C$72</f>
        <v>0</v>
      </c>
      <c r="Q77" s="1">
        <f ca="1">SUMPRODUCT(B77:L77,$B$4:$L$4)+INDEX(Indicators,MATCH(A77,Materials!$D:$D),MATCH("Truck (32+t)",Materials!$1:$1,0))*'Data Entry'!$C$66+$AQ$16</f>
        <v>1.2286007609406925E-4</v>
      </c>
      <c r="R77" s="1">
        <f ca="1">SUMPRODUCT(B77:L77,$B$5:$L$5)+INDEX(Indicators,MATCH(A77,Materials!$D:$D),MATCH("Truck (32+t)",Materials!$1:$1,0))*'Data Entry'!$C$68+$AQ$16</f>
        <v>1.2286007609406925E-4</v>
      </c>
      <c r="S77" s="1">
        <f ca="1">SUMPRODUCT(B77:L77,$B$6:$L$6)+INDEX(Indicators,MATCH(A77,Materials!$D:$D),MATCH("Truck (32+t)",Materials!$1:$1,0))*'Data Entry'!$C$70+$AQ$16</f>
        <v>1.2286007609406925E-4</v>
      </c>
      <c r="T77" s="1">
        <f ca="1">SUMPRODUCT(B77:L77,$B$7:$L$7)+INDEX(Indicators,MATCH(A77,Materials!$D:$D),MATCH("Truck (32+t)",Materials!$1:$1,0))*'Data Entry'!$C$68+$AQ$16</f>
        <v>1.2286007609406925E-4</v>
      </c>
      <c r="U77" s="1">
        <f ca="1">SUMPRODUCT(B77:L77,$B$8:$L$8)+INDEX(Indicators,MATCH(A77,Materials!$D:$D),MATCH("Truck (32+t)",Materials!$1:$1,0))*'Data Entry'!$C$69+$AQ$16</f>
        <v>1.2286007609406925E-4</v>
      </c>
      <c r="V77" s="1">
        <f ca="1">SUMPRODUCT(B77:L77,$B$9:$L$9)+INDEX(Indicators,MATCH(A77,Materials!$D:$D),MATCH("Truck (32+t)",Materials!$1:$1,0))*'Data Entry'!$C$71</f>
        <v>0</v>
      </c>
      <c r="W77" s="1">
        <f ca="1">SUMPRODUCT(B77:L77,$B$10:$L$10)+INDEX(Indicators,MATCH(A77,Materials!$D:$D),MATCH("Truck (32+t)",Materials!$1:$1,0))*'Data Entry'!$C$72</f>
        <v>0</v>
      </c>
      <c r="Z77">
        <v>0</v>
      </c>
      <c r="AA77">
        <v>0</v>
      </c>
      <c r="AB77">
        <v>0</v>
      </c>
      <c r="AC77" s="209">
        <v>0</v>
      </c>
      <c r="AD77" s="209"/>
      <c r="AF77" cm="1">
        <f t="array" ref="AF77">SUMPRODUCT($AF$2:$AF$5, TRANSPOSE($Z77:$AC77))</f>
        <v>0</v>
      </c>
      <c r="AG77" cm="1">
        <f t="array" ref="AG77">SUMPRODUCT($AG$2:$AG$5, TRANSPOSE($Z77:$AC77))</f>
        <v>0</v>
      </c>
      <c r="AH77" cm="1">
        <f t="array" ref="AH77">SUMPRODUCT($AH$2:$AH$5, TRANSPOSE($Z77:$AC77))</f>
        <v>0</v>
      </c>
      <c r="AK77" t="s">
        <v>501</v>
      </c>
      <c r="AL77" t="s">
        <v>485</v>
      </c>
      <c r="AM77" cm="1">
        <f t="array" aca="1" ref="AM77" ca="1">IFERROR(($AM$2*INDEX(Indicators,MATCH($A77,INDEX(Indicators,0,4),0),MATCH($AK$2,INDEX(Indicators,1,0),0)))+($AM$3*INDEX(Indicators,MATCH($A77,INDEX(Indicators,0,4),0),MATCH($AK$3,INDEX(Indicators,1,0),0)))+(INDEX(Electricity_projection,MATCH(AL77&amp;AK77,INDEX(Electricity_projection,0,3),0),MATCH(YEAR(TODAY()),Timeline_elec_projec,0)+3)*$AM$4), 0)</f>
        <v>0</v>
      </c>
      <c r="AN77" cm="1">
        <f t="array" aca="1" ref="AN77" ca="1">IFERROR(($AN$2*INDEX(Indicators,MATCH($A77,INDEX(Indicators,0,4),0),MATCH($AK$2,INDEX(Indicators,1,0),0)))+($AN$3*INDEX(Indicators,MATCH($A77,INDEX(Indicators,0,4),0),MATCH($AK$3,INDEX(Indicators,1,0),0)))+(INDEX(Electricity_projection,MATCH(AL77&amp;AK77,INDEX(Electricity_projection,0,3),0),MATCH(YEAR(TODAY()),Timeline_elec_projec,0)+3)*$AN$4), 0)</f>
        <v>0</v>
      </c>
      <c r="AO77" cm="1">
        <f t="array" aca="1" ref="AO77" ca="1">IFERROR(($AO$2*INDEX(Indicators,MATCH($A77,INDEX(Indicators,0,4),0),MATCH($AK$2,INDEX(Indicators,1,0),0)))+($AO$3*INDEX(Indicators,MATCH($A77,INDEX(Indicators,0,4),0),MATCH($AK$3,INDEX(Indicators,1,0),0)))+(INDEX(Electricity_projection,MATCH(AL77&amp;AK77,INDEX(Electricity_projection,0,3),0),MATCH(YEAR(TODAY()),Timeline_elec_projec,0)+3)*$AO$4), 0)</f>
        <v>0</v>
      </c>
      <c r="AP77" cm="1">
        <f t="array" aca="1" ref="AP77" ca="1">IFERROR(($AP$2*INDEX(Indicators,MATCH($A77,INDEX(Indicators,0,4),0),MATCH($AK$2,INDEX(Indicators,1,0),0)))+($AP$3*INDEX(Indicators,MATCH($A77,INDEX(Indicators,0,4),0),MATCH($AK$3,INDEX(Indicators,1,0),0)))+(INDEX(Electricity_projection,MATCH(AL77&amp;AK77,INDEX(Electricity_projection,0,3),0),MATCH(YEAR(TODAY()),Timeline_elec_projec,0)+3)*$AP$4), 0)</f>
        <v>0</v>
      </c>
      <c r="AQ77">
        <f ca="1"/>
        <v>0</v>
      </c>
    </row>
    <row r="78" spans="1:43" x14ac:dyDescent="0.35">
      <c r="A78" t="str" cm="1">
        <f t="array" ref="A78">INDEX(Indicators,ROW()-9,4)</f>
        <v>A1ConsequentialMFR</v>
      </c>
      <c r="B78" s="540" cm="1">
        <f t="array" aca="1" ref="B78:I78" ca="1">INDEX(Indicators,ROW()-9,MATCH(Handle_Wearing_Course,Materials!$1:$1,0))</f>
        <v>0</v>
      </c>
      <c r="C78" s="1">
        <f ca="1"/>
        <v>0</v>
      </c>
      <c r="D78" s="1">
        <f ca="1"/>
        <v>0</v>
      </c>
      <c r="E78" s="1">
        <f ca="1"/>
        <v>0</v>
      </c>
      <c r="F78" s="1">
        <f ca="1"/>
        <v>0</v>
      </c>
      <c r="G78" s="1">
        <f ca="1"/>
        <v>0</v>
      </c>
      <c r="H78" s="1">
        <f ca="1"/>
        <v>0</v>
      </c>
      <c r="I78" s="212">
        <f ca="1"/>
        <v>0</v>
      </c>
      <c r="J78" s="1">
        <v>0</v>
      </c>
      <c r="K78" s="1">
        <v>0</v>
      </c>
      <c r="L78" s="1">
        <v>0</v>
      </c>
      <c r="O78" s="1">
        <f ca="1">SUMPRODUCT(B78:L78,$B$2:$L$2)+INDEX(Indicators,MATCH(A78,Materials!$D:$D),MATCH("Truck (32+t)",Materials!$1:$1,0))*'Data Entry'!$C$64</f>
        <v>0</v>
      </c>
      <c r="P78" s="1">
        <f ca="1">SUMPRODUCT(B78:L78,$B$3:$L$3)+INDEX(Indicators,MATCH(A78,Materials!$D:$D),MATCH("Truck (32+t)",Materials!$1:$1,0))*'Data Entry'!$C$72</f>
        <v>0</v>
      </c>
      <c r="Q78" s="1">
        <f ca="1">SUMPRODUCT(B78:L78,$B$4:$L$4)+INDEX(Indicators,MATCH(A78,Materials!$D:$D),MATCH("Truck (32+t)",Materials!$1:$1,0))*'Data Entry'!$C$66+$AQ$16</f>
        <v>1.2286007609406925E-4</v>
      </c>
      <c r="R78" s="1">
        <f ca="1">SUMPRODUCT(B78:L78,$B$5:$L$5)+INDEX(Indicators,MATCH(A78,Materials!$D:$D),MATCH("Truck (32+t)",Materials!$1:$1,0))*'Data Entry'!$C$68+$AQ$16</f>
        <v>1.2286007609406925E-4</v>
      </c>
      <c r="S78" s="1">
        <f ca="1">SUMPRODUCT(B78:L78,$B$6:$L$6)+INDEX(Indicators,MATCH(A78,Materials!$D:$D),MATCH("Truck (32+t)",Materials!$1:$1,0))*'Data Entry'!$C$70+$AQ$16</f>
        <v>1.2286007609406925E-4</v>
      </c>
      <c r="T78" s="1">
        <f ca="1">SUMPRODUCT(B78:L78,$B$7:$L$7)+INDEX(Indicators,MATCH(A78,Materials!$D:$D),MATCH("Truck (32+t)",Materials!$1:$1,0))*'Data Entry'!$C$68+$AQ$16</f>
        <v>1.2286007609406925E-4</v>
      </c>
      <c r="U78" s="1">
        <f ca="1">SUMPRODUCT(B78:L78,$B$8:$L$8)+INDEX(Indicators,MATCH(A78,Materials!$D:$D),MATCH("Truck (32+t)",Materials!$1:$1,0))*'Data Entry'!$C$69+$AQ$16</f>
        <v>1.2286007609406925E-4</v>
      </c>
      <c r="V78" s="1">
        <f ca="1">SUMPRODUCT(B78:L78,$B$9:$L$9)+INDEX(Indicators,MATCH(A78,Materials!$D:$D),MATCH("Truck (32+t)",Materials!$1:$1,0))*'Data Entry'!$C$71</f>
        <v>0</v>
      </c>
      <c r="W78" s="1">
        <f ca="1">SUMPRODUCT(B78:L78,$B$10:$L$10)+INDEX(Indicators,MATCH(A78,Materials!$D:$D),MATCH("Truck (32+t)",Materials!$1:$1,0))*'Data Entry'!$C$72</f>
        <v>0</v>
      </c>
      <c r="Z78">
        <v>0</v>
      </c>
      <c r="AA78">
        <v>0</v>
      </c>
      <c r="AB78">
        <v>0</v>
      </c>
      <c r="AC78" s="209">
        <v>0</v>
      </c>
      <c r="AD78" s="209"/>
      <c r="AF78" cm="1">
        <f t="array" ref="AF78">SUMPRODUCT($AF$2:$AF$5, TRANSPOSE($Z78:$AC78))</f>
        <v>0</v>
      </c>
      <c r="AG78" cm="1">
        <f t="array" ref="AG78">SUMPRODUCT($AG$2:$AG$5, TRANSPOSE($Z78:$AC78))</f>
        <v>0</v>
      </c>
      <c r="AH78" cm="1">
        <f t="array" ref="AH78">SUMPRODUCT($AH$2:$AH$5, TRANSPOSE($Z78:$AC78))</f>
        <v>0</v>
      </c>
      <c r="AK78" t="s">
        <v>503</v>
      </c>
      <c r="AL78" t="s">
        <v>485</v>
      </c>
      <c r="AM78" cm="1">
        <f t="array" aca="1" ref="AM78" ca="1">IFERROR(($AM$2*INDEX(Indicators,MATCH($A78,INDEX(Indicators,0,4),0),MATCH($AK$2,INDEX(Indicators,1,0),0)))+($AM$3*INDEX(Indicators,MATCH($A78,INDEX(Indicators,0,4),0),MATCH($AK$3,INDEX(Indicators,1,0),0)))+(INDEX(Electricity_projection,MATCH(AL78&amp;AK78,INDEX(Electricity_projection,0,3),0),MATCH(YEAR(TODAY()),Timeline_elec_projec,0)+3)*$AM$4), 0)</f>
        <v>0</v>
      </c>
      <c r="AN78" cm="1">
        <f t="array" aca="1" ref="AN78" ca="1">IFERROR(($AN$2*INDEX(Indicators,MATCH($A78,INDEX(Indicators,0,4),0),MATCH($AK$2,INDEX(Indicators,1,0),0)))+($AN$3*INDEX(Indicators,MATCH($A78,INDEX(Indicators,0,4),0),MATCH($AK$3,INDEX(Indicators,1,0),0)))+(INDEX(Electricity_projection,MATCH(AL78&amp;AK78,INDEX(Electricity_projection,0,3),0),MATCH(YEAR(TODAY()),Timeline_elec_projec,0)+3)*$AN$4), 0)</f>
        <v>0</v>
      </c>
      <c r="AO78" cm="1">
        <f t="array" aca="1" ref="AO78" ca="1">IFERROR(($AO$2*INDEX(Indicators,MATCH($A78,INDEX(Indicators,0,4),0),MATCH($AK$2,INDEX(Indicators,1,0),0)))+($AO$3*INDEX(Indicators,MATCH($A78,INDEX(Indicators,0,4),0),MATCH($AK$3,INDEX(Indicators,1,0),0)))+(INDEX(Electricity_projection,MATCH(AL78&amp;AK78,INDEX(Electricity_projection,0,3),0),MATCH(YEAR(TODAY()),Timeline_elec_projec,0)+3)*$AO$4), 0)</f>
        <v>0</v>
      </c>
      <c r="AP78" cm="1">
        <f t="array" aca="1" ref="AP78" ca="1">IFERROR(($AP$2*INDEX(Indicators,MATCH($A78,INDEX(Indicators,0,4),0),MATCH($AK$2,INDEX(Indicators,1,0),0)))+($AP$3*INDEX(Indicators,MATCH($A78,INDEX(Indicators,0,4),0),MATCH($AK$3,INDEX(Indicators,1,0),0)))+(INDEX(Electricity_projection,MATCH(AL78&amp;AK78,INDEX(Electricity_projection,0,3),0),MATCH(YEAR(TODAY()),Timeline_elec_projec,0)+3)*$AP$4), 0)</f>
        <v>0</v>
      </c>
      <c r="AQ78">
        <f ca="1"/>
        <v>0</v>
      </c>
    </row>
    <row r="79" spans="1:43" x14ac:dyDescent="0.35">
      <c r="A79" t="str" cm="1">
        <f t="array" ref="A79">INDEX(Indicators,ROW()-9,4)</f>
        <v>A1ConsequentialPENRT</v>
      </c>
      <c r="B79" s="540" cm="1">
        <f t="array" aca="1" ref="B79:I79" ca="1">INDEX(Indicators,ROW()-9,MATCH(Handle_Wearing_Course,Materials!$1:$1,0))</f>
        <v>5.0923898580829872E-2</v>
      </c>
      <c r="C79" s="1">
        <f ca="1"/>
        <v>3.3681207846136353E-2</v>
      </c>
      <c r="D79" s="1">
        <f ca="1"/>
        <v>3.1994119036583404E-2</v>
      </c>
      <c r="E79" s="1">
        <f ca="1"/>
        <v>45.509652746143075</v>
      </c>
      <c r="F79" s="1">
        <f ca="1"/>
        <v>2.76</v>
      </c>
      <c r="G79" s="1">
        <f ca="1"/>
        <v>1.3799999999999999E-3</v>
      </c>
      <c r="H79" s="1">
        <f ca="1"/>
        <v>50.2</v>
      </c>
      <c r="I79" s="212">
        <f ca="1"/>
        <v>51.461576999999998</v>
      </c>
      <c r="J79" s="1">
        <v>53.300345499999999</v>
      </c>
      <c r="K79" s="1">
        <v>51.461576999999998</v>
      </c>
      <c r="L79" s="1">
        <v>51.461576999999998</v>
      </c>
      <c r="O79" s="1">
        <f ca="1">SUMPRODUCT(B79:L79,$B$2:$L$2)+INDEX(Indicators,MATCH(A79,Materials!$D:$D),MATCH("Truck (32+t)",Materials!$1:$1,0))*'Data Entry'!$C$64</f>
        <v>2.7784476294345644</v>
      </c>
      <c r="P79" s="1">
        <f ca="1">SUMPRODUCT(B79:L79,$B$3:$L$3)+INDEX(Indicators,MATCH(A79,Materials!$D:$D),MATCH("Truck (32+t)",Materials!$1:$1,0))*'Data Entry'!$C$72</f>
        <v>3.2458891946659798</v>
      </c>
      <c r="Q79" s="1">
        <f ca="1">SUMPRODUCT(B79:L79,$B$4:$L$4)+INDEX(Indicators,MATCH(A79,Materials!$D:$D),MATCH("Truck (32+t)",Materials!$1:$1,0))*'Data Entry'!$C$66+$AQ$16</f>
        <v>3.2255858661685832</v>
      </c>
      <c r="R79" s="1">
        <f ca="1">SUMPRODUCT(B79:L79,$B$5:$L$5)+INDEX(Indicators,MATCH(A79,Materials!$D:$D),MATCH("Truck (32+t)",Materials!$1:$1,0))*'Data Entry'!$C$68+$AQ$16</f>
        <v>3.3297445406110793</v>
      </c>
      <c r="S79" s="1">
        <f ca="1">SUMPRODUCT(B79:L79,$B$6:$L$6)+INDEX(Indicators,MATCH(A79,Materials!$D:$D),MATCH("Truck (32+t)",Materials!$1:$1,0))*'Data Entry'!$C$70+$AQ$16</f>
        <v>2.7785704895106584</v>
      </c>
      <c r="T79" s="1">
        <f ca="1">SUMPRODUCT(B79:L79,$B$7:$L$7)+INDEX(Indicators,MATCH(A79,Materials!$D:$D),MATCH("Truck (32+t)",Materials!$1:$1,0))*'Data Entry'!$C$68+$AQ$16</f>
        <v>2.8678493533185128</v>
      </c>
      <c r="U79" s="1">
        <f ca="1">SUMPRODUCT(B79:L79,$B$8:$L$8)+INDEX(Indicators,MATCH(A79,Materials!$D:$D),MATCH("Truck (32+t)",Materials!$1:$1,0))*'Data Entry'!$C$69+$AQ$16</f>
        <v>2.3239832010350363</v>
      </c>
      <c r="V79" s="1">
        <f ca="1">SUMPRODUCT(B79:L79,$B$9:$L$9)+INDEX(Indicators,MATCH(A79,Materials!$D:$D),MATCH("Truck (32+t)",Materials!$1:$1,0))*'Data Entry'!$C$71</f>
        <v>1.8692677730977316</v>
      </c>
      <c r="W79" s="1">
        <f ca="1">SUMPRODUCT(B79:L79,$B$10:$L$10)+INDEX(Indicators,MATCH(A79,Materials!$D:$D),MATCH("Truck (32+t)",Materials!$1:$1,0))*'Data Entry'!$C$72</f>
        <v>1.8496554000000001</v>
      </c>
      <c r="Z79">
        <v>85.343400000000003</v>
      </c>
      <c r="AA79">
        <v>34.397579999999998</v>
      </c>
      <c r="AB79">
        <v>97.945869999999999</v>
      </c>
      <c r="AC79" s="209">
        <v>47.784039999999997</v>
      </c>
      <c r="AD79" s="209"/>
      <c r="AF79" cm="1">
        <f t="array" ref="AF79">SUMPRODUCT($AF$2:$AF$5, TRANSPOSE($Z79:$AC79))</f>
        <v>53.300345499999999</v>
      </c>
      <c r="AG79" cm="1">
        <f t="array" ref="AG79">SUMPRODUCT($AG$2:$AG$5, TRANSPOSE($Z79:$AC79))</f>
        <v>51.461576999999998</v>
      </c>
      <c r="AH79" cm="1">
        <f t="array" ref="AH79">SUMPRODUCT($AH$2:$AH$5, TRANSPOSE($Z79:$AC79))</f>
        <v>51.461576999999998</v>
      </c>
      <c r="AK79" t="s">
        <v>409</v>
      </c>
      <c r="AL79" t="s">
        <v>485</v>
      </c>
      <c r="AM79" cm="1">
        <f t="array" aca="1" ref="AM79" ca="1">IFERROR(($AM$2*INDEX(Indicators,MATCH($A79,INDEX(Indicators,0,4),0),MATCH($AK$2,INDEX(Indicators,1,0),0)))+($AM$3*INDEX(Indicators,MATCH($A79,INDEX(Indicators,0,4),0),MATCH($AK$3,INDEX(Indicators,1,0),0)))+(INDEX(Electricity_projection,MATCH(AL79&amp;AK79,INDEX(Electricity_projection,0,3),0),MATCH(YEAR(TODAY()),Timeline_elec_projec,0)+3)*$AM$4), 0)</f>
        <v>0.35676657941527423</v>
      </c>
      <c r="AN79" cm="1">
        <f t="array" aca="1" ref="AN79" ca="1">IFERROR(($AN$2*INDEX(Indicators,MATCH($A79,INDEX(Indicators,0,4),0),MATCH($AK$2,INDEX(Indicators,1,0),0)))+($AN$3*INDEX(Indicators,MATCH($A79,INDEX(Indicators,0,4),0),MATCH($AK$3,INDEX(Indicators,1,0),0)))+(INDEX(Electricity_projection,MATCH(AL79&amp;AK79,INDEX(Electricity_projection,0,3),0),MATCH(YEAR(TODAY()),Timeline_elec_projec,0)+3)*$AN$4), 0)</f>
        <v>0.31578754699538225</v>
      </c>
      <c r="AO79" cm="1">
        <f t="array" aca="1" ref="AO79" ca="1">IFERROR(($AO$2*INDEX(Indicators,MATCH($A79,INDEX(Indicators,0,4),0),MATCH($AK$2,INDEX(Indicators,1,0),0)))+($AO$3*INDEX(Indicators,MATCH($A79,INDEX(Indicators,0,4),0),MATCH($AK$3,INDEX(Indicators,1,0),0)))+(INDEX(Electricity_projection,MATCH(AL79&amp;AK79,INDEX(Electricity_projection,0,3),0),MATCH(YEAR(TODAY()),Timeline_elec_projec,0)+3)*$AO$4), 0)</f>
        <v>0.41879665869994559</v>
      </c>
      <c r="AP79" cm="1">
        <f t="array" aca="1" ref="AP79" ca="1">IFERROR(($AP$2*INDEX(Indicators,MATCH($A79,INDEX(Indicators,0,4),0),MATCH($AK$2,INDEX(Indicators,1,0),0)))+($AP$3*INDEX(Indicators,MATCH($A79,INDEX(Indicators,0,4),0),MATCH($AK$3,INDEX(Indicators,1,0),0)))+(INDEX(Electricity_projection,MATCH(AL79&amp;AK79,INDEX(Electricity_projection,0,3),0),MATCH(YEAR(TODAY()),Timeline_elec_projec,0)+3)*$AP$4), 0)</f>
        <v>0.35958910709994557</v>
      </c>
      <c r="AQ79">
        <f ca="1"/>
        <v>0.35676657941527423</v>
      </c>
    </row>
    <row r="80" spans="1:43" x14ac:dyDescent="0.35">
      <c r="A80" t="str" cm="1">
        <f t="array" ref="A80">INDEX(Indicators,ROW()-9,4)</f>
        <v>A1ConsequentialPERT</v>
      </c>
      <c r="B80" s="540" cm="1">
        <f t="array" aca="1" ref="B80:I80" ca="1">INDEX(Indicators,ROW()-9,MATCH(Handle_Wearing_Course,Materials!$1:$1,0))</f>
        <v>6.1604953258609894E-3</v>
      </c>
      <c r="C80" s="1">
        <f ca="1"/>
        <v>6.5203055932529777E-3</v>
      </c>
      <c r="D80" s="1">
        <f ca="1"/>
        <v>2.4636277831766987E-2</v>
      </c>
      <c r="E80" s="1">
        <f ca="1"/>
        <v>0.2392198321047479</v>
      </c>
      <c r="F80" s="1">
        <f ca="1"/>
        <v>0.26300000000000001</v>
      </c>
      <c r="G80" s="1">
        <f ca="1"/>
        <v>1.1999999999999999E-3</v>
      </c>
      <c r="H80" s="1">
        <f ca="1"/>
        <v>5.68</v>
      </c>
      <c r="I80" s="212">
        <f ca="1"/>
        <v>-1.9529200000000002</v>
      </c>
      <c r="J80" s="1">
        <v>-2.4656849999999997</v>
      </c>
      <c r="K80" s="1">
        <v>-1.9529200000000002</v>
      </c>
      <c r="L80" s="1">
        <v>-1.9529200000000002</v>
      </c>
      <c r="O80" s="1">
        <f ca="1">SUMPRODUCT(B80:L80,$B$2:$L$2)+INDEX(Indicators,MATCH(A80,Materials!$D:$D),MATCH("Truck (32+t)",Materials!$1:$1,0))*'Data Entry'!$C$64</f>
        <v>2.0144055532594206E-2</v>
      </c>
      <c r="P80" s="1">
        <f ca="1">SUMPRODUCT(B80:L80,$B$3:$L$3)+INDEX(Indicators,MATCH(A80,Materials!$D:$D),MATCH("Truck (32+t)",Materials!$1:$1,0))*'Data Entry'!$C$72</f>
        <v>-0.14215023439369062</v>
      </c>
      <c r="Q80" s="1">
        <f ca="1">SUMPRODUCT(B80:L80,$B$4:$L$4)+INDEX(Indicators,MATCH(A80,Materials!$D:$D),MATCH("Truck (32+t)",Materials!$1:$1,0))*'Data Entry'!$C$66+$AQ$16</f>
        <v>2.9987821978839545E-2</v>
      </c>
      <c r="R80" s="1">
        <f ca="1">SUMPRODUCT(B80:L80,$B$5:$L$5)+INDEX(Indicators,MATCH(A80,Materials!$D:$D),MATCH("Truck (32+t)",Materials!$1:$1,0))*'Data Entry'!$C$68+$AQ$16</f>
        <v>-8.3746250829935549E-3</v>
      </c>
      <c r="S80" s="1">
        <f ca="1">SUMPRODUCT(B80:L80,$B$6:$L$6)+INDEX(Indicators,MATCH(A80,Materials!$D:$D),MATCH("Truck (32+t)",Materials!$1:$1,0))*'Data Entry'!$C$70+$AQ$16</f>
        <v>2.0266915608688277E-2</v>
      </c>
      <c r="T80" s="1">
        <f ca="1">SUMPRODUCT(B80:L80,$B$7:$L$7)+INDEX(Indicators,MATCH(A80,Materials!$D:$D),MATCH("Truck (32+t)",Materials!$1:$1,0))*'Data Entry'!$C$68+$AQ$16</f>
        <v>-1.2615181872882948E-2</v>
      </c>
      <c r="U80" s="1">
        <f ca="1">SUMPRODUCT(B80:L80,$B$8:$L$8)+INDEX(Indicators,MATCH(A80,Materials!$D:$D),MATCH("Truck (32+t)",Materials!$1:$1,0))*'Data Entry'!$C$69+$AQ$16</f>
        <v>1.7936322240899406E-2</v>
      </c>
      <c r="V80" s="1">
        <f ca="1">SUMPRODUCT(B80:L80,$B$9:$L$9)+INDEX(Indicators,MATCH(A80,Materials!$D:$D),MATCH("Truck (32+t)",Materials!$1:$1,0))*'Data Entry'!$C$71</f>
        <v>0.21014750322928388</v>
      </c>
      <c r="W80" s="1">
        <f ca="1">SUMPRODUCT(B80:L80,$B$10:$L$10)+INDEX(Indicators,MATCH(A80,Materials!$D:$D),MATCH("Truck (32+t)",Materials!$1:$1,0))*'Data Entry'!$C$72</f>
        <v>0.17660600000000001</v>
      </c>
      <c r="Z80">
        <v>-1.23658</v>
      </c>
      <c r="AA80">
        <v>-10.71088</v>
      </c>
      <c r="AB80">
        <v>-1.3992</v>
      </c>
      <c r="AC80" s="209">
        <v>-0.92739000000000005</v>
      </c>
      <c r="AD80" s="209"/>
      <c r="AF80" cm="1">
        <f t="array" ref="AF80">SUMPRODUCT($AF$2:$AF$5, TRANSPOSE($Z80:$AC80))</f>
        <v>-2.4656849999999997</v>
      </c>
      <c r="AG80" cm="1">
        <f t="array" ref="AG80">SUMPRODUCT($AG$2:$AG$5, TRANSPOSE($Z80:$AC80))</f>
        <v>-1.9529200000000002</v>
      </c>
      <c r="AH80" cm="1">
        <f t="array" ref="AH80">SUMPRODUCT($AH$2:$AH$5, TRANSPOSE($Z80:$AC80))</f>
        <v>-1.9529200000000002</v>
      </c>
      <c r="AK80" t="s">
        <v>411</v>
      </c>
      <c r="AL80" t="s">
        <v>485</v>
      </c>
      <c r="AM80" cm="1">
        <f t="array" aca="1" ref="AM80" ca="1">IFERROR(($AM$2*INDEX(Indicators,MATCH($A80,INDEX(Indicators,0,4),0),MATCH($AK$2,INDEX(Indicators,1,0),0)))+($AM$3*INDEX(Indicators,MATCH($A80,INDEX(Indicators,0,4),0),MATCH($AK$3,INDEX(Indicators,1,0),0)))+(INDEX(Electricity_projection,MATCH(AL80&amp;AK80,INDEX(Electricity_projection,0,3),0),MATCH(YEAR(TODAY()),Timeline_elec_projec,0)+3)*$AM$4), 0)</f>
        <v>2.571183791085202E-2</v>
      </c>
      <c r="AN80" cm="1">
        <f t="array" aca="1" ref="AN80" ca="1">IFERROR(($AN$2*INDEX(Indicators,MATCH($A80,INDEX(Indicators,0,4),0),MATCH($AK$2,INDEX(Indicators,1,0),0)))+($AN$3*INDEX(Indicators,MATCH($A80,INDEX(Indicators,0,4),0),MATCH($AK$3,INDEX(Indicators,1,0),0)))+(INDEX(Electricity_projection,MATCH(AL80&amp;AK80,INDEX(Electricity_projection,0,3),0),MATCH(YEAR(TODAY()),Timeline_elec_projec,0)+3)*$AN$4), 0)</f>
        <v>3.862126759937809E-2</v>
      </c>
      <c r="AO80" cm="1">
        <f t="array" aca="1" ref="AO80" ca="1">IFERROR(($AO$2*INDEX(Indicators,MATCH($A80,INDEX(Indicators,0,4),0),MATCH($AK$2,INDEX(Indicators,1,0),0)))+($AO$3*INDEX(Indicators,MATCH($A80,INDEX(Indicators,0,4),0),MATCH($AK$3,INDEX(Indicators,1,0),0)))+(INDEX(Electricity_projection,MATCH(AL80&amp;AK80,INDEX(Electricity_projection,0,3),0),MATCH(YEAR(TODAY()),Timeline_elec_projec,0)+3)*$AO$4), 0)</f>
        <v>2.7837977578594159E-2</v>
      </c>
      <c r="AP80" cm="1">
        <f t="array" aca="1" ref="AP80" ca="1">IFERROR(($AP$2*INDEX(Indicators,MATCH($A80,INDEX(Indicators,0,4),0),MATCH($AK$2,INDEX(Indicators,1,0),0)))+($AP$3*INDEX(Indicators,MATCH($A80,INDEX(Indicators,0,4),0),MATCH($AK$3,INDEX(Indicators,1,0),0)))+(INDEX(Electricity_projection,MATCH(AL80&amp;AK80,INDEX(Electricity_projection,0,3),0),MATCH(YEAR(TODAY()),Timeline_elec_projec,0)+3)*$AP$4), 0)</f>
        <v>2.7261301878594157E-2</v>
      </c>
      <c r="AQ80">
        <f ca="1"/>
        <v>2.571183791085202E-2</v>
      </c>
    </row>
    <row r="81" spans="1:43" x14ac:dyDescent="0.35">
      <c r="A81" t="str" cm="1">
        <f t="array" ref="A81">INDEX(Indicators,ROW()-9,4)</f>
        <v>A1ConsequentialFW</v>
      </c>
      <c r="B81" s="540" cm="1">
        <f t="array" aca="1" ref="B81:I81" ca="1">INDEX(Indicators,ROW()-9,MATCH(Handle_Wearing_Course,Materials!$1:$1,0))</f>
        <v>1.5847684616099999E-3</v>
      </c>
      <c r="C81" s="1">
        <f ca="1"/>
        <v>1.8517841244000002E-4</v>
      </c>
      <c r="D81" s="1">
        <f ca="1"/>
        <v>9.677402909999999E-5</v>
      </c>
      <c r="E81" s="1">
        <f ca="1"/>
        <v>0.26314710842749445</v>
      </c>
      <c r="F81" s="1">
        <f ca="1"/>
        <v>3.7499999999999999E-3</v>
      </c>
      <c r="G81" s="1">
        <f ca="1"/>
        <v>4.3E-3</v>
      </c>
      <c r="H81" s="1">
        <f ca="1"/>
        <v>4.2999999999999997E-2</v>
      </c>
      <c r="I81" s="212">
        <f ca="1"/>
        <v>2.291137</v>
      </c>
      <c r="J81" s="1">
        <v>3.8704804999999993</v>
      </c>
      <c r="K81" s="1">
        <v>2.291137</v>
      </c>
      <c r="L81" s="1">
        <v>2.291137</v>
      </c>
      <c r="O81" s="1">
        <f ca="1">SUMPRODUCT(B81:L81,$B$2:$L$2)+INDEX(Indicators,MATCH(A81,Materials!$D:$D),MATCH("Truck (32+t)",Materials!$1:$1,0))*'Data Entry'!$C$64</f>
        <v>1.7278508859563068E-2</v>
      </c>
      <c r="P81" s="1">
        <f ca="1">SUMPRODUCT(B81:L81,$B$3:$L$3)+INDEX(Indicators,MATCH(A81,Materials!$D:$D),MATCH("Truck (32+t)",Materials!$1:$1,0))*'Data Entry'!$C$72</f>
        <v>0.23371851235391333</v>
      </c>
      <c r="Q81" s="1">
        <f ca="1">SUMPRODUCT(B81:L81,$B$4:$L$4)+INDEX(Indicators,MATCH(A81,Materials!$D:$D),MATCH("Truck (32+t)",Materials!$1:$1,0))*'Data Entry'!$C$66+$AQ$16</f>
        <v>1.9421794562311984E-2</v>
      </c>
      <c r="R81" s="1">
        <f ca="1">SUMPRODUCT(B81:L81,$B$5:$L$5)+INDEX(Indicators,MATCH(A81,Materials!$D:$D),MATCH("Truck (32+t)",Materials!$1:$1,0))*'Data Entry'!$C$68+$AQ$16</f>
        <v>5.4911617664830832E-2</v>
      </c>
      <c r="S81" s="1">
        <f ca="1">SUMPRODUCT(B81:L81,$B$6:$L$6)+INDEX(Indicators,MATCH(A81,Materials!$D:$D),MATCH("Truck (32+t)",Materials!$1:$1,0))*'Data Entry'!$C$70+$AQ$16</f>
        <v>1.7401368935657139E-2</v>
      </c>
      <c r="T81" s="1">
        <f ca="1">SUMPRODUCT(B81:L81,$B$7:$L$7)+INDEX(Indicators,MATCH(A81,Materials!$D:$D),MATCH("Truck (32+t)",Materials!$1:$1,0))*'Data Entry'!$C$68+$AQ$16</f>
        <v>4.7821217309244719E-2</v>
      </c>
      <c r="U81" s="1">
        <f ca="1">SUMPRODUCT(B81:L81,$B$8:$L$8)+INDEX(Indicators,MATCH(A81,Materials!$D:$D),MATCH("Truck (32+t)",Materials!$1:$1,0))*'Data Entry'!$C$69+$AQ$16</f>
        <v>1.4785745535998292E-2</v>
      </c>
      <c r="V81" s="1">
        <f ca="1">SUMPRODUCT(B81:L81,$B$9:$L$9)+INDEX(Indicators,MATCH(A81,Materials!$D:$D),MATCH("Truck (32+t)",Materials!$1:$1,0))*'Data Entry'!$C$71</f>
        <v>3.1967390366249996E-3</v>
      </c>
      <c r="W81" s="1">
        <f ca="1">SUMPRODUCT(B81:L81,$B$10:$L$10)+INDEX(Indicators,MATCH(A81,Materials!$D:$D),MATCH("Truck (32+t)",Materials!$1:$1,0))*'Data Entry'!$C$72</f>
        <v>3.9315000000000001E-3</v>
      </c>
      <c r="Z81">
        <v>4.0256100000000004</v>
      </c>
      <c r="AA81">
        <v>22.870139999999999</v>
      </c>
      <c r="AB81">
        <v>6.98163</v>
      </c>
      <c r="AC81" s="209">
        <v>-0.86755000000000004</v>
      </c>
      <c r="AD81" s="209"/>
      <c r="AF81" cm="1">
        <f t="array" ref="AF81">SUMPRODUCT($AF$2:$AF$5, TRANSPOSE($Z81:$AC81))</f>
        <v>3.8704804999999993</v>
      </c>
      <c r="AG81" cm="1">
        <f t="array" ref="AG81">SUMPRODUCT($AG$2:$AG$5, TRANSPOSE($Z81:$AC81))</f>
        <v>2.291137</v>
      </c>
      <c r="AH81" cm="1">
        <f t="array" ref="AH81">SUMPRODUCT($AH$2:$AH$5, TRANSPOSE($Z81:$AC81))</f>
        <v>2.291137</v>
      </c>
      <c r="AK81" t="s">
        <v>413</v>
      </c>
      <c r="AL81" t="s">
        <v>485</v>
      </c>
      <c r="AM81" cm="1">
        <f t="array" aca="1" ref="AM81" ca="1">IFERROR(($AM$2*INDEX(Indicators,MATCH($A81,INDEX(Indicators,0,4),0),MATCH($AK$2,INDEX(Indicators,1,0),0)))+($AM$3*INDEX(Indicators,MATCH($A81,INDEX(Indicators,0,4),0),MATCH($AK$3,INDEX(Indicators,1,0),0)))+(INDEX(Electricity_projection,MATCH(AL81&amp;AK81,INDEX(Electricity_projection,0,3),0),MATCH(YEAR(TODAY()),Timeline_elec_projec,0)+3)*$AM$4), 0)</f>
        <v>0</v>
      </c>
      <c r="AN81" cm="1">
        <f t="array" aca="1" ref="AN81" ca="1">IFERROR(($AN$2*INDEX(Indicators,MATCH($A81,INDEX(Indicators,0,4),0),MATCH($AK$2,INDEX(Indicators,1,0),0)))+($AN$3*INDEX(Indicators,MATCH($A81,INDEX(Indicators,0,4),0),MATCH($AK$3,INDEX(Indicators,1,0),0)))+(INDEX(Electricity_projection,MATCH(AL81&amp;AK81,INDEX(Electricity_projection,0,3),0),MATCH(YEAR(TODAY()),Timeline_elec_projec,0)+3)*$AN$4), 0)</f>
        <v>0</v>
      </c>
      <c r="AO81" cm="1">
        <f t="array" aca="1" ref="AO81" ca="1">IFERROR(($AO$2*INDEX(Indicators,MATCH($A81,INDEX(Indicators,0,4),0),MATCH($AK$2,INDEX(Indicators,1,0),0)))+($AO$3*INDEX(Indicators,MATCH($A81,INDEX(Indicators,0,4),0),MATCH($AK$3,INDEX(Indicators,1,0),0)))+(INDEX(Electricity_projection,MATCH(AL81&amp;AK81,INDEX(Electricity_projection,0,3),0),MATCH(YEAR(TODAY()),Timeline_elec_projec,0)+3)*$AO$4), 0)</f>
        <v>0</v>
      </c>
      <c r="AP81" cm="1">
        <f t="array" aca="1" ref="AP81" ca="1">IFERROR(($AP$2*INDEX(Indicators,MATCH($A81,INDEX(Indicators,0,4),0),MATCH($AK$2,INDEX(Indicators,1,0),0)))+($AP$3*INDEX(Indicators,MATCH($A81,INDEX(Indicators,0,4),0),MATCH($AK$3,INDEX(Indicators,1,0),0)))+(INDEX(Electricity_projection,MATCH(AL81&amp;AK81,INDEX(Electricity_projection,0,3),0),MATCH(YEAR(TODAY()),Timeline_elec_projec,0)+3)*$AP$4), 0)</f>
        <v>0</v>
      </c>
      <c r="AQ81">
        <f ca="1"/>
        <v>0</v>
      </c>
    </row>
    <row r="82" spans="1:43" x14ac:dyDescent="0.35">
      <c r="A82" t="str" cm="1">
        <f t="array" ref="A82">INDEX(Indicators,ROW()-9,4)</f>
        <v>A1ConsequentialSM</v>
      </c>
      <c r="B82" s="540" cm="1">
        <f t="array" aca="1" ref="B82:I82" ca="1">INDEX(Indicators,ROW()-9,MATCH(Handle_Wearing_Course,Materials!$1:$1,0))</f>
        <v>0</v>
      </c>
      <c r="C82" s="1">
        <f ca="1"/>
        <v>0</v>
      </c>
      <c r="D82" s="1">
        <f ca="1"/>
        <v>0</v>
      </c>
      <c r="E82" s="1">
        <f ca="1"/>
        <v>0</v>
      </c>
      <c r="F82" s="1">
        <f ca="1"/>
        <v>0.307</v>
      </c>
      <c r="G82" s="1">
        <f ca="1"/>
        <v>0</v>
      </c>
      <c r="H82" s="1">
        <f ca="1"/>
        <v>0</v>
      </c>
      <c r="I82" s="212">
        <f ca="1"/>
        <v>0</v>
      </c>
      <c r="J82" s="1">
        <v>0</v>
      </c>
      <c r="K82" s="1">
        <v>0</v>
      </c>
      <c r="L82" s="1">
        <v>0</v>
      </c>
      <c r="O82" s="1">
        <f ca="1">SUMPRODUCT(B82:L82,$B$2:$L$2)+INDEX(Indicators,MATCH(A82,Materials!$D:$D),MATCH("Truck (32+t)",Materials!$1:$1,0))*'Data Entry'!$C$64</f>
        <v>0</v>
      </c>
      <c r="P82" s="1">
        <f ca="1">SUMPRODUCT(B82:L82,$B$3:$L$3)+INDEX(Indicators,MATCH(A82,Materials!$D:$D),MATCH("Truck (32+t)",Materials!$1:$1,0))*'Data Entry'!$C$72</f>
        <v>0</v>
      </c>
      <c r="Q82" s="1">
        <f ca="1">SUMPRODUCT(B82:L82,$B$4:$L$4)+INDEX(Indicators,MATCH(A82,Materials!$D:$D),MATCH("Truck (32+t)",Materials!$1:$1,0))*'Data Entry'!$C$66+$AQ$16</f>
        <v>1.2286007609406925E-4</v>
      </c>
      <c r="R82" s="1">
        <f ca="1">SUMPRODUCT(B82:L82,$B$5:$L$5)+INDEX(Indicators,MATCH(A82,Materials!$D:$D),MATCH("Truck (32+t)",Materials!$1:$1,0))*'Data Entry'!$C$68+$AQ$16</f>
        <v>1.2286007609406925E-4</v>
      </c>
      <c r="S82" s="1">
        <f ca="1">SUMPRODUCT(B82:L82,$B$6:$L$6)+INDEX(Indicators,MATCH(A82,Materials!$D:$D),MATCH("Truck (32+t)",Materials!$1:$1,0))*'Data Entry'!$C$70+$AQ$16</f>
        <v>1.2286007609406925E-4</v>
      </c>
      <c r="T82" s="1">
        <f ca="1">SUMPRODUCT(B82:L82,$B$7:$L$7)+INDEX(Indicators,MATCH(A82,Materials!$D:$D),MATCH("Truck (32+t)",Materials!$1:$1,0))*'Data Entry'!$C$68+$AQ$16</f>
        <v>1.2286007609406925E-4</v>
      </c>
      <c r="U82" s="1">
        <f ca="1">SUMPRODUCT(B82:L82,$B$8:$L$8)+INDEX(Indicators,MATCH(A82,Materials!$D:$D),MATCH("Truck (32+t)",Materials!$1:$1,0))*'Data Entry'!$C$69+$AQ$16</f>
        <v>1.2286007609406925E-4</v>
      </c>
      <c r="V82" s="1">
        <f ca="1">SUMPRODUCT(B82:L82,$B$9:$L$9)+INDEX(Indicators,MATCH(A82,Materials!$D:$D),MATCH("Truck (32+t)",Materials!$1:$1,0))*'Data Entry'!$C$71</f>
        <v>3.6839999999999998E-2</v>
      </c>
      <c r="W82" s="1">
        <f ca="1">SUMPRODUCT(B82:L82,$B$10:$L$10)+INDEX(Indicators,MATCH(A82,Materials!$D:$D),MATCH("Truck (32+t)",Materials!$1:$1,0))*'Data Entry'!$C$72</f>
        <v>0.20569000000000001</v>
      </c>
      <c r="Z82">
        <v>0</v>
      </c>
      <c r="AA82">
        <v>0</v>
      </c>
      <c r="AB82">
        <v>0</v>
      </c>
      <c r="AC82" s="209">
        <v>0</v>
      </c>
      <c r="AD82" s="209"/>
      <c r="AF82" cm="1">
        <f t="array" ref="AF82">SUMPRODUCT($AF$2:$AF$5, TRANSPOSE($Z82:$AC82))</f>
        <v>0</v>
      </c>
      <c r="AG82" cm="1">
        <f t="array" ref="AG82">SUMPRODUCT($AG$2:$AG$5, TRANSPOSE($Z82:$AC82))</f>
        <v>0</v>
      </c>
      <c r="AH82" cm="1">
        <f t="array" ref="AH82">SUMPRODUCT($AH$2:$AH$5, TRANSPOSE($Z82:$AC82))</f>
        <v>0</v>
      </c>
      <c r="AK82" t="s">
        <v>508</v>
      </c>
      <c r="AL82" t="s">
        <v>485</v>
      </c>
      <c r="AM82" cm="1">
        <f t="array" aca="1" ref="AM82" ca="1">IFERROR(($AM$2*INDEX(Indicators,MATCH($A82,INDEX(Indicators,0,4),0),MATCH($AK$2,INDEX(Indicators,1,0),0)))+($AM$3*INDEX(Indicators,MATCH($A82,INDEX(Indicators,0,4),0),MATCH($AK$3,INDEX(Indicators,1,0),0)))+(INDEX(Electricity_projection,MATCH(AL82&amp;AK82,INDEX(Electricity_projection,0,3),0),MATCH(YEAR(TODAY()),Timeline_elec_projec,0)+3)*$AM$4), 0)</f>
        <v>0</v>
      </c>
      <c r="AN82" cm="1">
        <f t="array" aca="1" ref="AN82" ca="1">IFERROR(($AN$2*INDEX(Indicators,MATCH($A82,INDEX(Indicators,0,4),0),MATCH($AK$2,INDEX(Indicators,1,0),0)))+($AN$3*INDEX(Indicators,MATCH($A82,INDEX(Indicators,0,4),0),MATCH($AK$3,INDEX(Indicators,1,0),0)))+(INDEX(Electricity_projection,MATCH(AL82&amp;AK82,INDEX(Electricity_projection,0,3),0),MATCH(YEAR(TODAY()),Timeline_elec_projec,0)+3)*$AN$4), 0)</f>
        <v>0</v>
      </c>
      <c r="AO82" cm="1">
        <f t="array" aca="1" ref="AO82" ca="1">IFERROR(($AO$2*INDEX(Indicators,MATCH($A82,INDEX(Indicators,0,4),0),MATCH($AK$2,INDEX(Indicators,1,0),0)))+($AO$3*INDEX(Indicators,MATCH($A82,INDEX(Indicators,0,4),0),MATCH($AK$3,INDEX(Indicators,1,0),0)))+(INDEX(Electricity_projection,MATCH(AL82&amp;AK82,INDEX(Electricity_projection,0,3),0),MATCH(YEAR(TODAY()),Timeline_elec_projec,0)+3)*$AO$4), 0)</f>
        <v>0</v>
      </c>
      <c r="AP82" cm="1">
        <f t="array" aca="1" ref="AP82" ca="1">IFERROR(($AP$2*INDEX(Indicators,MATCH($A82,INDEX(Indicators,0,4),0),MATCH($AK$2,INDEX(Indicators,1,0),0)))+($AP$3*INDEX(Indicators,MATCH($A82,INDEX(Indicators,0,4),0),MATCH($AK$3,INDEX(Indicators,1,0),0)))+(INDEX(Electricity_projection,MATCH(AL82&amp;AK82,INDEX(Electricity_projection,0,3),0),MATCH(YEAR(TODAY()),Timeline_elec_projec,0)+3)*$AP$4), 0)</f>
        <v>0</v>
      </c>
      <c r="AQ82">
        <f ca="1"/>
        <v>0</v>
      </c>
    </row>
    <row r="83" spans="1:43" x14ac:dyDescent="0.35">
      <c r="A83" t="str" cm="1">
        <f t="array" ref="A83">INDEX(Indicators,ROW()-9,4)</f>
        <v>A1ConsequentialNRSF</v>
      </c>
      <c r="B83" s="540" cm="1">
        <f t="array" aca="1" ref="B83:I83" ca="1">INDEX(Indicators,ROW()-9,MATCH(Handle_Wearing_Course,Materials!$1:$1,0))</f>
        <v>0</v>
      </c>
      <c r="C83" s="1">
        <f ca="1"/>
        <v>0</v>
      </c>
      <c r="D83" s="1">
        <f ca="1"/>
        <v>0</v>
      </c>
      <c r="E83" s="1">
        <f ca="1"/>
        <v>0</v>
      </c>
      <c r="F83" s="1">
        <f ca="1"/>
        <v>0.34399999999999997</v>
      </c>
      <c r="G83" s="1">
        <f ca="1"/>
        <v>0</v>
      </c>
      <c r="H83" s="1">
        <f ca="1"/>
        <v>5.1500000000000003E-11</v>
      </c>
      <c r="I83" s="212">
        <f ca="1"/>
        <v>0</v>
      </c>
      <c r="J83" s="1">
        <v>0</v>
      </c>
      <c r="K83" s="1">
        <v>0</v>
      </c>
      <c r="L83" s="1">
        <v>0</v>
      </c>
      <c r="O83" s="1">
        <f ca="1">SUMPRODUCT(B83:L83,$B$2:$L$2)+INDEX(Indicators,MATCH(A83,Materials!$D:$D),MATCH("Truck (32+t)",Materials!$1:$1,0))*'Data Entry'!$C$64</f>
        <v>0</v>
      </c>
      <c r="P83" s="1">
        <f ca="1">SUMPRODUCT(B83:L83,$B$3:$L$3)+INDEX(Indicators,MATCH(A83,Materials!$D:$D),MATCH("Truck (32+t)",Materials!$1:$1,0))*'Data Entry'!$C$72</f>
        <v>0</v>
      </c>
      <c r="Q83" s="1">
        <f ca="1">SUMPRODUCT(B83:L83,$B$4:$L$4)+INDEX(Indicators,MATCH(A83,Materials!$D:$D),MATCH("Truck (32+t)",Materials!$1:$1,0))*'Data Entry'!$C$66+$AQ$16</f>
        <v>1.2286007609406925E-4</v>
      </c>
      <c r="R83" s="1">
        <f ca="1">SUMPRODUCT(B83:L83,$B$5:$L$5)+INDEX(Indicators,MATCH(A83,Materials!$D:$D),MATCH("Truck (32+t)",Materials!$1:$1,0))*'Data Entry'!$C$68+$AQ$16</f>
        <v>1.2286007609406925E-4</v>
      </c>
      <c r="S83" s="1">
        <f ca="1">SUMPRODUCT(B83:L83,$B$6:$L$6)+INDEX(Indicators,MATCH(A83,Materials!$D:$D),MATCH("Truck (32+t)",Materials!$1:$1,0))*'Data Entry'!$C$70+$AQ$16</f>
        <v>1.2286007609406925E-4</v>
      </c>
      <c r="T83" s="1">
        <f ca="1">SUMPRODUCT(B83:L83,$B$7:$L$7)+INDEX(Indicators,MATCH(A83,Materials!$D:$D),MATCH("Truck (32+t)",Materials!$1:$1,0))*'Data Entry'!$C$68+$AQ$16</f>
        <v>1.2286007609406925E-4</v>
      </c>
      <c r="U83" s="1">
        <f ca="1">SUMPRODUCT(B83:L83,$B$8:$L$8)+INDEX(Indicators,MATCH(A83,Materials!$D:$D),MATCH("Truck (32+t)",Materials!$1:$1,0))*'Data Entry'!$C$69+$AQ$16</f>
        <v>1.2286007609406925E-4</v>
      </c>
      <c r="V83" s="1">
        <f ca="1">SUMPRODUCT(B83:L83,$B$9:$L$9)+INDEX(Indicators,MATCH(A83,Materials!$D:$D),MATCH("Truck (32+t)",Materials!$1:$1,0))*'Data Entry'!$C$71</f>
        <v>4.1280000001544997E-2</v>
      </c>
      <c r="W83" s="1">
        <f ca="1">SUMPRODUCT(B83:L83,$B$10:$L$10)+INDEX(Indicators,MATCH(A83,Materials!$D:$D),MATCH("Truck (32+t)",Materials!$1:$1,0))*'Data Entry'!$C$72</f>
        <v>0.23047999999999999</v>
      </c>
      <c r="Z83">
        <v>0</v>
      </c>
      <c r="AA83">
        <v>0</v>
      </c>
      <c r="AB83">
        <v>0</v>
      </c>
      <c r="AC83" s="209">
        <v>0</v>
      </c>
      <c r="AD83" s="209"/>
      <c r="AF83" cm="1">
        <f t="array" ref="AF83">SUMPRODUCT($AF$2:$AF$5, TRANSPOSE($Z83:$AC83))</f>
        <v>0</v>
      </c>
      <c r="AG83" cm="1">
        <f t="array" ref="AG83">SUMPRODUCT($AG$2:$AG$5, TRANSPOSE($Z83:$AC83))</f>
        <v>0</v>
      </c>
      <c r="AH83" cm="1">
        <f t="array" ref="AH83">SUMPRODUCT($AH$2:$AH$5, TRANSPOSE($Z83:$AC83))</f>
        <v>0</v>
      </c>
      <c r="AK83" t="s">
        <v>510</v>
      </c>
      <c r="AL83" t="s">
        <v>485</v>
      </c>
      <c r="AM83" cm="1">
        <f t="array" aca="1" ref="AM83" ca="1">IFERROR(($AM$2*INDEX(Indicators,MATCH($A83,INDEX(Indicators,0,4),0),MATCH($AK$2,INDEX(Indicators,1,0),0)))+($AM$3*INDEX(Indicators,MATCH($A83,INDEX(Indicators,0,4),0),MATCH($AK$3,INDEX(Indicators,1,0),0)))+(INDEX(Electricity_projection,MATCH(AL83&amp;AK83,INDEX(Electricity_projection,0,3),0),MATCH(YEAR(TODAY()),Timeline_elec_projec,0)+3)*$AM$4), 0)</f>
        <v>0</v>
      </c>
      <c r="AN83" cm="1">
        <f t="array" aca="1" ref="AN83" ca="1">IFERROR(($AN$2*INDEX(Indicators,MATCH($A83,INDEX(Indicators,0,4),0),MATCH($AK$2,INDEX(Indicators,1,0),0)))+($AN$3*INDEX(Indicators,MATCH($A83,INDEX(Indicators,0,4),0),MATCH($AK$3,INDEX(Indicators,1,0),0)))+(INDEX(Electricity_projection,MATCH(AL83&amp;AK83,INDEX(Electricity_projection,0,3),0),MATCH(YEAR(TODAY()),Timeline_elec_projec,0)+3)*$AN$4), 0)</f>
        <v>0</v>
      </c>
      <c r="AO83" cm="1">
        <f t="array" aca="1" ref="AO83" ca="1">IFERROR(($AO$2*INDEX(Indicators,MATCH($A83,INDEX(Indicators,0,4),0),MATCH($AK$2,INDEX(Indicators,1,0),0)))+($AO$3*INDEX(Indicators,MATCH($A83,INDEX(Indicators,0,4),0),MATCH($AK$3,INDEX(Indicators,1,0),0)))+(INDEX(Electricity_projection,MATCH(AL83&amp;AK83,INDEX(Electricity_projection,0,3),0),MATCH(YEAR(TODAY()),Timeline_elec_projec,0)+3)*$AO$4), 0)</f>
        <v>0</v>
      </c>
      <c r="AP83" cm="1">
        <f t="array" aca="1" ref="AP83" ca="1">IFERROR(($AP$2*INDEX(Indicators,MATCH($A83,INDEX(Indicators,0,4),0),MATCH($AK$2,INDEX(Indicators,1,0),0)))+($AP$3*INDEX(Indicators,MATCH($A83,INDEX(Indicators,0,4),0),MATCH($AK$3,INDEX(Indicators,1,0),0)))+(INDEX(Electricity_projection,MATCH(AL83&amp;AK83,INDEX(Electricity_projection,0,3),0),MATCH(YEAR(TODAY()),Timeline_elec_projec,0)+3)*$AP$4), 0)</f>
        <v>0</v>
      </c>
      <c r="AQ83">
        <f ca="1"/>
        <v>0</v>
      </c>
    </row>
    <row r="84" spans="1:43" x14ac:dyDescent="0.35">
      <c r="A84" t="str" cm="1">
        <f t="array" ref="A84">INDEX(Indicators,ROW()-9,4)</f>
        <v>A1ConsequentialRSF</v>
      </c>
      <c r="B84" s="540" cm="1">
        <f t="array" aca="1" ref="B84:I84" ca="1">INDEX(Indicators,ROW()-9,MATCH(Handle_Wearing_Course,Materials!$1:$1,0))</f>
        <v>0</v>
      </c>
      <c r="C84" s="1">
        <f ca="1"/>
        <v>0</v>
      </c>
      <c r="D84" s="1">
        <f ca="1"/>
        <v>0</v>
      </c>
      <c r="E84" s="1">
        <f ca="1"/>
        <v>0</v>
      </c>
      <c r="F84" s="1">
        <f ca="1"/>
        <v>4.0099999999999997E-2</v>
      </c>
      <c r="G84" s="1">
        <f ca="1"/>
        <v>0</v>
      </c>
      <c r="H84" s="1">
        <f ca="1"/>
        <v>4.3499999999999998E-12</v>
      </c>
      <c r="I84" s="212">
        <f ca="1"/>
        <v>0</v>
      </c>
      <c r="J84" s="1">
        <v>0</v>
      </c>
      <c r="K84" s="1">
        <v>0</v>
      </c>
      <c r="L84" s="1">
        <v>0</v>
      </c>
      <c r="O84" s="1">
        <f ca="1">SUMPRODUCT(B84:L84,$B$2:$L$2)+INDEX(Indicators,MATCH(A84,Materials!$D:$D),MATCH("Truck (32+t)",Materials!$1:$1,0))*'Data Entry'!$C$64</f>
        <v>0</v>
      </c>
      <c r="P84" s="1">
        <f ca="1">SUMPRODUCT(B84:L84,$B$3:$L$3)+INDEX(Indicators,MATCH(A84,Materials!$D:$D),MATCH("Truck (32+t)",Materials!$1:$1,0))*'Data Entry'!$C$72</f>
        <v>0</v>
      </c>
      <c r="Q84" s="1">
        <f ca="1">SUMPRODUCT(B84:L84,$B$4:$L$4)+INDEX(Indicators,MATCH(A84,Materials!$D:$D),MATCH("Truck (32+t)",Materials!$1:$1,0))*'Data Entry'!$C$66+$AQ$16</f>
        <v>1.2286007609406925E-4</v>
      </c>
      <c r="R84" s="1">
        <f ca="1">SUMPRODUCT(B84:L84,$B$5:$L$5)+INDEX(Indicators,MATCH(A84,Materials!$D:$D),MATCH("Truck (32+t)",Materials!$1:$1,0))*'Data Entry'!$C$68+$AQ$16</f>
        <v>1.2286007609406925E-4</v>
      </c>
      <c r="S84" s="1">
        <f ca="1">SUMPRODUCT(B84:L84,$B$6:$L$6)+INDEX(Indicators,MATCH(A84,Materials!$D:$D),MATCH("Truck (32+t)",Materials!$1:$1,0))*'Data Entry'!$C$70+$AQ$16</f>
        <v>1.2286007609406925E-4</v>
      </c>
      <c r="T84" s="1">
        <f ca="1">SUMPRODUCT(B84:L84,$B$7:$L$7)+INDEX(Indicators,MATCH(A84,Materials!$D:$D),MATCH("Truck (32+t)",Materials!$1:$1,0))*'Data Entry'!$C$68+$AQ$16</f>
        <v>1.2286007609406925E-4</v>
      </c>
      <c r="U84" s="1">
        <f ca="1">SUMPRODUCT(B84:L84,$B$8:$L$8)+INDEX(Indicators,MATCH(A84,Materials!$D:$D),MATCH("Truck (32+t)",Materials!$1:$1,0))*'Data Entry'!$C$69+$AQ$16</f>
        <v>1.2286007609406925E-4</v>
      </c>
      <c r="V84" s="1">
        <f ca="1">SUMPRODUCT(B84:L84,$B$9:$L$9)+INDEX(Indicators,MATCH(A84,Materials!$D:$D),MATCH("Truck (32+t)",Materials!$1:$1,0))*'Data Entry'!$C$71</f>
        <v>4.8120000001304992E-3</v>
      </c>
      <c r="W84" s="1">
        <f ca="1">SUMPRODUCT(B84:L84,$B$10:$L$10)+INDEX(Indicators,MATCH(A84,Materials!$D:$D),MATCH("Truck (32+t)",Materials!$1:$1,0))*'Data Entry'!$C$72</f>
        <v>2.6866999999999999E-2</v>
      </c>
      <c r="Z84">
        <v>0</v>
      </c>
      <c r="AA84">
        <v>0</v>
      </c>
      <c r="AB84">
        <v>0</v>
      </c>
      <c r="AC84" s="209">
        <v>0</v>
      </c>
      <c r="AD84" s="209"/>
      <c r="AF84" cm="1">
        <f t="array" ref="AF84">SUMPRODUCT($AF$2:$AF$5, TRANSPOSE($Z84:$AC84))</f>
        <v>0</v>
      </c>
      <c r="AG84" cm="1">
        <f t="array" ref="AG84">SUMPRODUCT($AG$2:$AG$5, TRANSPOSE($Z84:$AC84))</f>
        <v>0</v>
      </c>
      <c r="AH84" cm="1">
        <f t="array" ref="AH84">SUMPRODUCT($AH$2:$AH$5, TRANSPOSE($Z84:$AC84))</f>
        <v>0</v>
      </c>
      <c r="AK84" t="s">
        <v>512</v>
      </c>
      <c r="AL84" t="s">
        <v>485</v>
      </c>
      <c r="AM84" cm="1">
        <f t="array" aca="1" ref="AM84" ca="1">IFERROR(($AM$2*INDEX(Indicators,MATCH($A84,INDEX(Indicators,0,4),0),MATCH($AK$2,INDEX(Indicators,1,0),0)))+($AM$3*INDEX(Indicators,MATCH($A84,INDEX(Indicators,0,4),0),MATCH($AK$3,INDEX(Indicators,1,0),0)))+(INDEX(Electricity_projection,MATCH(AL84&amp;AK84,INDEX(Electricity_projection,0,3),0),MATCH(YEAR(TODAY()),Timeline_elec_projec,0)+3)*$AM$4), 0)</f>
        <v>0</v>
      </c>
      <c r="AN84" cm="1">
        <f t="array" aca="1" ref="AN84" ca="1">IFERROR(($AN$2*INDEX(Indicators,MATCH($A84,INDEX(Indicators,0,4),0),MATCH($AK$2,INDEX(Indicators,1,0),0)))+($AN$3*INDEX(Indicators,MATCH($A84,INDEX(Indicators,0,4),0),MATCH($AK$3,INDEX(Indicators,1,0),0)))+(INDEX(Electricity_projection,MATCH(AL84&amp;AK84,INDEX(Electricity_projection,0,3),0),MATCH(YEAR(TODAY()),Timeline_elec_projec,0)+3)*$AN$4), 0)</f>
        <v>0</v>
      </c>
      <c r="AO84" cm="1">
        <f t="array" aca="1" ref="AO84" ca="1">IFERROR(($AO$2*INDEX(Indicators,MATCH($A84,INDEX(Indicators,0,4),0),MATCH($AK$2,INDEX(Indicators,1,0),0)))+($AO$3*INDEX(Indicators,MATCH($A84,INDEX(Indicators,0,4),0),MATCH($AK$3,INDEX(Indicators,1,0),0)))+(INDEX(Electricity_projection,MATCH(AL84&amp;AK84,INDEX(Electricity_projection,0,3),0),MATCH(YEAR(TODAY()),Timeline_elec_projec,0)+3)*$AO$4), 0)</f>
        <v>0</v>
      </c>
      <c r="AP84" cm="1">
        <f t="array" aca="1" ref="AP84" ca="1">IFERROR(($AP$2*INDEX(Indicators,MATCH($A84,INDEX(Indicators,0,4),0),MATCH($AK$2,INDEX(Indicators,1,0),0)))+($AP$3*INDEX(Indicators,MATCH($A84,INDEX(Indicators,0,4),0),MATCH($AK$3,INDEX(Indicators,1,0),0)))+(INDEX(Electricity_projection,MATCH(AL84&amp;AK84,INDEX(Electricity_projection,0,3),0),MATCH(YEAR(TODAY()),Timeline_elec_projec,0)+3)*$AP$4), 0)</f>
        <v>0</v>
      </c>
      <c r="AQ84">
        <f ca="1"/>
        <v>0</v>
      </c>
    </row>
    <row r="85" spans="1:43" x14ac:dyDescent="0.35">
      <c r="A85" t="str" cm="1">
        <f t="array" ref="A85">INDEX(Indicators,ROW()-9,4)</f>
        <v>A1ConsequentialHWD</v>
      </c>
      <c r="B85" s="540" cm="1">
        <f t="array" aca="1" ref="B85:I85" ca="1">INDEX(Indicators,ROW()-9,MATCH(Handle_Wearing_Course,Materials!$1:$1,0))</f>
        <v>0</v>
      </c>
      <c r="C85" s="1">
        <f ca="1"/>
        <v>0</v>
      </c>
      <c r="D85" s="1">
        <f ca="1"/>
        <v>0</v>
      </c>
      <c r="E85" s="1">
        <f ca="1"/>
        <v>0</v>
      </c>
      <c r="F85" s="1">
        <f ca="1"/>
        <v>0</v>
      </c>
      <c r="G85" s="1">
        <f ca="1"/>
        <v>0</v>
      </c>
      <c r="H85" s="1">
        <f ca="1"/>
        <v>2.3899999999999999E-8</v>
      </c>
      <c r="I85" s="212">
        <f ca="1"/>
        <v>0</v>
      </c>
      <c r="J85" s="1">
        <v>0</v>
      </c>
      <c r="K85" s="1">
        <v>0</v>
      </c>
      <c r="L85" s="1">
        <v>0</v>
      </c>
      <c r="O85" s="1">
        <f ca="1">SUMPRODUCT(B85:L85,$B$2:$L$2)+INDEX(Indicators,MATCH(A85,Materials!$D:$D),MATCH("Truck (32+t)",Materials!$1:$1,0))*'Data Entry'!$C$64</f>
        <v>0</v>
      </c>
      <c r="P85" s="1">
        <f ca="1">SUMPRODUCT(B85:L85,$B$3:$L$3)+INDEX(Indicators,MATCH(A85,Materials!$D:$D),MATCH("Truck (32+t)",Materials!$1:$1,0))*'Data Entry'!$C$72</f>
        <v>0</v>
      </c>
      <c r="Q85" s="1">
        <f ca="1">SUMPRODUCT(B85:L85,$B$4:$L$4)+INDEX(Indicators,MATCH(A85,Materials!$D:$D),MATCH("Truck (32+t)",Materials!$1:$1,0))*'Data Entry'!$C$66+$AQ$16</f>
        <v>1.2286007609406925E-4</v>
      </c>
      <c r="R85" s="1">
        <f ca="1">SUMPRODUCT(B85:L85,$B$5:$L$5)+INDEX(Indicators,MATCH(A85,Materials!$D:$D),MATCH("Truck (32+t)",Materials!$1:$1,0))*'Data Entry'!$C$68+$AQ$16</f>
        <v>1.2286007609406925E-4</v>
      </c>
      <c r="S85" s="1">
        <f ca="1">SUMPRODUCT(B85:L85,$B$6:$L$6)+INDEX(Indicators,MATCH(A85,Materials!$D:$D),MATCH("Truck (32+t)",Materials!$1:$1,0))*'Data Entry'!$C$70+$AQ$16</f>
        <v>1.2286007609406925E-4</v>
      </c>
      <c r="T85" s="1">
        <f ca="1">SUMPRODUCT(B85:L85,$B$7:$L$7)+INDEX(Indicators,MATCH(A85,Materials!$D:$D),MATCH("Truck (32+t)",Materials!$1:$1,0))*'Data Entry'!$C$68+$AQ$16</f>
        <v>1.2286007609406925E-4</v>
      </c>
      <c r="U85" s="1">
        <f ca="1">SUMPRODUCT(B85:L85,$B$8:$L$8)+INDEX(Indicators,MATCH(A85,Materials!$D:$D),MATCH("Truck (32+t)",Materials!$1:$1,0))*'Data Entry'!$C$69+$AQ$16</f>
        <v>1.2286007609406925E-4</v>
      </c>
      <c r="V85" s="1">
        <f ca="1">SUMPRODUCT(B85:L85,$B$9:$L$9)+INDEX(Indicators,MATCH(A85,Materials!$D:$D),MATCH("Truck (32+t)",Materials!$1:$1,0))*'Data Entry'!$C$71</f>
        <v>7.169999999999999E-10</v>
      </c>
      <c r="W85" s="1">
        <f ca="1">SUMPRODUCT(B85:L85,$B$10:$L$10)+INDEX(Indicators,MATCH(A85,Materials!$D:$D),MATCH("Truck (32+t)",Materials!$1:$1,0))*'Data Entry'!$C$72</f>
        <v>0</v>
      </c>
      <c r="Z85">
        <v>0</v>
      </c>
      <c r="AA85">
        <v>0</v>
      </c>
      <c r="AB85">
        <v>0</v>
      </c>
      <c r="AC85" s="209">
        <v>0</v>
      </c>
      <c r="AD85" s="209"/>
      <c r="AF85" cm="1">
        <f t="array" ref="AF85">SUMPRODUCT($AF$2:$AF$5, TRANSPOSE($Z85:$AC85))</f>
        <v>0</v>
      </c>
      <c r="AG85" cm="1">
        <f t="array" ref="AG85">SUMPRODUCT($AG$2:$AG$5, TRANSPOSE($Z85:$AC85))</f>
        <v>0</v>
      </c>
      <c r="AH85" cm="1">
        <f t="array" ref="AH85">SUMPRODUCT($AH$2:$AH$5, TRANSPOSE($Z85:$AC85))</f>
        <v>0</v>
      </c>
      <c r="AK85" t="s">
        <v>546</v>
      </c>
      <c r="AL85" t="s">
        <v>485</v>
      </c>
      <c r="AM85" cm="1">
        <f t="array" aca="1" ref="AM85" ca="1">IFERROR(($AM$2*INDEX(Indicators,MATCH($A85,INDEX(Indicators,0,4),0),MATCH($AK$2,INDEX(Indicators,1,0),0)))+($AM$3*INDEX(Indicators,MATCH($A85,INDEX(Indicators,0,4),0),MATCH($AK$3,INDEX(Indicators,1,0),0)))+(INDEX(Electricity_projection,MATCH(AL85&amp;AK85,INDEX(Electricity_projection,0,3),0),MATCH(YEAR(TODAY()),Timeline_elec_projec,0)+3)*$AM$4), 0)</f>
        <v>0</v>
      </c>
      <c r="AN85" cm="1">
        <f t="array" aca="1" ref="AN85" ca="1">IFERROR(($AN$2*INDEX(Indicators,MATCH($A85,INDEX(Indicators,0,4),0),MATCH($AK$2,INDEX(Indicators,1,0),0)))+($AN$3*INDEX(Indicators,MATCH($A85,INDEX(Indicators,0,4),0),MATCH($AK$3,INDEX(Indicators,1,0),0)))+(INDEX(Electricity_projection,MATCH(AL85&amp;AK85,INDEX(Electricity_projection,0,3),0),MATCH(YEAR(TODAY()),Timeline_elec_projec,0)+3)*$AN$4), 0)</f>
        <v>0</v>
      </c>
      <c r="AO85" cm="1">
        <f t="array" aca="1" ref="AO85" ca="1">IFERROR(($AO$2*INDEX(Indicators,MATCH($A85,INDEX(Indicators,0,4),0),MATCH($AK$2,INDEX(Indicators,1,0),0)))+($AO$3*INDEX(Indicators,MATCH($A85,INDEX(Indicators,0,4),0),MATCH($AK$3,INDEX(Indicators,1,0),0)))+(INDEX(Electricity_projection,MATCH(AL85&amp;AK85,INDEX(Electricity_projection,0,3),0),MATCH(YEAR(TODAY()),Timeline_elec_projec,0)+3)*$AO$4), 0)</f>
        <v>0</v>
      </c>
      <c r="AP85" cm="1">
        <f t="array" aca="1" ref="AP85" ca="1">IFERROR(($AP$2*INDEX(Indicators,MATCH($A85,INDEX(Indicators,0,4),0),MATCH($AK$2,INDEX(Indicators,1,0),0)))+($AP$3*INDEX(Indicators,MATCH($A85,INDEX(Indicators,0,4),0),MATCH($AK$3,INDEX(Indicators,1,0),0)))+(INDEX(Electricity_projection,MATCH(AL85&amp;AK85,INDEX(Electricity_projection,0,3),0),MATCH(YEAR(TODAY()),Timeline_elec_projec,0)+3)*$AP$4), 0)</f>
        <v>0</v>
      </c>
      <c r="AQ85">
        <f ca="1"/>
        <v>0</v>
      </c>
    </row>
    <row r="86" spans="1:43" x14ac:dyDescent="0.35">
      <c r="A86" t="str" cm="1">
        <f t="array" ref="A86">INDEX(Indicators,ROW()-9,4)</f>
        <v>A1ConsequentialNHWD</v>
      </c>
      <c r="B86" s="540" cm="1">
        <f t="array" aca="1" ref="B86:I86" ca="1">INDEX(Indicators,ROW()-9,MATCH(Handle_Wearing_Course,Materials!$1:$1,0))</f>
        <v>0</v>
      </c>
      <c r="C86" s="1">
        <f ca="1"/>
        <v>0</v>
      </c>
      <c r="D86" s="1">
        <f ca="1"/>
        <v>0</v>
      </c>
      <c r="E86" s="1">
        <f ca="1"/>
        <v>0</v>
      </c>
      <c r="F86" s="1">
        <f ca="1"/>
        <v>5.77E-5</v>
      </c>
      <c r="G86" s="1">
        <f ca="1"/>
        <v>0</v>
      </c>
      <c r="H86" s="1">
        <f ca="1"/>
        <v>0.27900000000000003</v>
      </c>
      <c r="I86" s="212">
        <f ca="1"/>
        <v>0</v>
      </c>
      <c r="J86" s="1">
        <v>0</v>
      </c>
      <c r="K86" s="1">
        <v>0</v>
      </c>
      <c r="L86" s="1">
        <v>0</v>
      </c>
      <c r="O86" s="1">
        <f ca="1">SUMPRODUCT(B86:L86,$B$2:$L$2)+INDEX(Indicators,MATCH(A86,Materials!$D:$D),MATCH("Truck (32+t)",Materials!$1:$1,0))*'Data Entry'!$C$64</f>
        <v>0</v>
      </c>
      <c r="P86" s="1">
        <f ca="1">SUMPRODUCT(B86:L86,$B$3:$L$3)+INDEX(Indicators,MATCH(A86,Materials!$D:$D),MATCH("Truck (32+t)",Materials!$1:$1,0))*'Data Entry'!$C$72</f>
        <v>0</v>
      </c>
      <c r="Q86" s="1">
        <f ca="1">SUMPRODUCT(B86:L86,$B$4:$L$4)+INDEX(Indicators,MATCH(A86,Materials!$D:$D),MATCH("Truck (32+t)",Materials!$1:$1,0))*'Data Entry'!$C$66+$AQ$16</f>
        <v>1.2286007609406925E-4</v>
      </c>
      <c r="R86" s="1">
        <f ca="1">SUMPRODUCT(B86:L86,$B$5:$L$5)+INDEX(Indicators,MATCH(A86,Materials!$D:$D),MATCH("Truck (32+t)",Materials!$1:$1,0))*'Data Entry'!$C$68+$AQ$16</f>
        <v>1.2286007609406925E-4</v>
      </c>
      <c r="S86" s="1">
        <f ca="1">SUMPRODUCT(B86:L86,$B$6:$L$6)+INDEX(Indicators,MATCH(A86,Materials!$D:$D),MATCH("Truck (32+t)",Materials!$1:$1,0))*'Data Entry'!$C$70+$AQ$16</f>
        <v>1.2286007609406925E-4</v>
      </c>
      <c r="T86" s="1">
        <f ca="1">SUMPRODUCT(B86:L86,$B$7:$L$7)+INDEX(Indicators,MATCH(A86,Materials!$D:$D),MATCH("Truck (32+t)",Materials!$1:$1,0))*'Data Entry'!$C$68+$AQ$16</f>
        <v>1.2286007609406925E-4</v>
      </c>
      <c r="U86" s="1">
        <f ca="1">SUMPRODUCT(B86:L86,$B$8:$L$8)+INDEX(Indicators,MATCH(A86,Materials!$D:$D),MATCH("Truck (32+t)",Materials!$1:$1,0))*'Data Entry'!$C$69+$AQ$16</f>
        <v>1.2286007609406925E-4</v>
      </c>
      <c r="V86" s="1">
        <f ca="1">SUMPRODUCT(B86:L86,$B$9:$L$9)+INDEX(Indicators,MATCH(A86,Materials!$D:$D),MATCH("Truck (32+t)",Materials!$1:$1,0))*'Data Entry'!$C$71</f>
        <v>8.3769240000000009E-3</v>
      </c>
      <c r="W86" s="1">
        <f ca="1">SUMPRODUCT(B86:L86,$B$10:$L$10)+INDEX(Indicators,MATCH(A86,Materials!$D:$D),MATCH("Truck (32+t)",Materials!$1:$1,0))*'Data Entry'!$C$72</f>
        <v>3.8659000000000004E-5</v>
      </c>
      <c r="Z86">
        <v>0</v>
      </c>
      <c r="AA86">
        <v>0</v>
      </c>
      <c r="AB86">
        <v>0</v>
      </c>
      <c r="AC86" s="209">
        <v>0</v>
      </c>
      <c r="AD86" s="209"/>
      <c r="AF86" cm="1">
        <f t="array" ref="AF86">SUMPRODUCT($AF$2:$AF$5, TRANSPOSE($Z86:$AC86))</f>
        <v>0</v>
      </c>
      <c r="AG86" cm="1">
        <f t="array" ref="AG86">SUMPRODUCT($AG$2:$AG$5, TRANSPOSE($Z86:$AC86))</f>
        <v>0</v>
      </c>
      <c r="AH86" cm="1">
        <f t="array" ref="AH86">SUMPRODUCT($AH$2:$AH$5, TRANSPOSE($Z86:$AC86))</f>
        <v>0</v>
      </c>
      <c r="AK86" t="s">
        <v>516</v>
      </c>
      <c r="AL86" t="s">
        <v>485</v>
      </c>
      <c r="AM86" cm="1">
        <f t="array" aca="1" ref="AM86" ca="1">IFERROR(($AM$2*INDEX(Indicators,MATCH($A86,INDEX(Indicators,0,4),0),MATCH($AK$2,INDEX(Indicators,1,0),0)))+($AM$3*INDEX(Indicators,MATCH($A86,INDEX(Indicators,0,4),0),MATCH($AK$3,INDEX(Indicators,1,0),0)))+(INDEX(Electricity_projection,MATCH(AL86&amp;AK86,INDEX(Electricity_projection,0,3),0),MATCH(YEAR(TODAY()),Timeline_elec_projec,0)+3)*$AM$4), 0)</f>
        <v>0</v>
      </c>
      <c r="AN86" cm="1">
        <f t="array" aca="1" ref="AN86" ca="1">IFERROR(($AN$2*INDEX(Indicators,MATCH($A86,INDEX(Indicators,0,4),0),MATCH($AK$2,INDEX(Indicators,1,0),0)))+($AN$3*INDEX(Indicators,MATCH($A86,INDEX(Indicators,0,4),0),MATCH($AK$3,INDEX(Indicators,1,0),0)))+(INDEX(Electricity_projection,MATCH(AL86&amp;AK86,INDEX(Electricity_projection,0,3),0),MATCH(YEAR(TODAY()),Timeline_elec_projec,0)+3)*$AN$4), 0)</f>
        <v>0</v>
      </c>
      <c r="AO86" cm="1">
        <f t="array" aca="1" ref="AO86" ca="1">IFERROR(($AO$2*INDEX(Indicators,MATCH($A86,INDEX(Indicators,0,4),0),MATCH($AK$2,INDEX(Indicators,1,0),0)))+($AO$3*INDEX(Indicators,MATCH($A86,INDEX(Indicators,0,4),0),MATCH($AK$3,INDEX(Indicators,1,0),0)))+(INDEX(Electricity_projection,MATCH(AL86&amp;AK86,INDEX(Electricity_projection,0,3),0),MATCH(YEAR(TODAY()),Timeline_elec_projec,0)+3)*$AO$4), 0)</f>
        <v>0</v>
      </c>
      <c r="AP86" cm="1">
        <f t="array" aca="1" ref="AP86" ca="1">IFERROR(($AP$2*INDEX(Indicators,MATCH($A86,INDEX(Indicators,0,4),0),MATCH($AK$2,INDEX(Indicators,1,0),0)))+($AP$3*INDEX(Indicators,MATCH($A86,INDEX(Indicators,0,4),0),MATCH($AK$3,INDEX(Indicators,1,0),0)))+(INDEX(Electricity_projection,MATCH(AL86&amp;AK86,INDEX(Electricity_projection,0,3),0),MATCH(YEAR(TODAY()),Timeline_elec_projec,0)+3)*$AP$4), 0)</f>
        <v>0</v>
      </c>
      <c r="AQ86">
        <f ca="1"/>
        <v>0</v>
      </c>
    </row>
    <row r="87" spans="1:43" x14ac:dyDescent="0.35">
      <c r="A87" t="str" cm="1">
        <f t="array" ref="A87">INDEX(Indicators,ROW()-9,4)</f>
        <v>A1ConsequentialRWD</v>
      </c>
      <c r="B87" s="540" cm="1">
        <f t="array" aca="1" ref="B87:I87" ca="1">INDEX(Indicators,ROW()-9,MATCH(Handle_Wearing_Course,Materials!$1:$1,0))</f>
        <v>0</v>
      </c>
      <c r="C87" s="1">
        <f ca="1"/>
        <v>0</v>
      </c>
      <c r="D87" s="1">
        <f ca="1"/>
        <v>0</v>
      </c>
      <c r="E87" s="1">
        <f ca="1"/>
        <v>0</v>
      </c>
      <c r="F87" s="1">
        <f ca="1"/>
        <v>0</v>
      </c>
      <c r="G87" s="1">
        <f ca="1"/>
        <v>0</v>
      </c>
      <c r="H87" s="1">
        <f ca="1"/>
        <v>1.15E-4</v>
      </c>
      <c r="I87" s="212">
        <f ca="1"/>
        <v>0</v>
      </c>
      <c r="J87" s="1">
        <v>0</v>
      </c>
      <c r="K87" s="1">
        <v>0</v>
      </c>
      <c r="L87" s="1">
        <v>0</v>
      </c>
      <c r="O87" s="1">
        <f ca="1">SUMPRODUCT(B87:L87,$B$2:$L$2)+INDEX(Indicators,MATCH(A87,Materials!$D:$D),MATCH("Truck (32+t)",Materials!$1:$1,0))*'Data Entry'!$C$64</f>
        <v>0</v>
      </c>
      <c r="P87" s="1">
        <f ca="1">SUMPRODUCT(B87:L87,$B$3:$L$3)+INDEX(Indicators,MATCH(A87,Materials!$D:$D),MATCH("Truck (32+t)",Materials!$1:$1,0))*'Data Entry'!$C$72</f>
        <v>0</v>
      </c>
      <c r="Q87" s="1">
        <f ca="1">SUMPRODUCT(B87:L87,$B$4:$L$4)+INDEX(Indicators,MATCH(A87,Materials!$D:$D),MATCH("Truck (32+t)",Materials!$1:$1,0))*'Data Entry'!$C$66+$AQ$16</f>
        <v>1.2286007609406925E-4</v>
      </c>
      <c r="R87" s="1">
        <f ca="1">SUMPRODUCT(B87:L87,$B$5:$L$5)+INDEX(Indicators,MATCH(A87,Materials!$D:$D),MATCH("Truck (32+t)",Materials!$1:$1,0))*'Data Entry'!$C$68+$AQ$16</f>
        <v>1.2286007609406925E-4</v>
      </c>
      <c r="S87" s="1">
        <f ca="1">SUMPRODUCT(B87:L87,$B$6:$L$6)+INDEX(Indicators,MATCH(A87,Materials!$D:$D),MATCH("Truck (32+t)",Materials!$1:$1,0))*'Data Entry'!$C$70+$AQ$16</f>
        <v>1.2286007609406925E-4</v>
      </c>
      <c r="T87" s="1">
        <f ca="1">SUMPRODUCT(B87:L87,$B$7:$L$7)+INDEX(Indicators,MATCH(A87,Materials!$D:$D),MATCH("Truck (32+t)",Materials!$1:$1,0))*'Data Entry'!$C$68+$AQ$16</f>
        <v>1.2286007609406925E-4</v>
      </c>
      <c r="U87" s="1">
        <f ca="1">SUMPRODUCT(B87:L87,$B$8:$L$8)+INDEX(Indicators,MATCH(A87,Materials!$D:$D),MATCH("Truck (32+t)",Materials!$1:$1,0))*'Data Entry'!$C$69+$AQ$16</f>
        <v>1.2286007609406925E-4</v>
      </c>
      <c r="V87" s="1">
        <f ca="1">SUMPRODUCT(B87:L87,$B$9:$L$9)+INDEX(Indicators,MATCH(A87,Materials!$D:$D),MATCH("Truck (32+t)",Materials!$1:$1,0))*'Data Entry'!$C$71</f>
        <v>3.45E-6</v>
      </c>
      <c r="W87" s="1">
        <f ca="1">SUMPRODUCT(B87:L87,$B$10:$L$10)+INDEX(Indicators,MATCH(A87,Materials!$D:$D),MATCH("Truck (32+t)",Materials!$1:$1,0))*'Data Entry'!$C$72</f>
        <v>0</v>
      </c>
      <c r="Z87">
        <v>0</v>
      </c>
      <c r="AA87">
        <v>0</v>
      </c>
      <c r="AB87">
        <v>0</v>
      </c>
      <c r="AC87" s="209">
        <v>0</v>
      </c>
      <c r="AD87" s="209"/>
      <c r="AF87" cm="1">
        <f t="array" ref="AF87">SUMPRODUCT($AF$2:$AF$5, TRANSPOSE($Z87:$AC87))</f>
        <v>0</v>
      </c>
      <c r="AG87" cm="1">
        <f t="array" ref="AG87">SUMPRODUCT($AG$2:$AG$5, TRANSPOSE($Z87:$AC87))</f>
        <v>0</v>
      </c>
      <c r="AH87" cm="1">
        <f t="array" ref="AH87">SUMPRODUCT($AH$2:$AH$5, TRANSPOSE($Z87:$AC87))</f>
        <v>0</v>
      </c>
      <c r="AK87" t="s">
        <v>518</v>
      </c>
      <c r="AL87" t="s">
        <v>485</v>
      </c>
      <c r="AM87" cm="1">
        <f t="array" aca="1" ref="AM87" ca="1">IFERROR(($AM$2*INDEX(Indicators,MATCH($A87,INDEX(Indicators,0,4),0),MATCH($AK$2,INDEX(Indicators,1,0),0)))+($AM$3*INDEX(Indicators,MATCH($A87,INDEX(Indicators,0,4),0),MATCH($AK$3,INDEX(Indicators,1,0),0)))+(INDEX(Electricity_projection,MATCH(AL87&amp;AK87,INDEX(Electricity_projection,0,3),0),MATCH(YEAR(TODAY()),Timeline_elec_projec,0)+3)*$AM$4), 0)</f>
        <v>0</v>
      </c>
      <c r="AN87" cm="1">
        <f t="array" aca="1" ref="AN87" ca="1">IFERROR(($AN$2*INDEX(Indicators,MATCH($A87,INDEX(Indicators,0,4),0),MATCH($AK$2,INDEX(Indicators,1,0),0)))+($AN$3*INDEX(Indicators,MATCH($A87,INDEX(Indicators,0,4),0),MATCH($AK$3,INDEX(Indicators,1,0),0)))+(INDEX(Electricity_projection,MATCH(AL87&amp;AK87,INDEX(Electricity_projection,0,3),0),MATCH(YEAR(TODAY()),Timeline_elec_projec,0)+3)*$AN$4), 0)</f>
        <v>0</v>
      </c>
      <c r="AO87" cm="1">
        <f t="array" aca="1" ref="AO87" ca="1">IFERROR(($AO$2*INDEX(Indicators,MATCH($A87,INDEX(Indicators,0,4),0),MATCH($AK$2,INDEX(Indicators,1,0),0)))+($AO$3*INDEX(Indicators,MATCH($A87,INDEX(Indicators,0,4),0),MATCH($AK$3,INDEX(Indicators,1,0),0)))+(INDEX(Electricity_projection,MATCH(AL87&amp;AK87,INDEX(Electricity_projection,0,3),0),MATCH(YEAR(TODAY()),Timeline_elec_projec,0)+3)*$AO$4), 0)</f>
        <v>0</v>
      </c>
      <c r="AP87" cm="1">
        <f t="array" aca="1" ref="AP87" ca="1">IFERROR(($AP$2*INDEX(Indicators,MATCH($A87,INDEX(Indicators,0,4),0),MATCH($AK$2,INDEX(Indicators,1,0),0)))+($AP$3*INDEX(Indicators,MATCH($A87,INDEX(Indicators,0,4),0),MATCH($AK$3,INDEX(Indicators,1,0),0)))+(INDEX(Electricity_projection,MATCH(AL87&amp;AK87,INDEX(Electricity_projection,0,3),0),MATCH(YEAR(TODAY()),Timeline_elec_projec,0)+3)*$AP$4), 0)</f>
        <v>0</v>
      </c>
      <c r="AQ87">
        <f ca="1"/>
        <v>0</v>
      </c>
    </row>
    <row r="88" spans="1:43" x14ac:dyDescent="0.35">
      <c r="A88" t="str" cm="1">
        <f t="array" ref="A88">INDEX(Indicators,ROW()-9,4)</f>
        <v>A2ConsequentialAP</v>
      </c>
      <c r="B88" s="540" cm="1">
        <f t="array" aca="1" ref="B88:I88" ca="1">INDEX(Indicators,ROW()-9,MATCH(Handle_Wearing_Course,Materials!$1:$1,0))</f>
        <v>1.8335487831494242E-5</v>
      </c>
      <c r="C88" s="1">
        <f ca="1"/>
        <v>1.3530061733746117E-5</v>
      </c>
      <c r="D88" s="1">
        <f ca="1"/>
        <v>2.2155189140411927E-5</v>
      </c>
      <c r="E88" s="1">
        <f ca="1"/>
        <v>5.6153541751610414E-3</v>
      </c>
      <c r="F88" s="1">
        <f ca="1"/>
        <v>0</v>
      </c>
      <c r="G88" s="1">
        <f ca="1"/>
        <v>1.72E-7</v>
      </c>
      <c r="H88" s="1">
        <f ca="1"/>
        <v>0</v>
      </c>
      <c r="I88" s="212">
        <f ca="1"/>
        <v>1.5230000000000005E-3</v>
      </c>
      <c r="J88" s="1">
        <v>-2.6549999999999924E-4</v>
      </c>
      <c r="K88" s="1">
        <v>1.5230000000000005E-3</v>
      </c>
      <c r="L88" s="1">
        <v>1.5230000000000005E-3</v>
      </c>
      <c r="O88" s="1">
        <f ca="1">SUMPRODUCT(B88:L88,$B$2:$L$2)+INDEX(Indicators,MATCH(A88,Materials!$D:$D),MATCH("Truck (32+t)",Materials!$1:$1,0))*'Data Entry'!$C$64</f>
        <v>3.5415660907126706E-4</v>
      </c>
      <c r="P88" s="1">
        <f ca="1">SUMPRODUCT(B88:L88,$B$3:$L$3)+INDEX(Indicators,MATCH(A88,Materials!$D:$D),MATCH("Truck (32+t)",Materials!$1:$1,0))*'Data Entry'!$C$72</f>
        <v>1.3053585616046309E-6</v>
      </c>
      <c r="Q88" s="1">
        <f ca="1">SUMPRODUCT(B88:L88,$B$4:$L$4)+INDEX(Indicators,MATCH(A88,Materials!$D:$D),MATCH("Truck (32+t)",Materials!$1:$1,0))*'Data Entry'!$C$66+$AQ$16</f>
        <v>5.345147525621989E-4</v>
      </c>
      <c r="R88" s="1">
        <f ca="1">SUMPRODUCT(B88:L88,$B$5:$L$5)+INDEX(Indicators,MATCH(A88,Materials!$D:$D),MATCH("Truck (32+t)",Materials!$1:$1,0))*'Data Entry'!$C$68+$AQ$16</f>
        <v>4.628985544968807E-4</v>
      </c>
      <c r="S88" s="1">
        <f ca="1">SUMPRODUCT(B88:L88,$B$6:$L$6)+INDEX(Indicators,MATCH(A88,Materials!$D:$D),MATCH("Truck (32+t)",Materials!$1:$1,0))*'Data Entry'!$C$70+$AQ$16</f>
        <v>4.7701668516533628E-4</v>
      </c>
      <c r="T88" s="1">
        <f ca="1">SUMPRODUCT(B88:L88,$B$7:$L$7)+INDEX(Indicators,MATCH(A88,Materials!$D:$D),MATCH("Truck (32+t)",Materials!$1:$1,0))*'Data Entry'!$C$68+$AQ$16</f>
        <v>4.1563137253792072E-4</v>
      </c>
      <c r="U88" s="1">
        <f ca="1">SUMPRODUCT(B88:L88,$B$8:$L$8)+INDEX(Indicators,MATCH(A88,Materials!$D:$D),MATCH("Truck (32+t)",Materials!$1:$1,0))*'Data Entry'!$C$69+$AQ$16</f>
        <v>4.2104649829204088E-4</v>
      </c>
      <c r="V88" s="1">
        <f ca="1">SUMPRODUCT(B88:L88,$B$9:$L$9)+INDEX(Indicators,MATCH(A88,Materials!$D:$D),MATCH("Truck (32+t)",Materials!$1:$1,0))*'Data Entry'!$C$71</f>
        <v>1.3624581743829507E-5</v>
      </c>
      <c r="W88" s="1">
        <f ca="1">SUMPRODUCT(B88:L88,$B$10:$L$10)+INDEX(Indicators,MATCH(A88,Materials!$D:$D),MATCH("Truck (32+t)",Materials!$1:$1,0))*'Data Entry'!$C$72</f>
        <v>5.6760000000000007E-8</v>
      </c>
      <c r="Z88">
        <v>8.3999999999999995E-3</v>
      </c>
      <c r="AA88">
        <v>-3.3869999999999997E-2</v>
      </c>
      <c r="AB88">
        <v>8.3000000000000001E-3</v>
      </c>
      <c r="AC88" s="209">
        <v>5.1000000000000004E-3</v>
      </c>
      <c r="AD88" s="209"/>
      <c r="AF88" cm="1">
        <f t="array" ref="AF88">SUMPRODUCT($AF$2:$AF$5, TRANSPOSE($Z88:$AC88))</f>
        <v>-2.6549999999999924E-4</v>
      </c>
      <c r="AG88" cm="1">
        <f t="array" ref="AG88">SUMPRODUCT($AG$2:$AG$5, TRANSPOSE($Z88:$AC88))</f>
        <v>1.5230000000000005E-3</v>
      </c>
      <c r="AH88" cm="1">
        <f t="array" ref="AH88">SUMPRODUCT($AH$2:$AH$5, TRANSPOSE($Z88:$AC88))</f>
        <v>1.5230000000000005E-3</v>
      </c>
      <c r="AK88" t="s">
        <v>379</v>
      </c>
      <c r="AL88" t="s">
        <v>485</v>
      </c>
      <c r="AM88" cm="1">
        <f t="array" aca="1" ref="AM88" ca="1">IFERROR(($AM$2*INDEX(Indicators,MATCH($A88,INDEX(Indicators,0,4),0),MATCH($AK$2,INDEX(Indicators,1,0),0)))+($AM$3*INDEX(Indicators,MATCH($A88,INDEX(Indicators,0,4),0),MATCH($AK$3,INDEX(Indicators,1,0),0)))+(INDEX(Electricity_projection,MATCH(AL88&amp;AK88,INDEX(Electricity_projection,0,3),0),MATCH(YEAR(TODAY()),Timeline_elec_projec,0)+3)*$AM$4), 0)</f>
        <v>1.5703911205770728E-4</v>
      </c>
      <c r="AN88" cm="1">
        <f t="array" aca="1" ref="AN88" ca="1">IFERROR(($AN$2*INDEX(Indicators,MATCH($A88,INDEX(Indicators,0,4),0),MATCH($AK$2,INDEX(Indicators,1,0),0)))+($AN$3*INDEX(Indicators,MATCH($A88,INDEX(Indicators,0,4),0),MATCH($AK$3,INDEX(Indicators,1,0),0)))+(INDEX(Electricity_projection,MATCH(AL88&amp;AK88,INDEX(Electricity_projection,0,3),0),MATCH(YEAR(TODAY()),Timeline_elec_projec,0)+3)*$AN$4), 0)</f>
        <v>1.458747818299248E-4</v>
      </c>
      <c r="AO88" cm="1">
        <f t="array" aca="1" ref="AO88" ca="1">IFERROR(($AO$2*INDEX(Indicators,MATCH($A88,INDEX(Indicators,0,4),0),MATCH($AK$2,INDEX(Indicators,1,0),0)))+($AO$3*INDEX(Indicators,MATCH($A88,INDEX(Indicators,0,4),0),MATCH($AK$3,INDEX(Indicators,1,0),0)))+(INDEX(Electricity_projection,MATCH(AL88&amp;AK88,INDEX(Electricity_projection,0,3),0),MATCH(YEAR(TODAY()),Timeline_elec_projec,0)+3)*$AO$4), 0)</f>
        <v>4.4842349976366289E-5</v>
      </c>
      <c r="AP88" cm="1">
        <f t="array" aca="1" ref="AP88" ca="1">IFERROR(($AP$2*INDEX(Indicators,MATCH($A88,INDEX(Indicators,0,4),0),MATCH($AK$2,INDEX(Indicators,1,0),0)))+($AP$3*INDEX(Indicators,MATCH($A88,INDEX(Indicators,0,4),0),MATCH($AK$3,INDEX(Indicators,1,0),0)))+(INDEX(Electricity_projection,MATCH(AL88&amp;AK88,INDEX(Electricity_projection,0,3),0),MATCH(YEAR(TODAY()),Timeline_elec_projec,0)+3)*$AP$4), 0)</f>
        <v>4.1151572365366297E-5</v>
      </c>
      <c r="AQ88">
        <f ca="1"/>
        <v>1.5703911205770728E-4</v>
      </c>
    </row>
    <row r="89" spans="1:43" x14ac:dyDescent="0.35">
      <c r="A89" t="str" cm="1">
        <f t="array" ref="A89">INDEX(Indicators,ROW()-9,4)</f>
        <v>A2ConsequentialGWP_bio</v>
      </c>
      <c r="B89" s="540" cm="1">
        <f t="array" aca="1" ref="B89:I89" ca="1">INDEX(Indicators,ROW()-9,MATCH(Handle_Wearing_Course,Materials!$1:$1,0))</f>
        <v>1.0257594599999999E-6</v>
      </c>
      <c r="C89" s="1">
        <f ca="1"/>
        <v>6.1311384000000002E-7</v>
      </c>
      <c r="D89" s="1">
        <f ca="1"/>
        <v>3.204126E-7</v>
      </c>
      <c r="E89" s="1">
        <f ca="1"/>
        <v>1.1498320557239957E-3</v>
      </c>
      <c r="F89" s="1">
        <f ca="1"/>
        <v>0</v>
      </c>
      <c r="G89" s="1">
        <f ca="1"/>
        <v>1.66E-7</v>
      </c>
      <c r="H89" s="1">
        <f ca="1"/>
        <v>0</v>
      </c>
      <c r="I89" s="212">
        <f ca="1"/>
        <v>-5.1209999999999997E-3</v>
      </c>
      <c r="J89" s="1">
        <v>-8.2714999999999993E-3</v>
      </c>
      <c r="K89" s="1">
        <v>-5.1209999999999997E-3</v>
      </c>
      <c r="L89" s="1">
        <v>-5.1209999999999997E-3</v>
      </c>
      <c r="O89" s="1">
        <f ca="1">SUMPRODUCT(B89:L89,$B$2:$L$2)+INDEX(Indicators,MATCH(A89,Materials!$D:$D),MATCH("Truck (32+t)",Materials!$1:$1,0))*'Data Entry'!$C$64</f>
        <v>6.9954137235839732E-5</v>
      </c>
      <c r="P89" s="1">
        <f ca="1">SUMPRODUCT(B89:L89,$B$3:$L$3)+INDEX(Indicators,MATCH(A89,Materials!$D:$D),MATCH("Truck (32+t)",Materials!$1:$1,0))*'Data Entry'!$C$72</f>
        <v>-4.9532578610759993E-4</v>
      </c>
      <c r="Q89" s="1">
        <f ca="1">SUMPRODUCT(B89:L89,$B$4:$L$4)+INDEX(Indicators,MATCH(A89,Materials!$D:$D),MATCH("Truck (32+t)",Materials!$1:$1,0))*'Data Entry'!$C$66+$AQ$16</f>
        <v>2.0402013754854895E-4</v>
      </c>
      <c r="R89" s="1">
        <f ca="1">SUMPRODUCT(B89:L89,$B$5:$L$5)+INDEX(Indicators,MATCH(A89,Materials!$D:$D),MATCH("Truck (32+t)",Materials!$1:$1,0))*'Data Entry'!$C$68+$AQ$16</f>
        <v>9.4280576573379019E-5</v>
      </c>
      <c r="S89" s="1">
        <f ca="1">SUMPRODUCT(B89:L89,$B$6:$L$6)+INDEX(Indicators,MATCH(A89,Materials!$D:$D),MATCH("Truck (32+t)",Materials!$1:$1,0))*'Data Entry'!$C$70+$AQ$16</f>
        <v>1.92814213329909E-4</v>
      </c>
      <c r="T89" s="1">
        <f ca="1">SUMPRODUCT(B89:L89,$B$7:$L$7)+INDEX(Indicators,MATCH(A89,Materials!$D:$D),MATCH("Truck (32+t)",Materials!$1:$1,0))*'Data Entry'!$C$68+$AQ$16</f>
        <v>9.8751732494049062E-5</v>
      </c>
      <c r="U89" s="1">
        <f ca="1">SUMPRODUCT(B89:L89,$B$8:$L$8)+INDEX(Indicators,MATCH(A89,Materials!$D:$D),MATCH("Truck (32+t)",Materials!$1:$1,0))*'Data Entry'!$C$69+$AQ$16</f>
        <v>1.8132615036726903E-4</v>
      </c>
      <c r="V89" s="1">
        <f ca="1">SUMPRODUCT(B89:L89,$B$9:$L$9)+INDEX(Indicators,MATCH(A89,Materials!$D:$D),MATCH("Truck (32+t)",Materials!$1:$1,0))*'Data Entry'!$C$71</f>
        <v>6.0186224999999987E-7</v>
      </c>
      <c r="W89" s="1">
        <f ca="1">SUMPRODUCT(B89:L89,$B$10:$L$10)+INDEX(Indicators,MATCH(A89,Materials!$D:$D),MATCH("Truck (32+t)",Materials!$1:$1,0))*'Data Entry'!$C$72</f>
        <v>5.4780000000000005E-8</v>
      </c>
      <c r="Z89">
        <v>-3.9199999999999999E-3</v>
      </c>
      <c r="AA89">
        <v>-5.1959999999999999E-2</v>
      </c>
      <c r="AB89">
        <v>-8.6899999999999998E-3</v>
      </c>
      <c r="AC89" s="209">
        <v>1.1800000000000001E-3</v>
      </c>
      <c r="AD89" s="209"/>
      <c r="AF89" cm="1">
        <f t="array" ref="AF89">SUMPRODUCT($AF$2:$AF$5, TRANSPOSE($Z89:$AC89))</f>
        <v>-8.2714999999999993E-3</v>
      </c>
      <c r="AG89" cm="1">
        <f t="array" ref="AG89">SUMPRODUCT($AG$2:$AG$5, TRANSPOSE($Z89:$AC89))</f>
        <v>-5.1209999999999997E-3</v>
      </c>
      <c r="AH89" cm="1">
        <f t="array" ref="AH89">SUMPRODUCT($AH$2:$AH$5, TRANSPOSE($Z89:$AC89))</f>
        <v>-5.1209999999999997E-3</v>
      </c>
      <c r="AK89" t="s">
        <v>384</v>
      </c>
      <c r="AL89" t="s">
        <v>485</v>
      </c>
      <c r="AM89" cm="1">
        <f t="array" aca="1" ref="AM89" ca="1">IFERROR(($AM$2*INDEX(Indicators,MATCH($A89,INDEX(Indicators,0,4),0),MATCH($AK$2,INDEX(Indicators,1,0),0)))+($AM$3*INDEX(Indicators,MATCH($A89,INDEX(Indicators,0,4),0),MATCH($AK$3,INDEX(Indicators,1,0),0)))+(INDEX(Electricity_projection,MATCH(AL89&amp;AK89,INDEX(Electricity_projection,0,3),0),MATCH(YEAR(TODAY()),Timeline_elec_projec,0)+3)*$AM$4), 0)</f>
        <v>0</v>
      </c>
      <c r="AN89" cm="1">
        <f t="array" aca="1" ref="AN89" ca="1">IFERROR(($AN$2*INDEX(Indicators,MATCH($A89,INDEX(Indicators,0,4),0),MATCH($AK$2,INDEX(Indicators,1,0),0)))+($AN$3*INDEX(Indicators,MATCH($A89,INDEX(Indicators,0,4),0),MATCH($AK$3,INDEX(Indicators,1,0),0)))+(INDEX(Electricity_projection,MATCH(AL89&amp;AK89,INDEX(Electricity_projection,0,3),0),MATCH(YEAR(TODAY()),Timeline_elec_projec,0)+3)*$AN$4), 0)</f>
        <v>0</v>
      </c>
      <c r="AO89" cm="1">
        <f t="array" aca="1" ref="AO89" ca="1">IFERROR(($AO$2*INDEX(Indicators,MATCH($A89,INDEX(Indicators,0,4),0),MATCH($AK$2,INDEX(Indicators,1,0),0)))+($AO$3*INDEX(Indicators,MATCH($A89,INDEX(Indicators,0,4),0),MATCH($AK$3,INDEX(Indicators,1,0),0)))+(INDEX(Electricity_projection,MATCH(AL89&amp;AK89,INDEX(Electricity_projection,0,3),0),MATCH(YEAR(TODAY()),Timeline_elec_projec,0)+3)*$AO$4), 0)</f>
        <v>0</v>
      </c>
      <c r="AP89" cm="1">
        <f t="array" aca="1" ref="AP89" ca="1">IFERROR(($AP$2*INDEX(Indicators,MATCH($A89,INDEX(Indicators,0,4),0),MATCH($AK$2,INDEX(Indicators,1,0),0)))+($AP$3*INDEX(Indicators,MATCH($A89,INDEX(Indicators,0,4),0),MATCH($AK$3,INDEX(Indicators,1,0),0)))+(INDEX(Electricity_projection,MATCH(AL89&amp;AK89,INDEX(Electricity_projection,0,3),0),MATCH(YEAR(TODAY()),Timeline_elec_projec,0)+3)*$AP$4), 0)</f>
        <v>0</v>
      </c>
      <c r="AQ89">
        <f ca="1"/>
        <v>0</v>
      </c>
    </row>
    <row r="90" spans="1:43" x14ac:dyDescent="0.35">
      <c r="A90" t="str" cm="1">
        <f t="array" ref="A90">INDEX(Indicators,ROW()-9,4)</f>
        <v>A2ConsequentialGWP_foss</v>
      </c>
      <c r="B90" s="540" cm="1">
        <f t="array" aca="1" ref="B90:I90" ca="1">INDEX(Indicators,ROW()-9,MATCH(Handle_Wearing_Course,Materials!$1:$1,0))</f>
        <v>3.5304532402565614E-3</v>
      </c>
      <c r="C90" s="1">
        <f ca="1"/>
        <v>2.202868335493918E-3</v>
      </c>
      <c r="D90" s="1">
        <f ca="1"/>
        <v>1.1512165030123582E-3</v>
      </c>
      <c r="E90" s="1">
        <f ca="1"/>
        <v>0.44260252025593655</v>
      </c>
      <c r="F90" s="1">
        <f ca="1"/>
        <v>0</v>
      </c>
      <c r="G90" s="1">
        <f ca="1"/>
        <v>7.9699999999999999E-5</v>
      </c>
      <c r="H90" s="1">
        <f ca="1"/>
        <v>0</v>
      </c>
      <c r="I90" s="212">
        <f ca="1"/>
        <v>0.97609600000000007</v>
      </c>
      <c r="J90" s="1">
        <v>1.169054</v>
      </c>
      <c r="K90" s="1">
        <v>0.97609600000000007</v>
      </c>
      <c r="L90" s="1">
        <v>0.97609600000000007</v>
      </c>
      <c r="O90" s="1">
        <f ca="1">SUMPRODUCT(B90:L90,$B$2:$L$2)+INDEX(Indicators,MATCH(A90,Materials!$D:$D),MATCH("Truck (32+t)",Materials!$1:$1,0))*'Data Entry'!$C$64</f>
        <v>2.9874777261197361E-2</v>
      </c>
      <c r="P90" s="1">
        <f ca="1">SUMPRODUCT(B90:L90,$B$3:$L$3)+INDEX(Indicators,MATCH(A90,Materials!$D:$D),MATCH("Truck (32+t)",Materials!$1:$1,0))*'Data Entry'!$C$72</f>
        <v>7.3461866045841165E-2</v>
      </c>
      <c r="Q90" s="1">
        <f ca="1">SUMPRODUCT(B90:L90,$B$4:$L$4)+INDEX(Indicators,MATCH(A90,Materials!$D:$D),MATCH("Truck (32+t)",Materials!$1:$1,0))*'Data Entry'!$C$66+$AQ$16</f>
        <v>3.3436663312550553E-2</v>
      </c>
      <c r="R90" s="1">
        <f ca="1">SUMPRODUCT(B90:L90,$B$5:$L$5)+INDEX(Indicators,MATCH(A90,Materials!$D:$D),MATCH("Truck (32+t)",Materials!$1:$1,0))*'Data Entry'!$C$68+$AQ$16</f>
        <v>4.2772799208071664E-2</v>
      </c>
      <c r="S90" s="1">
        <f ca="1">SUMPRODUCT(B90:L90,$B$6:$L$6)+INDEX(Indicators,MATCH(A90,Materials!$D:$D),MATCH("Truck (32+t)",Materials!$1:$1,0))*'Data Entry'!$C$70+$AQ$16</f>
        <v>2.9997637337291432E-2</v>
      </c>
      <c r="T90" s="1">
        <f ca="1">SUMPRODUCT(B90:L90,$B$7:$L$7)+INDEX(Indicators,MATCH(A90,Materials!$D:$D),MATCH("Truck (32+t)",Materials!$1:$1,0))*'Data Entry'!$C$68+$AQ$16</f>
        <v>3.8000039533452379E-2</v>
      </c>
      <c r="U90" s="1">
        <f ca="1">SUMPRODUCT(B90:L90,$B$8:$L$8)+INDEX(Indicators,MATCH(A90,Materials!$D:$D),MATCH("Truck (32+t)",Materials!$1:$1,0))*'Data Entry'!$C$69+$AQ$16</f>
        <v>2.5606916667134633E-2</v>
      </c>
      <c r="V90" s="1">
        <f ca="1">SUMPRODUCT(B90:L90,$B$9:$L$9)+INDEX(Indicators,MATCH(A90,Materials!$D:$D),MATCH("Truck (32+t)",Materials!$1:$1,0))*'Data Entry'!$C$71</f>
        <v>2.0074249207307523E-3</v>
      </c>
      <c r="W90" s="1">
        <f ca="1">SUMPRODUCT(B90:L90,$B$10:$L$10)+INDEX(Indicators,MATCH(A90,Materials!$D:$D),MATCH("Truck (32+t)",Materials!$1:$1,0))*'Data Entry'!$C$72</f>
        <v>2.6301000000000001E-5</v>
      </c>
      <c r="Z90">
        <v>3.4467500000000002</v>
      </c>
      <c r="AA90">
        <v>0.71689000000000003</v>
      </c>
      <c r="AB90">
        <v>4.3226300000000002</v>
      </c>
      <c r="AC90" s="209">
        <v>0.59018000000000004</v>
      </c>
      <c r="AD90" s="209"/>
      <c r="AF90" cm="1">
        <f t="array" ref="AF90">SUMPRODUCT($AF$2:$AF$5, TRANSPOSE($Z90:$AC90))</f>
        <v>1.169054</v>
      </c>
      <c r="AG90" cm="1">
        <f t="array" ref="AG90">SUMPRODUCT($AG$2:$AG$5, TRANSPOSE($Z90:$AC90))</f>
        <v>0.97609600000000007</v>
      </c>
      <c r="AH90" cm="1">
        <f t="array" ref="AH90">SUMPRODUCT($AH$2:$AH$5, TRANSPOSE($Z90:$AC90))</f>
        <v>0.97609600000000007</v>
      </c>
      <c r="AK90" t="s">
        <v>386</v>
      </c>
      <c r="AL90" t="s">
        <v>485</v>
      </c>
      <c r="AM90" cm="1">
        <f t="array" aca="1" ref="AM90" ca="1">IFERROR(($AM$2*INDEX(Indicators,MATCH($A90,INDEX(Indicators,0,4),0),MATCH($AK$2,INDEX(Indicators,1,0),0)))+($AM$3*INDEX(Indicators,MATCH($A90,INDEX(Indicators,0,4),0),MATCH($AK$3,INDEX(Indicators,1,0),0)))+(INDEX(Electricity_projection,MATCH(AL90&amp;AK90,INDEX(Electricity_projection,0,3),0),MATCH(YEAR(TODAY()),Timeline_elec_projec,0)+3)*$AM$4), 0)</f>
        <v>0</v>
      </c>
      <c r="AN90" cm="1">
        <f t="array" aca="1" ref="AN90" ca="1">IFERROR(($AN$2*INDEX(Indicators,MATCH($A90,INDEX(Indicators,0,4),0),MATCH($AK$2,INDEX(Indicators,1,0),0)))+($AN$3*INDEX(Indicators,MATCH($A90,INDEX(Indicators,0,4),0),MATCH($AK$3,INDEX(Indicators,1,0),0)))+(INDEX(Electricity_projection,MATCH(AL90&amp;AK90,INDEX(Electricity_projection,0,3),0),MATCH(YEAR(TODAY()),Timeline_elec_projec,0)+3)*$AN$4), 0)</f>
        <v>0</v>
      </c>
      <c r="AO90" cm="1">
        <f t="array" aca="1" ref="AO90" ca="1">IFERROR(($AO$2*INDEX(Indicators,MATCH($A90,INDEX(Indicators,0,4),0),MATCH($AK$2,INDEX(Indicators,1,0),0)))+($AO$3*INDEX(Indicators,MATCH($A90,INDEX(Indicators,0,4),0),MATCH($AK$3,INDEX(Indicators,1,0),0)))+(INDEX(Electricity_projection,MATCH(AL90&amp;AK90,INDEX(Electricity_projection,0,3),0),MATCH(YEAR(TODAY()),Timeline_elec_projec,0)+3)*$AO$4), 0)</f>
        <v>0</v>
      </c>
      <c r="AP90" cm="1">
        <f t="array" aca="1" ref="AP90" ca="1">IFERROR(($AP$2*INDEX(Indicators,MATCH($A90,INDEX(Indicators,0,4),0),MATCH($AK$2,INDEX(Indicators,1,0),0)))+($AP$3*INDEX(Indicators,MATCH($A90,INDEX(Indicators,0,4),0),MATCH($AK$3,INDEX(Indicators,1,0),0)))+(INDEX(Electricity_projection,MATCH(AL90&amp;AK90,INDEX(Electricity_projection,0,3),0),MATCH(YEAR(TODAY()),Timeline_elec_projec,0)+3)*$AP$4), 0)</f>
        <v>0</v>
      </c>
      <c r="AQ90">
        <f ca="1"/>
        <v>0</v>
      </c>
    </row>
    <row r="91" spans="1:43" x14ac:dyDescent="0.35">
      <c r="A91" t="str" cm="1">
        <f t="array" ref="A91">INDEX(Indicators,ROW()-9,4)</f>
        <v>A2ConsequentialGWP_LUC</v>
      </c>
      <c r="B91" s="540" cm="1">
        <f t="array" aca="1" ref="B91:I91" ca="1">INDEX(Indicators,ROW()-9,MATCH(Handle_Wearing_Course,Materials!$1:$1,0))</f>
        <v>1.4100876000000002E-7</v>
      </c>
      <c r="C91" s="1">
        <f ca="1"/>
        <v>7.2131039999999999E-8</v>
      </c>
      <c r="D91" s="1">
        <f ca="1"/>
        <v>3.76956E-8</v>
      </c>
      <c r="E91" s="1">
        <f ca="1"/>
        <v>1.0481473049105834E-4</v>
      </c>
      <c r="F91" s="1">
        <f ca="1"/>
        <v>0</v>
      </c>
      <c r="G91" s="1">
        <f ca="1"/>
        <v>8.7299999999999994E-8</v>
      </c>
      <c r="H91" s="1">
        <f ca="1"/>
        <v>0</v>
      </c>
      <c r="I91" s="212">
        <f ca="1"/>
        <v>2.2714400000000003E-4</v>
      </c>
      <c r="J91" s="1">
        <v>3.3875099999999998E-4</v>
      </c>
      <c r="K91" s="1">
        <v>2.2714400000000003E-4</v>
      </c>
      <c r="L91" s="1">
        <v>2.2714400000000003E-4</v>
      </c>
      <c r="O91" s="1">
        <f ca="1">SUMPRODUCT(B91:L91,$B$2:$L$2)+INDEX(Indicators,MATCH(A91,Materials!$D:$D),MATCH("Truck (32+t)",Materials!$1:$1,0))*'Data Entry'!$C$64</f>
        <v>6.4214320638635001E-6</v>
      </c>
      <c r="P91" s="1">
        <f ca="1">SUMPRODUCT(B91:L91,$B$3:$L$3)+INDEX(Indicators,MATCH(A91,Materials!$D:$D),MATCH("Truck (32+t)",Materials!$1:$1,0))*'Data Entry'!$C$72</f>
        <v>2.0457608234399997E-5</v>
      </c>
      <c r="Q91" s="1">
        <f ca="1">SUMPRODUCT(B91:L91,$B$4:$L$4)+INDEX(Indicators,MATCH(A91,Materials!$D:$D),MATCH("Truck (32+t)",Materials!$1:$1,0))*'Data Entry'!$C$66+$AQ$16</f>
        <v>1.3028692011124335E-4</v>
      </c>
      <c r="R91" s="1">
        <f ca="1">SUMPRODUCT(B91:L91,$B$5:$L$5)+INDEX(Indicators,MATCH(A91,Materials!$D:$D),MATCH("Truck (32+t)",Materials!$1:$1,0))*'Data Entry'!$C$68+$AQ$16</f>
        <v>1.3242768232764982E-4</v>
      </c>
      <c r="S91" s="1">
        <f ca="1">SUMPRODUCT(B91:L91,$B$6:$L$6)+INDEX(Indicators,MATCH(A91,Materials!$D:$D),MATCH("Truck (32+t)",Materials!$1:$1,0))*'Data Entry'!$C$70+$AQ$16</f>
        <v>1.2928150815793275E-4</v>
      </c>
      <c r="T91" s="1">
        <f ca="1">SUMPRODUCT(B91:L91,$B$7:$L$7)+INDEX(Indicators,MATCH(A91,Materials!$D:$D),MATCH("Truck (32+t)",Materials!$1:$1,0))*'Data Entry'!$C$68+$AQ$16</f>
        <v>1.3111644720056688E-4</v>
      </c>
      <c r="U91" s="1">
        <f ca="1">SUMPRODUCT(B91:L91,$B$8:$L$8)+INDEX(Indicators,MATCH(A91,Materials!$D:$D),MATCH("Truck (32+t)",Materials!$1:$1,0))*'Data Entry'!$C$69+$AQ$16</f>
        <v>1.2823477094062218E-4</v>
      </c>
      <c r="V91" s="1">
        <f ca="1">SUMPRODUCT(B91:L91,$B$9:$L$9)+INDEX(Indicators,MATCH(A91,Materials!$D:$D),MATCH("Truck (32+t)",Materials!$1:$1,0))*'Data Entry'!$C$71</f>
        <v>9.1138500000000006E-8</v>
      </c>
      <c r="W91" s="1">
        <f ca="1">SUMPRODUCT(B91:L91,$B$10:$L$10)+INDEX(Indicators,MATCH(A91,Materials!$D:$D),MATCH("Truck (32+t)",Materials!$1:$1,0))*'Data Entry'!$C$72</f>
        <v>2.8809E-8</v>
      </c>
      <c r="Z91">
        <v>5.5999999999999995E-4</v>
      </c>
      <c r="AA91">
        <v>1.4E-3</v>
      </c>
      <c r="AB91">
        <v>8.4000000000000003E-4</v>
      </c>
      <c r="AC91" s="209">
        <v>3.9299999999999996E-6</v>
      </c>
      <c r="AD91" s="209"/>
      <c r="AF91" cm="1">
        <f t="array" ref="AF91">SUMPRODUCT($AF$2:$AF$5, TRANSPOSE($Z91:$AC91))</f>
        <v>3.3875099999999998E-4</v>
      </c>
      <c r="AG91" cm="1">
        <f t="array" ref="AG91">SUMPRODUCT($AG$2:$AG$5, TRANSPOSE($Z91:$AC91))</f>
        <v>2.2714400000000003E-4</v>
      </c>
      <c r="AH91" cm="1">
        <f t="array" ref="AH91">SUMPRODUCT($AH$2:$AH$5, TRANSPOSE($Z91:$AC91))</f>
        <v>2.2714400000000003E-4</v>
      </c>
      <c r="AK91" t="s">
        <v>388</v>
      </c>
      <c r="AL91" t="s">
        <v>485</v>
      </c>
      <c r="AM91" cm="1">
        <f t="array" aca="1" ref="AM91" ca="1">IFERROR(($AM$2*INDEX(Indicators,MATCH($A91,INDEX(Indicators,0,4),0),MATCH($AK$2,INDEX(Indicators,1,0),0)))+($AM$3*INDEX(Indicators,MATCH($A91,INDEX(Indicators,0,4),0),MATCH($AK$3,INDEX(Indicators,1,0),0)))+(INDEX(Electricity_projection,MATCH(AL91&amp;AK91,INDEX(Electricity_projection,0,3),0),MATCH(YEAR(TODAY()),Timeline_elec_projec,0)+3)*$AM$4), 0)</f>
        <v>0</v>
      </c>
      <c r="AN91" cm="1">
        <f t="array" aca="1" ref="AN91" ca="1">IFERROR(($AN$2*INDEX(Indicators,MATCH($A91,INDEX(Indicators,0,4),0),MATCH($AK$2,INDEX(Indicators,1,0),0)))+($AN$3*INDEX(Indicators,MATCH($A91,INDEX(Indicators,0,4),0),MATCH($AK$3,INDEX(Indicators,1,0),0)))+(INDEX(Electricity_projection,MATCH(AL91&amp;AK91,INDEX(Electricity_projection,0,3),0),MATCH(YEAR(TODAY()),Timeline_elec_projec,0)+3)*$AN$4), 0)</f>
        <v>0</v>
      </c>
      <c r="AO91" cm="1">
        <f t="array" aca="1" ref="AO91" ca="1">IFERROR(($AO$2*INDEX(Indicators,MATCH($A91,INDEX(Indicators,0,4),0),MATCH($AK$2,INDEX(Indicators,1,0),0)))+($AO$3*INDEX(Indicators,MATCH($A91,INDEX(Indicators,0,4),0),MATCH($AK$3,INDEX(Indicators,1,0),0)))+(INDEX(Electricity_projection,MATCH(AL91&amp;AK91,INDEX(Electricity_projection,0,3),0),MATCH(YEAR(TODAY()),Timeline_elec_projec,0)+3)*$AO$4), 0)</f>
        <v>0</v>
      </c>
      <c r="AP91" cm="1">
        <f t="array" aca="1" ref="AP91" ca="1">IFERROR(($AP$2*INDEX(Indicators,MATCH($A91,INDEX(Indicators,0,4),0),MATCH($AK$2,INDEX(Indicators,1,0),0)))+($AP$3*INDEX(Indicators,MATCH($A91,INDEX(Indicators,0,4),0),MATCH($AK$3,INDEX(Indicators,1,0),0)))+(INDEX(Electricity_projection,MATCH(AL91&amp;AK91,INDEX(Electricity_projection,0,3),0),MATCH(YEAR(TODAY()),Timeline_elec_projec,0)+3)*$AP$4), 0)</f>
        <v>0</v>
      </c>
      <c r="AQ91">
        <f ca="1"/>
        <v>0</v>
      </c>
    </row>
    <row r="92" spans="1:43" x14ac:dyDescent="0.35">
      <c r="A92" t="str" cm="1">
        <f t="array" ref="A92">INDEX(Indicators,ROW()-9,4)</f>
        <v>A2ConsequentialGWP</v>
      </c>
      <c r="B92" s="540" cm="1">
        <f t="array" aca="1" ref="B92:I92" ca="1">INDEX(Indicators,ROW()-9,MATCH(Handle_Wearing_Course,Materials!$1:$1,0))</f>
        <v>3.8497680497143918E-3</v>
      </c>
      <c r="C92" s="1">
        <f ca="1"/>
        <v>2.5679881058863836E-3</v>
      </c>
      <c r="D92" s="1">
        <f ca="1"/>
        <v>2.5566892157629657E-3</v>
      </c>
      <c r="E92" s="1">
        <f ca="1"/>
        <v>0.4439290511778472</v>
      </c>
      <c r="F92" s="1">
        <f ca="1"/>
        <v>0</v>
      </c>
      <c r="G92" s="1">
        <f ca="1"/>
        <v>8.0000000000000007E-5</v>
      </c>
      <c r="H92" s="1">
        <f ca="1"/>
        <v>0</v>
      </c>
      <c r="I92" s="212">
        <f ca="1"/>
        <v>0.97073500000000013</v>
      </c>
      <c r="J92" s="1">
        <v>1.1604274999999999</v>
      </c>
      <c r="K92" s="1">
        <v>0.97073500000000013</v>
      </c>
      <c r="L92" s="1">
        <v>0.97073500000000013</v>
      </c>
      <c r="O92" s="1">
        <f ca="1">SUMPRODUCT(B92:L92,$B$2:$L$2)+INDEX(Indicators,MATCH(A92,Materials!$D:$D),MATCH("Truck (32+t)",Materials!$1:$1,0))*'Data Entry'!$C$64</f>
        <v>3.025452503740236E-2</v>
      </c>
      <c r="P92" s="1">
        <f ca="1">SUMPRODUCT(B92:L92,$B$3:$L$3)+INDEX(Indicators,MATCH(A92,Materials!$D:$D),MATCH("Truck (32+t)",Materials!$1:$1,0))*'Data Entry'!$C$72</f>
        <v>7.3244431966731527E-2</v>
      </c>
      <c r="Q92" s="1">
        <f ca="1">SUMPRODUCT(B92:L92,$B$4:$L$4)+INDEX(Indicators,MATCH(A92,Materials!$D:$D),MATCH("Truck (32+t)",Materials!$1:$1,0))*'Data Entry'!$C$66+$AQ$16</f>
        <v>3.4260946411197195E-2</v>
      </c>
      <c r="R92" s="1">
        <f ca="1">SUMPRODUCT(B92:L92,$B$5:$L$5)+INDEX(Indicators,MATCH(A92,Materials!$D:$D),MATCH("Truck (32+t)",Materials!$1:$1,0))*'Data Entry'!$C$68+$AQ$16</f>
        <v>4.3480050515584866E-2</v>
      </c>
      <c r="S92" s="1">
        <f ca="1">SUMPRODUCT(B92:L92,$B$6:$L$6)+INDEX(Indicators,MATCH(A92,Materials!$D:$D),MATCH("Truck (32+t)",Materials!$1:$1,0))*'Data Entry'!$C$70+$AQ$16</f>
        <v>3.0377385113496431E-2</v>
      </c>
      <c r="T92" s="1">
        <f ca="1">SUMPRODUCT(B92:L92,$B$7:$L$7)+INDEX(Indicators,MATCH(A92,Materials!$D:$D),MATCH("Truck (32+t)",Materials!$1:$1,0))*'Data Entry'!$C$68+$AQ$16</f>
        <v>3.8279474345828728E-2</v>
      </c>
      <c r="U92" s="1">
        <f ca="1">SUMPRODUCT(B92:L92,$B$8:$L$8)+INDEX(Indicators,MATCH(A92,Materials!$D:$D),MATCH("Truck (32+t)",Materials!$1:$1,0))*'Data Entry'!$C$69+$AQ$16</f>
        <v>2.5976592282215105E-2</v>
      </c>
      <c r="V92" s="1">
        <f ca="1">SUMPRODUCT(B92:L92,$B$9:$L$9)+INDEX(Indicators,MATCH(A92,Materials!$D:$D),MATCH("Truck (32+t)",Materials!$1:$1,0))*'Data Entry'!$C$71</f>
        <v>2.448221868009789E-3</v>
      </c>
      <c r="W92" s="1">
        <f ca="1">SUMPRODUCT(B92:L92,$B$10:$L$10)+INDEX(Indicators,MATCH(A92,Materials!$D:$D),MATCH("Truck (32+t)",Materials!$1:$1,0))*'Data Entry'!$C$72</f>
        <v>2.6400000000000005E-5</v>
      </c>
      <c r="Z92">
        <v>3.4434</v>
      </c>
      <c r="AA92">
        <v>0.66224000000000005</v>
      </c>
      <c r="AB92">
        <v>4.3143099999999999</v>
      </c>
      <c r="AC92" s="209">
        <v>0.59135000000000004</v>
      </c>
      <c r="AD92" s="209"/>
      <c r="AF92" cm="1">
        <f t="array" ref="AF92">SUMPRODUCT($AF$2:$AF$5, TRANSPOSE($Z92:$AC92))</f>
        <v>1.1604274999999999</v>
      </c>
      <c r="AG92" cm="1">
        <f t="array" ref="AG92">SUMPRODUCT($AG$2:$AG$5, TRANSPOSE($Z92:$AC92))</f>
        <v>0.97073500000000013</v>
      </c>
      <c r="AH92" cm="1">
        <f t="array" ref="AH92">SUMPRODUCT($AH$2:$AH$5, TRANSPOSE($Z92:$AC92))</f>
        <v>0.97073500000000013</v>
      </c>
      <c r="AK92" t="s">
        <v>382</v>
      </c>
      <c r="AL92" t="s">
        <v>485</v>
      </c>
      <c r="AM92" cm="1">
        <f t="array" aca="1" ref="AM92" ca="1">IFERROR(($AM$2*INDEX(Indicators,MATCH($A92,INDEX(Indicators,0,4),0),MATCH($AK$2,INDEX(Indicators,1,0),0)))+($AM$3*INDEX(Indicators,MATCH($A92,INDEX(Indicators,0,4),0),MATCH($AK$3,INDEX(Indicators,1,0),0)))+(INDEX(Electricity_projection,MATCH(AL92&amp;AK92,INDEX(Electricity_projection,0,3),0),MATCH(YEAR(TODAY()),Timeline_elec_projec,0)+3)*$AM$4), 0)</f>
        <v>2.7048956623365539E-2</v>
      </c>
      <c r="AN92" cm="1">
        <f t="array" aca="1" ref="AN92" ca="1">IFERROR(($AN$2*INDEX(Indicators,MATCH($A92,INDEX(Indicators,0,4),0),MATCH($AK$2,INDEX(Indicators,1,0),0)))+($AN$3*INDEX(Indicators,MATCH($A92,INDEX(Indicators,0,4),0),MATCH($AK$3,INDEX(Indicators,1,0),0)))+(INDEX(Electricity_projection,MATCH(AL92&amp;AK92,INDEX(Electricity_projection,0,3),0),MATCH(YEAR(TODAY()),Timeline_elec_projec,0)+3)*$AN$4), 0)</f>
        <v>2.4039056135637844E-2</v>
      </c>
      <c r="AO92" cm="1">
        <f t="array" aca="1" ref="AO92" ca="1">IFERROR(($AO$2*INDEX(Indicators,MATCH($A92,INDEX(Indicators,0,4),0),MATCH($AK$2,INDEX(Indicators,1,0),0)))+($AO$3*INDEX(Indicators,MATCH($A92,INDEX(Indicators,0,4),0),MATCH($AK$3,INDEX(Indicators,1,0),0)))+(INDEX(Electricity_projection,MATCH(AL92&amp;AK92,INDEX(Electricity_projection,0,3),0),MATCH(YEAR(TODAY()),Timeline_elec_projec,0)+3)*$AO$4), 0)</f>
        <v>2.546715239501459E-2</v>
      </c>
      <c r="AP92" cm="1">
        <f t="array" aca="1" ref="AP92" ca="1">IFERROR(($AP$2*INDEX(Indicators,MATCH($A92,INDEX(Indicators,0,4),0),MATCH($AK$2,INDEX(Indicators,1,0),0)))+($AP$3*INDEX(Indicators,MATCH($A92,INDEX(Indicators,0,4),0),MATCH($AK$3,INDEX(Indicators,1,0),0)))+(INDEX(Electricity_projection,MATCH(AL92&amp;AK92,INDEX(Electricity_projection,0,3),0),MATCH(YEAR(TODAY()),Timeline_elec_projec,0)+3)*$AP$4), 0)</f>
        <v>2.194129749501459E-2</v>
      </c>
      <c r="AQ92">
        <f ca="1"/>
        <v>2.7048956623365539E-2</v>
      </c>
    </row>
    <row r="93" spans="1:43" x14ac:dyDescent="0.35">
      <c r="A93" t="str" cm="1">
        <f t="array" ref="A93">INDEX(Indicators,ROW()-9,4)</f>
        <v>A2ConsequentialADPE</v>
      </c>
      <c r="B93" s="540" cm="1">
        <f t="array" aca="1" ref="B93:I93" ca="1">INDEX(Indicators,ROW()-9,MATCH(Handle_Wearing_Course,Materials!$1:$1,0))</f>
        <v>1.5617765392927509E-9</v>
      </c>
      <c r="C93" s="1">
        <f ca="1"/>
        <v>1.4843554924941998E-9</v>
      </c>
      <c r="D93" s="1">
        <f ca="1"/>
        <v>4.7456796100269564E-9</v>
      </c>
      <c r="E93" s="1">
        <f ca="1"/>
        <v>4.1478572376396445E-7</v>
      </c>
      <c r="F93" s="1">
        <f ca="1"/>
        <v>0</v>
      </c>
      <c r="G93" s="1">
        <f ca="1"/>
        <v>1.8400000000000001E-10</v>
      </c>
      <c r="H93" s="1">
        <f ca="1"/>
        <v>0</v>
      </c>
      <c r="I93" s="212">
        <f ca="1"/>
        <v>-1.0639999999999783E-8</v>
      </c>
      <c r="J93" s="1">
        <v>-1.0959600000000001E-6</v>
      </c>
      <c r="K93" s="1">
        <v>-1.0639999999999783E-8</v>
      </c>
      <c r="L93" s="1">
        <v>-1.0639999999999783E-8</v>
      </c>
      <c r="O93" s="1">
        <f ca="1">SUMPRODUCT(B93:L93,$B$2:$L$2)+INDEX(Indicators,MATCH(A93,Materials!$D:$D),MATCH("Truck (32+t)",Materials!$1:$1,0))*'Data Entry'!$C$64</f>
        <v>2.6355213372773051E-8</v>
      </c>
      <c r="P93" s="1">
        <f ca="1">SUMPRODUCT(B93:L93,$B$3:$L$3)+INDEX(Indicators,MATCH(A93,Materials!$D:$D),MATCH("Truck (32+t)",Materials!$1:$1,0))*'Data Entry'!$C$72</f>
        <v>-6.4289530053064819E-8</v>
      </c>
      <c r="Q93" s="1">
        <f ca="1">SUMPRODUCT(B93:L93,$B$4:$L$4)+INDEX(Indicators,MATCH(A93,Materials!$D:$D),MATCH("Truck (32+t)",Materials!$1:$1,0))*'Data Entry'!$C$66+$AQ$16</f>
        <v>1.2289183710814257E-4</v>
      </c>
      <c r="R93" s="1">
        <f ca="1">SUMPRODUCT(B93:L93,$B$5:$L$5)+INDEX(Indicators,MATCH(A93,Materials!$D:$D),MATCH("Truck (32+t)",Materials!$1:$1,0))*'Data Entry'!$C$68+$AQ$16</f>
        <v>1.2288439215797669E-4</v>
      </c>
      <c r="S93" s="1">
        <f ca="1">SUMPRODUCT(B93:L93,$B$6:$L$6)+INDEX(Indicators,MATCH(A93,Materials!$D:$D),MATCH("Truck (32+t)",Materials!$1:$1,0))*'Data Entry'!$C$70+$AQ$16</f>
        <v>1.2288643130744202E-4</v>
      </c>
      <c r="T93" s="1">
        <f ca="1">SUMPRODUCT(B93:L93,$B$7:$L$7)+INDEX(Indicators,MATCH(A93,Materials!$D:$D),MATCH("Truck (32+t)",Materials!$1:$1,0))*'Data Entry'!$C$68+$AQ$16</f>
        <v>1.2288004992158557E-4</v>
      </c>
      <c r="U93" s="1">
        <f ca="1">SUMPRODUCT(B93:L93,$B$8:$L$8)+INDEX(Indicators,MATCH(A93,Materials!$D:$D),MATCH("Truck (32+t)",Materials!$1:$1,0))*'Data Entry'!$C$69+$AQ$16</f>
        <v>1.2288229906796976E-4</v>
      </c>
      <c r="V93" s="1">
        <f ca="1">SUMPRODUCT(B93:L93,$B$9:$L$9)+INDEX(Indicators,MATCH(A93,Materials!$D:$D),MATCH("Truck (32+t)",Materials!$1:$1,0))*'Data Entry'!$C$71</f>
        <v>1.7576241916517668E-9</v>
      </c>
      <c r="W93" s="1">
        <f ca="1">SUMPRODUCT(B93:L93,$B$10:$L$10)+INDEX(Indicators,MATCH(A93,Materials!$D:$D),MATCH("Truck (32+t)",Materials!$1:$1,0))*'Data Entry'!$C$72</f>
        <v>6.0720000000000011E-11</v>
      </c>
      <c r="Z93" s="1">
        <v>6.1883600000000005E-5</v>
      </c>
      <c r="AA93" s="1">
        <v>-7.9453100000000007E-5</v>
      </c>
      <c r="AB93" s="1">
        <v>6.2066700000000007E-5</v>
      </c>
      <c r="AC93" s="209">
        <v>2.1600000000000001E-6</v>
      </c>
      <c r="AD93" s="209"/>
      <c r="AF93" cm="1">
        <f t="array" ref="AF93">SUMPRODUCT($AF$2:$AF$5, TRANSPOSE($Z93:$AC93))</f>
        <v>-1.0959600000000001E-6</v>
      </c>
      <c r="AG93" cm="1">
        <f t="array" ref="AG93">SUMPRODUCT($AG$2:$AG$5, TRANSPOSE($Z93:$AC93))</f>
        <v>-1.0639999999999783E-8</v>
      </c>
      <c r="AH93" cm="1">
        <f t="array" ref="AH93">SUMPRODUCT($AH$2:$AH$5, TRANSPOSE($Z93:$AC93))</f>
        <v>-1.0639999999999783E-8</v>
      </c>
      <c r="AK93" t="s">
        <v>391</v>
      </c>
      <c r="AL93" t="s">
        <v>485</v>
      </c>
      <c r="AM93" cm="1">
        <f t="array" aca="1" ref="AM93" ca="1">IFERROR(($AM$2*INDEX(Indicators,MATCH($A93,INDEX(Indicators,0,4),0),MATCH($AK$2,INDEX(Indicators,1,0),0)))+($AM$3*INDEX(Indicators,MATCH($A93,INDEX(Indicators,0,4),0),MATCH($AK$3,INDEX(Indicators,1,0),0)))+(INDEX(Electricity_projection,MATCH(AL93&amp;AK93,INDEX(Electricity_projection,0,3),0),MATCH(YEAR(TODAY()),Timeline_elec_projec,0)+3)*$AM$4), 0)</f>
        <v>7.8815701719457371E-9</v>
      </c>
      <c r="AN93" cm="1">
        <f t="array" aca="1" ref="AN93" ca="1">IFERROR(($AN$2*INDEX(Indicators,MATCH($A93,INDEX(Indicators,0,4),0),MATCH($AK$2,INDEX(Indicators,1,0),0)))+($AN$3*INDEX(Indicators,MATCH($A93,INDEX(Indicators,0,4),0),MATCH($AK$3,INDEX(Indicators,1,0),0)))+(INDEX(Electricity_projection,MATCH(AL93&amp;AK93,INDEX(Electricity_projection,0,3),0),MATCH(YEAR(TODAY()),Timeline_elec_projec,0)+3)*$AN$4), 0)</f>
        <v>9.8453422065628557E-9</v>
      </c>
      <c r="AO93" cm="1">
        <f t="array" aca="1" ref="AO93" ca="1">IFERROR(($AO$2*INDEX(Indicators,MATCH($A93,INDEX(Indicators,0,4),0),MATCH($AK$2,INDEX(Indicators,1,0),0)))+($AO$3*INDEX(Indicators,MATCH($A93,INDEX(Indicators,0,4),0),MATCH($AK$3,INDEX(Indicators,1,0),0)))+(INDEX(Electricity_projection,MATCH(AL93&amp;AK93,INDEX(Electricity_projection,0,3),0),MATCH(YEAR(TODAY()),Timeline_elec_projec,0)+3)*$AO$4), 0)</f>
        <v>5.5040715983488401E-8</v>
      </c>
      <c r="AP93" cm="1">
        <f t="array" aca="1" ref="AP93" ca="1">IFERROR(($AP$2*INDEX(Indicators,MATCH($A93,INDEX(Indicators,0,4),0),MATCH($AK$2,INDEX(Indicators,1,0),0)))+($AP$3*INDEX(Indicators,MATCH($A93,INDEX(Indicators,0,4),0),MATCH($AK$3,INDEX(Indicators,1,0),0)))+(INDEX(Electricity_projection,MATCH(AL93&amp;AK93,INDEX(Electricity_projection,0,3),0),MATCH(YEAR(TODAY()),Timeline_elec_projec,0)+3)*$AP$4), 0)</f>
        <v>4.7468608473488407E-8</v>
      </c>
      <c r="AQ93">
        <f ca="1"/>
        <v>7.8815701719457371E-9</v>
      </c>
    </row>
    <row r="94" spans="1:43" x14ac:dyDescent="0.35">
      <c r="A94" t="str" cm="1">
        <f t="array" ref="A94">INDEX(Indicators,ROW()-9,4)</f>
        <v xml:space="preserve">A2ConsequentialADPF </v>
      </c>
      <c r="B94" s="540" cm="1">
        <f t="array" aca="1" ref="B94:I94" ca="1">INDEX(Indicators,ROW()-9,MATCH(Handle_Wearing_Course,Materials!$1:$1,0))</f>
        <v>4.7138145261570001E-2</v>
      </c>
      <c r="C94" s="1">
        <f ca="1"/>
        <v>2.9352879188280001E-2</v>
      </c>
      <c r="D94" s="1">
        <f ca="1"/>
        <v>1.5339781496699999E-2</v>
      </c>
      <c r="E94" s="1">
        <f ca="1"/>
        <v>45.496171420817944</v>
      </c>
      <c r="F94" s="1">
        <f ca="1"/>
        <v>0</v>
      </c>
      <c r="G94" s="1">
        <f ca="1"/>
        <v>1.3799999999999999E-3</v>
      </c>
      <c r="H94" s="1">
        <f ca="1"/>
        <v>0</v>
      </c>
      <c r="I94" s="212">
        <f ca="1"/>
        <v>50.381350000000005</v>
      </c>
      <c r="J94" s="1">
        <v>51.492330000000003</v>
      </c>
      <c r="K94" s="1">
        <v>50.381350000000005</v>
      </c>
      <c r="L94" s="1">
        <v>50.381350000000005</v>
      </c>
      <c r="O94" s="1">
        <f ca="1">SUMPRODUCT(B94:L94,$B$2:$L$2)+INDEX(Indicators,MATCH(A94,Materials!$D:$D),MATCH("Truck (32+t)",Materials!$1:$1,0))*'Data Entry'!$C$64</f>
        <v>2.7740801417949523</v>
      </c>
      <c r="P94" s="1">
        <f ca="1">SUMPRODUCT(B94:L94,$B$3:$L$3)+INDEX(Indicators,MATCH(A94,Materials!$D:$D),MATCH("Truck (32+t)",Materials!$1:$1,0))*'Data Entry'!$C$72</f>
        <v>3.1338496565458756</v>
      </c>
      <c r="Q94" s="1">
        <f ca="1">SUMPRODUCT(B94:L94,$B$4:$L$4)+INDEX(Indicators,MATCH(A94,Materials!$D:$D),MATCH("Truck (32+t)",Materials!$1:$1,0))*'Data Entry'!$C$66+$AQ$16</f>
        <v>3.2159739891206622</v>
      </c>
      <c r="R94" s="1">
        <f ca="1">SUMPRODUCT(B94:L94,$B$5:$L$5)+INDEX(Indicators,MATCH(A94,Materials!$D:$D),MATCH("Truck (32+t)",Materials!$1:$1,0))*'Data Entry'!$C$68+$AQ$16</f>
        <v>3.3014646142563482</v>
      </c>
      <c r="S94" s="1">
        <f ca="1">SUMPRODUCT(B94:L94,$B$6:$L$6)+INDEX(Indicators,MATCH(A94,Materials!$D:$D),MATCH("Truck (32+t)",Materials!$1:$1,0))*'Data Entry'!$C$70+$AQ$16</f>
        <v>2.7742030018710464</v>
      </c>
      <c r="T94" s="1">
        <f ca="1">SUMPRODUCT(B94:L94,$B$7:$L$7)+INDEX(Indicators,MATCH(A94,Materials!$D:$D),MATCH("Truck (32+t)",Materials!$1:$1,0))*'Data Entry'!$C$68+$AQ$16</f>
        <v>2.8474806805587773</v>
      </c>
      <c r="U94" s="1">
        <f ca="1">SUMPRODUCT(B94:L94,$B$8:$L$8)+INDEX(Indicators,MATCH(A94,Materials!$D:$D),MATCH("Truck (32+t)",Materials!$1:$1,0))*'Data Entry'!$C$69+$AQ$16</f>
        <v>2.319712669115483</v>
      </c>
      <c r="V94" s="1">
        <f ca="1">SUMPRODUCT(B94:L94,$B$9:$L$9)+INDEX(Indicators,MATCH(A94,Materials!$D:$D),MATCH("Truck (32+t)",Materials!$1:$1,0))*'Data Entry'!$C$71</f>
        <v>2.6844028930125E-2</v>
      </c>
      <c r="W94" s="1">
        <f ca="1">SUMPRODUCT(B94:L94,$B$10:$L$10)+INDEX(Indicators,MATCH(A94,Materials!$D:$D),MATCH("Truck (32+t)",Materials!$1:$1,0))*'Data Entry'!$C$72</f>
        <v>4.5540000000000001E-4</v>
      </c>
      <c r="Z94">
        <v>83.137219999999999</v>
      </c>
      <c r="AA94">
        <v>24.776330000000002</v>
      </c>
      <c r="AB94">
        <v>93.762050000000002</v>
      </c>
      <c r="AC94" s="209">
        <v>48.159390000000002</v>
      </c>
      <c r="AD94" s="209"/>
      <c r="AF94" cm="1">
        <f t="array" ref="AF94">SUMPRODUCT($AF$2:$AF$5, TRANSPOSE($Z94:$AC94))</f>
        <v>51.492330000000003</v>
      </c>
      <c r="AG94" cm="1">
        <f t="array" ref="AG94">SUMPRODUCT($AG$2:$AG$5, TRANSPOSE($Z94:$AC94))</f>
        <v>50.381350000000005</v>
      </c>
      <c r="AH94" cm="1">
        <f t="array" ref="AH94">SUMPRODUCT($AH$2:$AH$5, TRANSPOSE($Z94:$AC94))</f>
        <v>50.381350000000005</v>
      </c>
      <c r="AK94" t="s">
        <v>776</v>
      </c>
      <c r="AL94" t="s">
        <v>485</v>
      </c>
      <c r="AM94" cm="1">
        <f t="array" aca="1" ref="AM94" ca="1">IFERROR(($AM$2*INDEX(Indicators,MATCH($A94,INDEX(Indicators,0,4),0),MATCH($AK$2,INDEX(Indicators,1,0),0)))+($AM$3*INDEX(Indicators,MATCH($A94,INDEX(Indicators,0,4),0),MATCH($AK$3,INDEX(Indicators,1,0),0)))+(INDEX(Electricity_projection,MATCH(AL94&amp;AK94,INDEX(Electricity_projection,0,3),0),MATCH(YEAR(TODAY()),Timeline_elec_projec,0)+3)*$AM$4), 0)</f>
        <v>0</v>
      </c>
      <c r="AN94" cm="1">
        <f t="array" aca="1" ref="AN94" ca="1">IFERROR(($AN$2*INDEX(Indicators,MATCH($A94,INDEX(Indicators,0,4),0),MATCH($AK$2,INDEX(Indicators,1,0),0)))+($AN$3*INDEX(Indicators,MATCH($A94,INDEX(Indicators,0,4),0),MATCH($AK$3,INDEX(Indicators,1,0),0)))+(INDEX(Electricity_projection,MATCH(AL94&amp;AK94,INDEX(Electricity_projection,0,3),0),MATCH(YEAR(TODAY()),Timeline_elec_projec,0)+3)*$AN$4), 0)</f>
        <v>0</v>
      </c>
      <c r="AO94" cm="1">
        <f t="array" aca="1" ref="AO94" ca="1">IFERROR(($AO$2*INDEX(Indicators,MATCH($A94,INDEX(Indicators,0,4),0),MATCH($AK$2,INDEX(Indicators,1,0),0)))+($AO$3*INDEX(Indicators,MATCH($A94,INDEX(Indicators,0,4),0),MATCH($AK$3,INDEX(Indicators,1,0),0)))+(INDEX(Electricity_projection,MATCH(AL94&amp;AK94,INDEX(Electricity_projection,0,3),0),MATCH(YEAR(TODAY()),Timeline_elec_projec,0)+3)*$AO$4), 0)</f>
        <v>0</v>
      </c>
      <c r="AP94" cm="1">
        <f t="array" aca="1" ref="AP94" ca="1">IFERROR(($AP$2*INDEX(Indicators,MATCH($A94,INDEX(Indicators,0,4),0),MATCH($AK$2,INDEX(Indicators,1,0),0)))+($AP$3*INDEX(Indicators,MATCH($A94,INDEX(Indicators,0,4),0),MATCH($AK$3,INDEX(Indicators,1,0),0)))+(INDEX(Electricity_projection,MATCH(AL94&amp;AK94,INDEX(Electricity_projection,0,3),0),MATCH(YEAR(TODAY()),Timeline_elec_projec,0)+3)*$AP$4), 0)</f>
        <v>0</v>
      </c>
      <c r="AQ94">
        <f ca="1"/>
        <v>0</v>
      </c>
    </row>
    <row r="95" spans="1:43" x14ac:dyDescent="0.35">
      <c r="A95" t="str" cm="1">
        <f t="array" ref="A95">INDEX(Indicators,ROW()-9,4)</f>
        <v>A2ConsequentialEP_fw</v>
      </c>
      <c r="B95" s="540" cm="1">
        <f t="array" aca="1" ref="B95:I95" ca="1">INDEX(Indicators,ROW()-9,MATCH(Handle_Wearing_Course,Materials!$1:$1,0))</f>
        <v>6.9502742468100014E-8</v>
      </c>
      <c r="C95" s="1">
        <f ca="1"/>
        <v>4.1959046732400002E-8</v>
      </c>
      <c r="D95" s="1">
        <f ca="1"/>
        <v>2.1927750410999999E-8</v>
      </c>
      <c r="E95" s="1">
        <f ca="1"/>
        <v>5.7117318928909739E-5</v>
      </c>
      <c r="F95" s="1">
        <f ca="1"/>
        <v>0</v>
      </c>
      <c r="G95" s="1">
        <f ca="1"/>
        <v>9.0400000000000002E-9</v>
      </c>
      <c r="H95" s="1">
        <f ca="1"/>
        <v>0</v>
      </c>
      <c r="I95" s="212">
        <f ca="1"/>
        <v>-2.4273599999999996E-4</v>
      </c>
      <c r="J95" s="1">
        <v>-3.68644E-4</v>
      </c>
      <c r="K95" s="1">
        <v>-2.4273599999999996E-4</v>
      </c>
      <c r="L95" s="1">
        <v>-2.4273599999999996E-4</v>
      </c>
      <c r="O95" s="1">
        <f ca="1">SUMPRODUCT(B95:L95,$B$2:$L$2)+INDEX(Indicators,MATCH(A95,Materials!$D:$D),MATCH("Truck (32+t)",Materials!$1:$1,0))*'Data Entry'!$C$64</f>
        <v>3.4923717136545985E-6</v>
      </c>
      <c r="P95" s="1">
        <f ca="1">SUMPRODUCT(B95:L95,$B$3:$L$3)+INDEX(Indicators,MATCH(A95,Materials!$D:$D),MATCH("Truck (32+t)",Materials!$1:$1,0))*'Data Entry'!$C$72</f>
        <v>-2.2053307422079984E-5</v>
      </c>
      <c r="Q95" s="1">
        <f ca="1">SUMPRODUCT(B95:L95,$B$4:$L$4)+INDEX(Indicators,MATCH(A95,Materials!$D:$D),MATCH("Truck (32+t)",Materials!$1:$1,0))*'Data Entry'!$C$66+$AQ$16</f>
        <v>1.2690389597276542E-4</v>
      </c>
      <c r="R95" s="1">
        <f ca="1">SUMPRODUCT(B95:L95,$B$5:$L$5)+INDEX(Indicators,MATCH(A95,Materials!$D:$D),MATCH("Truck (32+t)",Materials!$1:$1,0))*'Data Entry'!$C$68+$AQ$16</f>
        <v>1.2165646289150951E-4</v>
      </c>
      <c r="S95" s="1">
        <f ca="1">SUMPRODUCT(B95:L95,$B$6:$L$6)+INDEX(Indicators,MATCH(A95,Materials!$D:$D),MATCH("Truck (32+t)",Materials!$1:$1,0))*'Data Entry'!$C$70+$AQ$16</f>
        <v>1.2635244780772386E-4</v>
      </c>
      <c r="T95" s="1">
        <f ca="1">SUMPRODUCT(B95:L95,$B$7:$L$7)+INDEX(Indicators,MATCH(A95,Materials!$D:$D),MATCH("Truck (32+t)",Materials!$1:$1,0))*'Data Entry'!$C$68+$AQ$16</f>
        <v>1.218546480237902E-4</v>
      </c>
      <c r="U95" s="1">
        <f ca="1">SUMPRODUCT(B95:L95,$B$8:$L$8)+INDEX(Indicators,MATCH(A95,Materials!$D:$D),MATCH("Truck (32+t)",Materials!$1:$1,0))*'Data Entry'!$C$69+$AQ$16</f>
        <v>1.2578196964585942E-4</v>
      </c>
      <c r="V95" s="1">
        <f ca="1">SUMPRODUCT(B95:L95,$B$9:$L$9)+INDEX(Indicators,MATCH(A95,Materials!$D:$D),MATCH("Truck (32+t)",Materials!$1:$1,0))*'Data Entry'!$C$71</f>
        <v>4.049292131625001E-8</v>
      </c>
      <c r="W95" s="1">
        <f ca="1">SUMPRODUCT(B95:L95,$B$10:$L$10)+INDEX(Indicators,MATCH(A95,Materials!$D:$D),MATCH("Truck (32+t)",Materials!$1:$1,0))*'Data Entry'!$C$72</f>
        <v>2.9832000000000002E-9</v>
      </c>
      <c r="Z95">
        <v>8.0000000000000004E-4</v>
      </c>
      <c r="AA95">
        <v>-2.9099999999999998E-3</v>
      </c>
      <c r="AB95">
        <v>4.0999999999999999E-4</v>
      </c>
      <c r="AC95" s="209">
        <v>9.0799999999999995E-6</v>
      </c>
      <c r="AD95" s="209"/>
      <c r="AF95" cm="1">
        <f t="array" ref="AF95">SUMPRODUCT($AF$2:$AF$5, TRANSPOSE($Z95:$AC95))</f>
        <v>-3.68644E-4</v>
      </c>
      <c r="AG95" cm="1">
        <f t="array" ref="AG95">SUMPRODUCT($AG$2:$AG$5, TRANSPOSE($Z95:$AC95))</f>
        <v>-2.4273599999999996E-4</v>
      </c>
      <c r="AH95" cm="1">
        <f t="array" ref="AH95">SUMPRODUCT($AH$2:$AH$5, TRANSPOSE($Z95:$AC95))</f>
        <v>-2.4273599999999996E-4</v>
      </c>
      <c r="AK95" t="s">
        <v>394</v>
      </c>
      <c r="AL95" t="s">
        <v>485</v>
      </c>
      <c r="AM95" cm="1">
        <f t="array" aca="1" ref="AM95" ca="1">IFERROR(($AM$2*INDEX(Indicators,MATCH($A95,INDEX(Indicators,0,4),0),MATCH($AK$2,INDEX(Indicators,1,0),0)))+($AM$3*INDEX(Indicators,MATCH($A95,INDEX(Indicators,0,4),0),MATCH($AK$3,INDEX(Indicators,1,0),0)))+(INDEX(Electricity_projection,MATCH(AL95&amp;AK95,INDEX(Electricity_projection,0,3),0),MATCH(YEAR(TODAY()),Timeline_elec_projec,0)+3)*$AM$4), 0)</f>
        <v>0</v>
      </c>
      <c r="AN95" cm="1">
        <f t="array" aca="1" ref="AN95" ca="1">IFERROR(($AN$2*INDEX(Indicators,MATCH($A95,INDEX(Indicators,0,4),0),MATCH($AK$2,INDEX(Indicators,1,0),0)))+($AN$3*INDEX(Indicators,MATCH($A95,INDEX(Indicators,0,4),0),MATCH($AK$3,INDEX(Indicators,1,0),0)))+(INDEX(Electricity_projection,MATCH(AL95&amp;AK95,INDEX(Electricity_projection,0,3),0),MATCH(YEAR(TODAY()),Timeline_elec_projec,0)+3)*$AN$4), 0)</f>
        <v>0</v>
      </c>
      <c r="AO95" cm="1">
        <f t="array" aca="1" ref="AO95" ca="1">IFERROR(($AO$2*INDEX(Indicators,MATCH($A95,INDEX(Indicators,0,4),0),MATCH($AK$2,INDEX(Indicators,1,0),0)))+($AO$3*INDEX(Indicators,MATCH($A95,INDEX(Indicators,0,4),0),MATCH($AK$3,INDEX(Indicators,1,0),0)))+(INDEX(Electricity_projection,MATCH(AL95&amp;AK95,INDEX(Electricity_projection,0,3),0),MATCH(YEAR(TODAY()),Timeline_elec_projec,0)+3)*$AO$4), 0)</f>
        <v>0</v>
      </c>
      <c r="AP95" cm="1">
        <f t="array" aca="1" ref="AP95" ca="1">IFERROR(($AP$2*INDEX(Indicators,MATCH($A95,INDEX(Indicators,0,4),0),MATCH($AK$2,INDEX(Indicators,1,0),0)))+($AP$3*INDEX(Indicators,MATCH($A95,INDEX(Indicators,0,4),0),MATCH($AK$3,INDEX(Indicators,1,0),0)))+(INDEX(Electricity_projection,MATCH(AL95&amp;AK95,INDEX(Electricity_projection,0,3),0),MATCH(YEAR(TODAY()),Timeline_elec_projec,0)+3)*$AP$4), 0)</f>
        <v>0</v>
      </c>
      <c r="AQ95">
        <f ca="1"/>
        <v>0</v>
      </c>
    </row>
    <row r="96" spans="1:43" x14ac:dyDescent="0.35">
      <c r="A96" t="str" cm="1">
        <f t="array" ref="A96">INDEX(Indicators,ROW()-9,4)</f>
        <v>A2ConsequentialEP_marine</v>
      </c>
      <c r="B96" s="540" cm="1">
        <f t="array" aca="1" ref="B96:I96" ca="1">INDEX(Indicators,ROW()-9,MATCH(Handle_Wearing_Course,Materials!$1:$1,0))</f>
        <v>5.6894591565535089E-6</v>
      </c>
      <c r="C96" s="1">
        <f ca="1"/>
        <v>3.5654862136999862E-6</v>
      </c>
      <c r="D96" s="1">
        <f ca="1"/>
        <v>1.8633190664816309E-6</v>
      </c>
      <c r="E96" s="1">
        <f ca="1"/>
        <v>7.6201308292828378E-4</v>
      </c>
      <c r="F96" s="1">
        <f ca="1"/>
        <v>0</v>
      </c>
      <c r="G96" s="1">
        <f ca="1"/>
        <v>4.6299999999999998E-8</v>
      </c>
      <c r="H96" s="1">
        <f ca="1"/>
        <v>0</v>
      </c>
      <c r="I96" s="212">
        <f ca="1"/>
        <v>3.9099999999999996E-4</v>
      </c>
      <c r="J96" s="1">
        <v>2.6149999999999996E-4</v>
      </c>
      <c r="K96" s="1">
        <v>3.9099999999999996E-4</v>
      </c>
      <c r="L96" s="1">
        <v>3.9099999999999996E-4</v>
      </c>
      <c r="O96" s="1">
        <f ca="1">SUMPRODUCT(B96:L96,$B$2:$L$2)+INDEX(Indicators,MATCH(A96,Materials!$D:$D),MATCH("Truck (32+t)",Materials!$1:$1,0))*'Data Entry'!$C$64</f>
        <v>5.1068876582857319E-5</v>
      </c>
      <c r="P96" s="1">
        <f ca="1">SUMPRODUCT(B96:L96,$B$3:$L$3)+INDEX(Indicators,MATCH(A96,Materials!$D:$D),MATCH("Truck (32+t)",Materials!$1:$1,0))*'Data Entry'!$C$72</f>
        <v>2.1038091607160294E-5</v>
      </c>
      <c r="Q96" s="1">
        <f ca="1">SUMPRODUCT(B96:L96,$B$4:$L$4)+INDEX(Indicators,MATCH(A96,Materials!$D:$D),MATCH("Truck (32+t)",Materials!$1:$1,0))*'Data Entry'!$C$66+$AQ$16</f>
        <v>1.7996173287861513E-4</v>
      </c>
      <c r="R96" s="1">
        <f ca="1">SUMPRODUCT(B96:L96,$B$5:$L$5)+INDEX(Indicators,MATCH(A96,Materials!$D:$D),MATCH("Truck (32+t)",Materials!$1:$1,0))*'Data Entry'!$C$68+$AQ$16</f>
        <v>1.7346900392737016E-4</v>
      </c>
      <c r="S96" s="1">
        <f ca="1">SUMPRODUCT(B96:L96,$B$6:$L$6)+INDEX(Indicators,MATCH(A96,Materials!$D:$D),MATCH("Truck (32+t)",Materials!$1:$1,0))*'Data Entry'!$C$70+$AQ$16</f>
        <v>1.7392895267692656E-4</v>
      </c>
      <c r="T96" s="1">
        <f ca="1">SUMPRODUCT(B96:L96,$B$7:$L$7)+INDEX(Indicators,MATCH(A96,Materials!$D:$D),MATCH("Truck (32+t)",Materials!$1:$1,0))*'Data Entry'!$C$68+$AQ$16</f>
        <v>1.6836375643300232E-4</v>
      </c>
      <c r="U96" s="1">
        <f ca="1">SUMPRODUCT(B96:L96,$B$8:$L$8)+INDEX(Indicators,MATCH(A96,Materials!$D:$D),MATCH("Truck (32+t)",Materials!$1:$1,0))*'Data Entry'!$C$69+$AQ$16</f>
        <v>1.6636571643920928E-4</v>
      </c>
      <c r="V96" s="1">
        <f ca="1">SUMPRODUCT(B96:L96,$B$9:$L$9)+INDEX(Indicators,MATCH(A96,Materials!$D:$D),MATCH("Truck (32+t)",Materials!$1:$1,0))*'Data Entry'!$C$71</f>
        <v>3.2243383915730807E-6</v>
      </c>
      <c r="W96" s="1">
        <f ca="1">SUMPRODUCT(B96:L96,$B$10:$L$10)+INDEX(Indicators,MATCH(A96,Materials!$D:$D),MATCH("Truck (32+t)",Materials!$1:$1,0))*'Data Entry'!$C$72</f>
        <v>1.5279000000000001E-8</v>
      </c>
      <c r="Z96">
        <v>1.9400000000000001E-3</v>
      </c>
      <c r="AA96">
        <v>-3.31E-3</v>
      </c>
      <c r="AB96">
        <v>2.0200000000000001E-3</v>
      </c>
      <c r="AC96" s="209">
        <v>6.4999999999999997E-4</v>
      </c>
      <c r="AD96" s="209"/>
      <c r="AF96" cm="1">
        <f t="array" ref="AF96">SUMPRODUCT($AF$2:$AF$5, TRANSPOSE($Z96:$AC96))</f>
        <v>2.6149999999999996E-4</v>
      </c>
      <c r="AG96" cm="1">
        <f t="array" ref="AG96">SUMPRODUCT($AG$2:$AG$5, TRANSPOSE($Z96:$AC96))</f>
        <v>3.9099999999999996E-4</v>
      </c>
      <c r="AH96" cm="1">
        <f t="array" ref="AH96">SUMPRODUCT($AH$2:$AH$5, TRANSPOSE($Z96:$AC96))</f>
        <v>3.9099999999999996E-4</v>
      </c>
      <c r="AK96" t="s">
        <v>397</v>
      </c>
      <c r="AL96" t="s">
        <v>485</v>
      </c>
      <c r="AM96" cm="1">
        <f t="array" aca="1" ref="AM96" ca="1">IFERROR(($AM$2*INDEX(Indicators,MATCH($A96,INDEX(Indicators,0,4),0),MATCH($AK$2,INDEX(Indicators,1,0),0)))+($AM$3*INDEX(Indicators,MATCH($A96,INDEX(Indicators,0,4),0),MATCH($AK$3,INDEX(Indicators,1,0),0)))+(INDEX(Electricity_projection,MATCH(AL96&amp;AK96,INDEX(Electricity_projection,0,3),0),MATCH(YEAR(TODAY()),Timeline_elec_projec,0)+3)*$AM$4), 0)</f>
        <v>0</v>
      </c>
      <c r="AN96" cm="1">
        <f t="array" aca="1" ref="AN96" ca="1">IFERROR(($AN$2*INDEX(Indicators,MATCH($A96,INDEX(Indicators,0,4),0),MATCH($AK$2,INDEX(Indicators,1,0),0)))+($AN$3*INDEX(Indicators,MATCH($A96,INDEX(Indicators,0,4),0),MATCH($AK$3,INDEX(Indicators,1,0),0)))+(INDEX(Electricity_projection,MATCH(AL96&amp;AK96,INDEX(Electricity_projection,0,3),0),MATCH(YEAR(TODAY()),Timeline_elec_projec,0)+3)*$AN$4), 0)</f>
        <v>0</v>
      </c>
      <c r="AO96" cm="1">
        <f t="array" aca="1" ref="AO96" ca="1">IFERROR(($AO$2*INDEX(Indicators,MATCH($A96,INDEX(Indicators,0,4),0),MATCH($AK$2,INDEX(Indicators,1,0),0)))+($AO$3*INDEX(Indicators,MATCH($A96,INDEX(Indicators,0,4),0),MATCH($AK$3,INDEX(Indicators,1,0),0)))+(INDEX(Electricity_projection,MATCH(AL96&amp;AK96,INDEX(Electricity_projection,0,3),0),MATCH(YEAR(TODAY()),Timeline_elec_projec,0)+3)*$AO$4), 0)</f>
        <v>0</v>
      </c>
      <c r="AP96" cm="1">
        <f t="array" aca="1" ref="AP96" ca="1">IFERROR(($AP$2*INDEX(Indicators,MATCH($A96,INDEX(Indicators,0,4),0),MATCH($AK$2,INDEX(Indicators,1,0),0)))+($AP$3*INDEX(Indicators,MATCH($A96,INDEX(Indicators,0,4),0),MATCH($AK$3,INDEX(Indicators,1,0),0)))+(INDEX(Electricity_projection,MATCH(AL96&amp;AK96,INDEX(Electricity_projection,0,3),0),MATCH(YEAR(TODAY()),Timeline_elec_projec,0)+3)*$AP$4), 0)</f>
        <v>0</v>
      </c>
      <c r="AQ96">
        <f ca="1"/>
        <v>0</v>
      </c>
    </row>
    <row r="97" spans="1:43" x14ac:dyDescent="0.35">
      <c r="A97" t="str" cm="1">
        <f t="array" ref="A97">INDEX(Indicators,ROW()-9,4)</f>
        <v>A2ConsequentialEP_terr</v>
      </c>
      <c r="B97" s="540" cm="1">
        <f t="array" aca="1" ref="B97:I97" ca="1">INDEX(Indicators,ROW()-9,MATCH(Handle_Wearing_Course,Materials!$1:$1,0))</f>
        <v>6.2491789795740156E-5</v>
      </c>
      <c r="C97" s="1">
        <f ca="1"/>
        <v>3.9151514086409969E-5</v>
      </c>
      <c r="D97" s="1">
        <f ca="1"/>
        <v>2.0460537022558879E-5</v>
      </c>
      <c r="E97" s="1">
        <f ca="1"/>
        <v>8.202056096899361E-3</v>
      </c>
      <c r="F97" s="1">
        <f ca="1"/>
        <v>0</v>
      </c>
      <c r="G97" s="1">
        <f ca="1"/>
        <v>5.6700000000000003E-7</v>
      </c>
      <c r="H97" s="1">
        <f ca="1"/>
        <v>0</v>
      </c>
      <c r="I97" s="212">
        <f ca="1"/>
        <v>9.2900000000000014E-4</v>
      </c>
      <c r="J97" s="1">
        <v>-2.1464999999999991E-3</v>
      </c>
      <c r="K97" s="1">
        <v>9.2900000000000014E-4</v>
      </c>
      <c r="L97" s="1">
        <v>9.2900000000000014E-4</v>
      </c>
      <c r="O97" s="1">
        <f ca="1">SUMPRODUCT(B97:L97,$B$2:$L$2)+INDEX(Indicators,MATCH(A97,Materials!$D:$D),MATCH("Truck (32+t)",Materials!$1:$1,0))*'Data Entry'!$C$64</f>
        <v>5.5086564822195733E-4</v>
      </c>
      <c r="P97" s="1">
        <f ca="1">SUMPRODUCT(B97:L97,$B$3:$L$3)+INDEX(Indicators,MATCH(A97,Materials!$D:$D),MATCH("Truck (32+t)",Materials!$1:$1,0))*'Data Entry'!$C$72</f>
        <v>-7.0047717592004185E-5</v>
      </c>
      <c r="Q97" s="1">
        <f ca="1">SUMPRODUCT(B97:L97,$B$4:$L$4)+INDEX(Indicators,MATCH(A97,Materials!$D:$D),MATCH("Truck (32+t)",Materials!$1:$1,0))*'Data Entry'!$C$66+$AQ$16</f>
        <v>7.3830886627779041E-4</v>
      </c>
      <c r="R97" s="1">
        <f ca="1">SUMPRODUCT(B97:L97,$B$5:$L$5)+INDEX(Indicators,MATCH(A97,Materials!$D:$D),MATCH("Truck (32+t)",Materials!$1:$1,0))*'Data Entry'!$C$68+$AQ$16</f>
        <v>6.1103038458205157E-4</v>
      </c>
      <c r="S97" s="1">
        <f ca="1">SUMPRODUCT(B97:L97,$B$6:$L$6)+INDEX(Indicators,MATCH(A97,Materials!$D:$D),MATCH("Truck (32+t)",Materials!$1:$1,0))*'Data Entry'!$C$70+$AQ$16</f>
        <v>6.7372572431602655E-4</v>
      </c>
      <c r="T97" s="1">
        <f ca="1">SUMPRODUCT(B97:L97,$B$7:$L$7)+INDEX(Indicators,MATCH(A97,Materials!$D:$D),MATCH("Truck (32+t)",Materials!$1:$1,0))*'Data Entry'!$C$68+$AQ$16</f>
        <v>5.646298828625362E-4</v>
      </c>
      <c r="U97" s="1">
        <f ca="1">SUMPRODUCT(B97:L97,$B$8:$L$8)+INDEX(Indicators,MATCH(A97,Materials!$D:$D),MATCH("Truck (32+t)",Materials!$1:$1,0))*'Data Entry'!$C$69+$AQ$16</f>
        <v>5.9233008124499051E-4</v>
      </c>
      <c r="V97" s="1">
        <f ca="1">SUMPRODUCT(B97:L97,$B$9:$L$9)+INDEX(Indicators,MATCH(A97,Materials!$D:$D),MATCH("Truck (32+t)",Materials!$1:$1,0))*'Data Entry'!$C$71</f>
        <v>3.5423052302381857E-5</v>
      </c>
      <c r="W97" s="1">
        <f ca="1">SUMPRODUCT(B97:L97,$B$10:$L$10)+INDEX(Indicators,MATCH(A97,Materials!$D:$D),MATCH("Truck (32+t)",Materials!$1:$1,0))*'Data Entry'!$C$72</f>
        <v>1.8711000000000001E-7</v>
      </c>
      <c r="Z97">
        <v>2.0240000000000001E-2</v>
      </c>
      <c r="AA97">
        <v>-6.5329999999999999E-2</v>
      </c>
      <c r="AB97">
        <v>1.7979999999999999E-2</v>
      </c>
      <c r="AC97" s="209">
        <v>7.0800000000000004E-3</v>
      </c>
      <c r="AD97" s="209"/>
      <c r="AF97" cm="1">
        <f t="array" ref="AF97">SUMPRODUCT($AF$2:$AF$5, TRANSPOSE($Z97:$AC97))</f>
        <v>-2.1464999999999991E-3</v>
      </c>
      <c r="AG97" cm="1">
        <f t="array" ref="AG97">SUMPRODUCT($AG$2:$AG$5, TRANSPOSE($Z97:$AC97))</f>
        <v>9.2900000000000014E-4</v>
      </c>
      <c r="AH97" cm="1">
        <f t="array" ref="AH97">SUMPRODUCT($AH$2:$AH$5, TRANSPOSE($Z97:$AC97))</f>
        <v>9.2900000000000014E-4</v>
      </c>
      <c r="AK97" t="s">
        <v>400</v>
      </c>
      <c r="AL97" t="s">
        <v>485</v>
      </c>
      <c r="AM97" cm="1">
        <f t="array" aca="1" ref="AM97" ca="1">IFERROR(($AM$2*INDEX(Indicators,MATCH($A97,INDEX(Indicators,0,4),0),MATCH($AK$2,INDEX(Indicators,1,0),0)))+($AM$3*INDEX(Indicators,MATCH($A97,INDEX(Indicators,0,4),0),MATCH($AK$3,INDEX(Indicators,1,0),0)))+(INDEX(Electricity_projection,MATCH(AL97&amp;AK97,INDEX(Electricity_projection,0,3),0),MATCH(YEAR(TODAY()),Timeline_elec_projec,0)+3)*$AM$4), 0)</f>
        <v>0</v>
      </c>
      <c r="AN97" cm="1">
        <f t="array" aca="1" ref="AN97" ca="1">IFERROR(($AN$2*INDEX(Indicators,MATCH($A97,INDEX(Indicators,0,4),0),MATCH($AK$2,INDEX(Indicators,1,0),0)))+($AN$3*INDEX(Indicators,MATCH($A97,INDEX(Indicators,0,4),0),MATCH($AK$3,INDEX(Indicators,1,0),0)))+(INDEX(Electricity_projection,MATCH(AL97&amp;AK97,INDEX(Electricity_projection,0,3),0),MATCH(YEAR(TODAY()),Timeline_elec_projec,0)+3)*$AN$4), 0)</f>
        <v>0</v>
      </c>
      <c r="AO97" cm="1">
        <f t="array" aca="1" ref="AO97" ca="1">IFERROR(($AO$2*INDEX(Indicators,MATCH($A97,INDEX(Indicators,0,4),0),MATCH($AK$2,INDEX(Indicators,1,0),0)))+($AO$3*INDEX(Indicators,MATCH($A97,INDEX(Indicators,0,4),0),MATCH($AK$3,INDEX(Indicators,1,0),0)))+(INDEX(Electricity_projection,MATCH(AL97&amp;AK97,INDEX(Electricity_projection,0,3),0),MATCH(YEAR(TODAY()),Timeline_elec_projec,0)+3)*$AO$4), 0)</f>
        <v>0</v>
      </c>
      <c r="AP97" cm="1">
        <f t="array" aca="1" ref="AP97" ca="1">IFERROR(($AP$2*INDEX(Indicators,MATCH($A97,INDEX(Indicators,0,4),0),MATCH($AK$2,INDEX(Indicators,1,0),0)))+($AP$3*INDEX(Indicators,MATCH($A97,INDEX(Indicators,0,4),0),MATCH($AK$3,INDEX(Indicators,1,0),0)))+(INDEX(Electricity_projection,MATCH(AL97&amp;AK97,INDEX(Electricity_projection,0,3),0),MATCH(YEAR(TODAY()),Timeline_elec_projec,0)+3)*$AP$4), 0)</f>
        <v>0</v>
      </c>
      <c r="AQ97">
        <f ca="1"/>
        <v>0</v>
      </c>
    </row>
    <row r="98" spans="1:43" x14ac:dyDescent="0.35">
      <c r="A98" t="str" cm="1">
        <f t="array" ref="A98">INDEX(Indicators,ROW()-9,4)</f>
        <v>A2ConsequentialODP</v>
      </c>
      <c r="B98" s="540" cm="1">
        <f t="array" aca="1" ref="B98:I98" ca="1">INDEX(Indicators,ROW()-9,MATCH(Handle_Wearing_Course,Materials!$1:$1,0))</f>
        <v>7.824110384955703E-10</v>
      </c>
      <c r="C98" s="1">
        <f ca="1"/>
        <v>4.9006661060795442E-10</v>
      </c>
      <c r="D98" s="1">
        <f ca="1"/>
        <v>2.6232525040931585E-10</v>
      </c>
      <c r="E98" s="1">
        <f ca="1"/>
        <v>7.5715455318123204E-7</v>
      </c>
      <c r="F98" s="1">
        <f ca="1"/>
        <v>0</v>
      </c>
      <c r="G98" s="1">
        <f ca="1"/>
        <v>1.2200000000000001E-11</v>
      </c>
      <c r="H98" s="1">
        <f ca="1"/>
        <v>0</v>
      </c>
      <c r="I98" s="212">
        <f ca="1"/>
        <v>6.7339970000000006E-7</v>
      </c>
      <c r="J98" s="1">
        <v>6.1709954999999994E-7</v>
      </c>
      <c r="K98" s="1">
        <v>6.7339970000000006E-7</v>
      </c>
      <c r="L98" s="1">
        <v>6.7339970000000006E-7</v>
      </c>
      <c r="O98" s="1">
        <f ca="1">SUMPRODUCT(B98:L98,$B$2:$L$2)+INDEX(Indicators,MATCH(A98,Materials!$D:$D),MATCH("Truck (32+t)",Materials!$1:$1,0))*'Data Entry'!$C$64</f>
        <v>4.6164739567059755E-8</v>
      </c>
      <c r="P98" s="1">
        <f ca="1">SUMPRODUCT(B98:L98,$B$3:$L$3)+INDEX(Indicators,MATCH(A98,Materials!$D:$D),MATCH("Truck (32+t)",Materials!$1:$1,0))*'Data Entry'!$C$72</f>
        <v>3.7761439376185835E-8</v>
      </c>
      <c r="Q98" s="1">
        <f ca="1">SUMPRODUCT(B98:L98,$B$4:$L$4)+INDEX(Indicators,MATCH(A98,Materials!$D:$D),MATCH("Truck (32+t)",Materials!$1:$1,0))*'Data Entry'!$C$66+$AQ$16</f>
        <v>1.2291359652074249E-4</v>
      </c>
      <c r="R98" s="1">
        <f ca="1">SUMPRODUCT(B98:L98,$B$5:$L$5)+INDEX(Indicators,MATCH(A98,Materials!$D:$D),MATCH("Truck (32+t)",Materials!$1:$1,0))*'Data Entry'!$C$68+$AQ$16</f>
        <v>1.2291213081081184E-4</v>
      </c>
      <c r="S98" s="1">
        <f ca="1">SUMPRODUCT(B98:L98,$B$6:$L$6)+INDEX(Indicators,MATCH(A98,Materials!$D:$D),MATCH("Truck (32+t)",Materials!$1:$1,0))*'Data Entry'!$C$70+$AQ$16</f>
        <v>1.2290624083363631E-4</v>
      </c>
      <c r="T98" s="1">
        <f ca="1">SUMPRODUCT(B98:L98,$B$7:$L$7)+INDEX(Indicators,MATCH(A98,Materials!$D:$D),MATCH("Truck (32+t)",Materials!$1:$1,0))*'Data Entry'!$C$68+$AQ$16</f>
        <v>1.2290498451083859E-4</v>
      </c>
      <c r="U98" s="1">
        <f ca="1">SUMPRODUCT(B98:L98,$B$8:$L$8)+INDEX(Indicators,MATCH(A98,Materials!$D:$D),MATCH("Truck (32+t)",Materials!$1:$1,0))*'Data Entry'!$C$69+$AQ$16</f>
        <v>1.2289867711221488E-4</v>
      </c>
      <c r="V98" s="1">
        <f ca="1">SUMPRODUCT(B98:L98,$B$9:$L$9)+INDEX(Indicators,MATCH(A98,Materials!$D:$D),MATCH("Truck (32+t)",Materials!$1:$1,0))*'Data Entry'!$C$71</f>
        <v>4.455005693296483E-10</v>
      </c>
      <c r="W98" s="1">
        <f ca="1">SUMPRODUCT(B98:L98,$B$10:$L$10)+INDEX(Indicators,MATCH(A98,Materials!$D:$D),MATCH("Truck (32+t)",Materials!$1:$1,0))*'Data Entry'!$C$72</f>
        <v>4.026E-12</v>
      </c>
      <c r="Z98" s="1">
        <v>1.8948800000000001E-7</v>
      </c>
      <c r="AA98" s="1">
        <v>2.0571400000000001E-7</v>
      </c>
      <c r="AB98" s="1">
        <v>2.4028300000000001E-7</v>
      </c>
      <c r="AC98" s="209">
        <v>7.8599999999999997E-7</v>
      </c>
      <c r="AD98" s="209"/>
      <c r="AF98" cm="1">
        <f t="array" ref="AF98">SUMPRODUCT($AF$2:$AF$5, TRANSPOSE($Z98:$AC98))</f>
        <v>6.1709954999999994E-7</v>
      </c>
      <c r="AG98" cm="1">
        <f t="array" ref="AG98">SUMPRODUCT($AG$2:$AG$5, TRANSPOSE($Z98:$AC98))</f>
        <v>6.7339970000000006E-7</v>
      </c>
      <c r="AH98" cm="1">
        <f t="array" ref="AH98">SUMPRODUCT($AH$2:$AH$5, TRANSPOSE($Z98:$AC98))</f>
        <v>6.7339970000000006E-7</v>
      </c>
      <c r="AK98" t="s">
        <v>403</v>
      </c>
      <c r="AL98" t="s">
        <v>485</v>
      </c>
      <c r="AM98" cm="1">
        <f t="array" aca="1" ref="AM98" ca="1">IFERROR(($AM$2*INDEX(Indicators,MATCH($A98,INDEX(Indicators,0,4),0),MATCH($AK$2,INDEX(Indicators,1,0),0)))+($AM$3*INDEX(Indicators,MATCH($A98,INDEX(Indicators,0,4),0),MATCH($AK$3,INDEX(Indicators,1,0),0)))+(INDEX(Electricity_projection,MATCH(AL98&amp;AK98,INDEX(Electricity_projection,0,3),0),MATCH(YEAR(TODAY()),Timeline_elec_projec,0)+3)*$AM$4), 0)</f>
        <v>5.6686686670789052E-9</v>
      </c>
      <c r="AN98" cm="1">
        <f t="array" aca="1" ref="AN98" ca="1">IFERROR(($AN$2*INDEX(Indicators,MATCH($A98,INDEX(Indicators,0,4),0),MATCH($AK$2,INDEX(Indicators,1,0),0)))+($AN$3*INDEX(Indicators,MATCH($A98,INDEX(Indicators,0,4),0),MATCH($AK$3,INDEX(Indicators,1,0),0)))+(INDEX(Electricity_projection,MATCH(AL98&amp;AK98,INDEX(Electricity_projection,0,3),0),MATCH(YEAR(TODAY()),Timeline_elec_projec,0)+3)*$AN$4), 0)</f>
        <v>4.8427819475085501E-9</v>
      </c>
      <c r="AO98" cm="1">
        <f t="array" aca="1" ref="AO98" ca="1">IFERROR(($AO$2*INDEX(Indicators,MATCH($A98,INDEX(Indicators,0,4),0),MATCH($AK$2,INDEX(Indicators,1,0),0)))+($AO$3*INDEX(Indicators,MATCH($A98,INDEX(Indicators,0,4),0),MATCH($AK$3,INDEX(Indicators,1,0),0)))+(INDEX(Electricity_projection,MATCH(AL98&amp;AK98,INDEX(Electricity_projection,0,3),0),MATCH(YEAR(TODAY()),Timeline_elec_projec,0)+3)*$AO$4), 0)</f>
        <v>3.4512512946911416E-9</v>
      </c>
      <c r="AP98" cm="1">
        <f t="array" aca="1" ref="AP98" ca="1">IFERROR(($AP$2*INDEX(Indicators,MATCH($A98,INDEX(Indicators,0,4),0),MATCH($AK$2,INDEX(Indicators,1,0),0)))+($AP$3*INDEX(Indicators,MATCH($A98,INDEX(Indicators,0,4),0),MATCH($AK$3,INDEX(Indicators,1,0),0)))+(INDEX(Electricity_projection,MATCH(AL98&amp;AK98,INDEX(Electricity_projection,0,3),0),MATCH(YEAR(TODAY()),Timeline_elec_projec,0)+3)*$AP$4), 0)</f>
        <v>2.954145397691142E-9</v>
      </c>
      <c r="AQ98">
        <f ca="1"/>
        <v>5.6686686670789052E-9</v>
      </c>
    </row>
    <row r="99" spans="1:43" x14ac:dyDescent="0.35">
      <c r="A99" t="str" cm="1">
        <f t="array" ref="A99">INDEX(Indicators,ROW()-9,4)</f>
        <v>A2ConsequentialPOFP</v>
      </c>
      <c r="B99" s="540" cm="1">
        <f t="array" aca="1" ref="B99:I99" ca="1">INDEX(Indicators,ROW()-9,MATCH(Handle_Wearing_Course,Materials!$1:$1,0))</f>
        <v>1.3378352645452827E-5</v>
      </c>
      <c r="C99" s="1">
        <f ca="1"/>
        <v>8.3752898606748914E-6</v>
      </c>
      <c r="D99" s="1">
        <f ca="1"/>
        <v>4.3769170175843356E-6</v>
      </c>
      <c r="E99" s="1">
        <f ca="1"/>
        <v>3.1926935862559552E-3</v>
      </c>
      <c r="F99" s="1">
        <f ca="1"/>
        <v>0</v>
      </c>
      <c r="G99" s="1">
        <f ca="1"/>
        <v>1.55E-7</v>
      </c>
      <c r="H99" s="1">
        <f ca="1"/>
        <v>0</v>
      </c>
      <c r="I99" s="212">
        <f ca="1"/>
        <v>5.2759999999999994E-3</v>
      </c>
      <c r="J99" s="1">
        <v>5.6439999999999997E-3</v>
      </c>
      <c r="K99" s="1">
        <v>5.2759999999999994E-3</v>
      </c>
      <c r="L99" s="1">
        <v>5.2759999999999994E-3</v>
      </c>
      <c r="O99" s="1">
        <f ca="1">SUMPRODUCT(B99:L99,$B$2:$L$2)+INDEX(Indicators,MATCH(A99,Materials!$D:$D),MATCH("Truck (32+t)",Materials!$1:$1,0))*'Data Entry'!$C$64</f>
        <v>2.0413726666208295E-4</v>
      </c>
      <c r="P99" s="1">
        <f ca="1">SUMPRODUCT(B99:L99,$B$3:$L$3)+INDEX(Indicators,MATCH(A99,Materials!$D:$D),MATCH("Truck (32+t)",Materials!$1:$1,0))*'Data Entry'!$C$72</f>
        <v>3.5121565148672561E-4</v>
      </c>
      <c r="Q99" s="1">
        <f ca="1">SUMPRODUCT(B99:L99,$B$4:$L$4)+INDEX(Indicators,MATCH(A99,Materials!$D:$D),MATCH("Truck (32+t)",Materials!$1:$1,0))*'Data Entry'!$C$66+$AQ$16</f>
        <v>3.5518992084110986E-4</v>
      </c>
      <c r="R99" s="1">
        <f ca="1">SUMPRODUCT(B99:L99,$B$5:$L$5)+INDEX(Indicators,MATCH(A99,Materials!$D:$D),MATCH("Truck (32+t)",Materials!$1:$1,0))*'Data Entry'!$C$68+$AQ$16</f>
        <v>3.9164778308163064E-4</v>
      </c>
      <c r="S99" s="1">
        <f ca="1">SUMPRODUCT(B99:L99,$B$6:$L$6)+INDEX(Indicators,MATCH(A99,Materials!$D:$D),MATCH("Truck (32+t)",Materials!$1:$1,0))*'Data Entry'!$C$70+$AQ$16</f>
        <v>3.2699734275615222E-4</v>
      </c>
      <c r="T99" s="1">
        <f ca="1">SUMPRODUCT(B99:L99,$B$7:$L$7)+INDEX(Indicators,MATCH(A99,Materials!$D:$D),MATCH("Truck (32+t)",Materials!$1:$1,0))*'Data Entry'!$C$68+$AQ$16</f>
        <v>3.5824693896231285E-4</v>
      </c>
      <c r="U99" s="1">
        <f ca="1">SUMPRODUCT(B99:L99,$B$8:$L$8)+INDEX(Indicators,MATCH(A99,Materials!$D:$D),MATCH("Truck (32+t)",Materials!$1:$1,0))*'Data Entry'!$C$69+$AQ$16</f>
        <v>2.9520419042004722E-4</v>
      </c>
      <c r="V99" s="1">
        <f ca="1">SUMPRODUCT(B99:L99,$B$9:$L$9)+INDEX(Indicators,MATCH(A99,Materials!$D:$D),MATCH("Truck (32+t)",Materials!$1:$1,0))*'Data Entry'!$C$71</f>
        <v>7.5878097262432809E-6</v>
      </c>
      <c r="W99" s="1">
        <f ca="1">SUMPRODUCT(B99:L99,$B$10:$L$10)+INDEX(Indicators,MATCH(A99,Materials!$D:$D),MATCH("Truck (32+t)",Materials!$1:$1,0))*'Data Entry'!$C$72</f>
        <v>5.1150000000000005E-8</v>
      </c>
      <c r="Z99">
        <v>7.62E-3</v>
      </c>
      <c r="AA99">
        <v>-4.3099999999999996E-3</v>
      </c>
      <c r="AB99">
        <v>2.0750000000000001E-2</v>
      </c>
      <c r="AC99" s="209">
        <v>4.5399999999999998E-3</v>
      </c>
      <c r="AD99" s="209"/>
      <c r="AF99" cm="1">
        <f t="array" ref="AF99">SUMPRODUCT($AF$2:$AF$5, TRANSPOSE($Z99:$AC99))</f>
        <v>5.6439999999999997E-3</v>
      </c>
      <c r="AG99" cm="1">
        <f t="array" ref="AG99">SUMPRODUCT($AG$2:$AG$5, TRANSPOSE($Z99:$AC99))</f>
        <v>5.2759999999999994E-3</v>
      </c>
      <c r="AH99" cm="1">
        <f t="array" ref="AH99">SUMPRODUCT($AH$2:$AH$5, TRANSPOSE($Z99:$AC99))</f>
        <v>5.2759999999999994E-3</v>
      </c>
      <c r="AK99" t="s">
        <v>531</v>
      </c>
      <c r="AL99" t="s">
        <v>485</v>
      </c>
      <c r="AM99" cm="1">
        <f t="array" aca="1" ref="AM99" ca="1">IFERROR(($AM$2*INDEX(Indicators,MATCH($A99,INDEX(Indicators,0,4),0),MATCH($AK$2,INDEX(Indicators,1,0),0)))+($AM$3*INDEX(Indicators,MATCH($A99,INDEX(Indicators,0,4),0),MATCH($AK$3,INDEX(Indicators,1,0),0)))+(INDEX(Electricity_projection,MATCH(AL99&amp;AK99,INDEX(Electricity_projection,0,3),0),MATCH(YEAR(TODAY()),Timeline_elec_projec,0)+3)*$AM$4), 0)</f>
        <v>0</v>
      </c>
      <c r="AN99" cm="1">
        <f t="array" aca="1" ref="AN99" ca="1">IFERROR(($AN$2*INDEX(Indicators,MATCH($A99,INDEX(Indicators,0,4),0),MATCH($AK$2,INDEX(Indicators,1,0),0)))+($AN$3*INDEX(Indicators,MATCH($A99,INDEX(Indicators,0,4),0),MATCH($AK$3,INDEX(Indicators,1,0),0)))+(INDEX(Electricity_projection,MATCH(AL99&amp;AK99,INDEX(Electricity_projection,0,3),0),MATCH(YEAR(TODAY()),Timeline_elec_projec,0)+3)*$AN$4), 0)</f>
        <v>0</v>
      </c>
      <c r="AO99" cm="1">
        <f t="array" aca="1" ref="AO99" ca="1">IFERROR(($AO$2*INDEX(Indicators,MATCH($A99,INDEX(Indicators,0,4),0),MATCH($AK$2,INDEX(Indicators,1,0),0)))+($AO$3*INDEX(Indicators,MATCH($A99,INDEX(Indicators,0,4),0),MATCH($AK$3,INDEX(Indicators,1,0),0)))+(INDEX(Electricity_projection,MATCH(AL99&amp;AK99,INDEX(Electricity_projection,0,3),0),MATCH(YEAR(TODAY()),Timeline_elec_projec,0)+3)*$AO$4), 0)</f>
        <v>0</v>
      </c>
      <c r="AP99" cm="1">
        <f t="array" aca="1" ref="AP99" ca="1">IFERROR(($AP$2*INDEX(Indicators,MATCH($A99,INDEX(Indicators,0,4),0),MATCH($AK$2,INDEX(Indicators,1,0),0)))+($AP$3*INDEX(Indicators,MATCH($A99,INDEX(Indicators,0,4),0),MATCH($AK$3,INDEX(Indicators,1,0),0)))+(INDEX(Electricity_projection,MATCH(AL99&amp;AK99,INDEX(Electricity_projection,0,3),0),MATCH(YEAR(TODAY()),Timeline_elec_projec,0)+3)*$AP$4), 0)</f>
        <v>0</v>
      </c>
      <c r="AQ99">
        <f ca="1"/>
        <v>0</v>
      </c>
    </row>
    <row r="100" spans="1:43" x14ac:dyDescent="0.35">
      <c r="A100" t="str" cm="1">
        <f t="array" ref="A100">INDEX(Indicators,ROW()-9,4)</f>
        <v>A2ConsequentialWS</v>
      </c>
      <c r="B100" s="540" cm="1">
        <f t="array" aca="1" ref="B100:I100" ca="1">INDEX(Indicators,ROW()-9,MATCH(Handle_Wearing_Course,Materials!$1:$1,0))</f>
        <v>1.2946312392570001E-2</v>
      </c>
      <c r="C100" s="1">
        <f ca="1"/>
        <v>1.7786312280000001E-5</v>
      </c>
      <c r="D100" s="1">
        <f ca="1"/>
        <v>9.2951066999999995E-6</v>
      </c>
      <c r="E100" s="1">
        <f ca="1"/>
        <v>2.2898385816111796E-2</v>
      </c>
      <c r="F100" s="1">
        <f ca="1"/>
        <v>0</v>
      </c>
      <c r="G100" s="1">
        <f ca="1"/>
        <v>4.3060000000000001E-2</v>
      </c>
      <c r="H100" s="1">
        <f ca="1"/>
        <v>0</v>
      </c>
      <c r="I100" s="212">
        <f ca="1"/>
        <v>-0.31193300000000002</v>
      </c>
      <c r="J100" s="1">
        <v>-0.48666949999999987</v>
      </c>
      <c r="K100" s="1">
        <v>-0.31193300000000002</v>
      </c>
      <c r="L100" s="1">
        <v>-0.31193300000000002</v>
      </c>
      <c r="O100" s="1">
        <f ca="1">SUMPRODUCT(B100:L100,$B$2:$L$2)+INDEX(Indicators,MATCH(A100,Materials!$D:$D),MATCH("Truck (32+t)",Materials!$1:$1,0))*'Data Entry'!$C$64</f>
        <v>1.3543436797982507E-2</v>
      </c>
      <c r="P100" s="1">
        <f ca="1">SUMPRODUCT(B100:L100,$B$3:$L$3)+INDEX(Indicators,MATCH(A100,Materials!$D:$D),MATCH("Truck (32+t)",Materials!$1:$1,0))*'Data Entry'!$C$72</f>
        <v>-1.7030636350984191E-2</v>
      </c>
      <c r="Q100" s="1">
        <f ca="1">SUMPRODUCT(B100:L100,$B$4:$L$4)+INDEX(Indicators,MATCH(A100,Materials!$D:$D),MATCH("Truck (32+t)",Materials!$1:$1,0))*'Data Entry'!$C$66+$AQ$16</f>
        <v>8.5910106939639953E-3</v>
      </c>
      <c r="R100" s="1">
        <f ca="1">SUMPRODUCT(B100:L100,$B$5:$L$5)+INDEX(Indicators,MATCH(A100,Materials!$D:$D),MATCH("Truck (32+t)",Materials!$1:$1,0))*'Data Entry'!$C$68+$AQ$16</f>
        <v>2.7314614421820385E-3</v>
      </c>
      <c r="S100" s="1">
        <f ca="1">SUMPRODUCT(B100:L100,$B$6:$L$6)+INDEX(Indicators,MATCH(A100,Materials!$D:$D),MATCH("Truck (32+t)",Materials!$1:$1,0))*'Data Entry'!$C$70+$AQ$16</f>
        <v>1.3666296874076576E-2</v>
      </c>
      <c r="T100" s="1">
        <f ca="1">SUMPRODUCT(B100:L100,$B$7:$L$7)+INDEX(Indicators,MATCH(A100,Materials!$D:$D),MATCH("Truck (32+t)",Materials!$1:$1,0))*'Data Entry'!$C$68+$AQ$16</f>
        <v>8.6438260868348989E-3</v>
      </c>
      <c r="U100" s="1">
        <f ca="1">SUMPRODUCT(B100:L100,$B$8:$L$8)+INDEX(Indicators,MATCH(A100,Materials!$D:$D),MATCH("Truck (32+t)",Materials!$1:$1,0))*'Data Entry'!$C$69+$AQ$16</f>
        <v>1.3566776139841159E-2</v>
      </c>
      <c r="V100" s="1">
        <f ca="1">SUMPRODUCT(B100:L100,$B$9:$L$9)+INDEX(Indicators,MATCH(A100,Materials!$D:$D),MATCH("Truck (32+t)",Materials!$1:$1,0))*'Data Entry'!$C$71</f>
        <v>1.2934015217625001E-2</v>
      </c>
      <c r="W100" s="1">
        <f ca="1">SUMPRODUCT(B100:L100,$B$10:$L$10)+INDEX(Indicators,MATCH(A100,Materials!$D:$D),MATCH("Truck (32+t)",Materials!$1:$1,0))*'Data Entry'!$C$72</f>
        <v>1.4209800000000002E-2</v>
      </c>
      <c r="Z100">
        <v>2.1934999999999998</v>
      </c>
      <c r="AA100">
        <v>-4.8070399999999998</v>
      </c>
      <c r="AB100">
        <v>1.3873899999999999</v>
      </c>
      <c r="AC100" s="209">
        <v>3.7539999999999997E-2</v>
      </c>
      <c r="AD100" s="209"/>
      <c r="AF100" cm="1">
        <f t="array" ref="AF100">SUMPRODUCT($AF$2:$AF$5, TRANSPOSE($Z100:$AC100))</f>
        <v>-0.48666949999999987</v>
      </c>
      <c r="AG100" cm="1">
        <f t="array" ref="AG100">SUMPRODUCT($AG$2:$AG$5, TRANSPOSE($Z100:$AC100))</f>
        <v>-0.31193300000000002</v>
      </c>
      <c r="AH100" cm="1">
        <f t="array" ref="AH100">SUMPRODUCT($AH$2:$AH$5, TRANSPOSE($Z100:$AC100))</f>
        <v>-0.31193300000000002</v>
      </c>
      <c r="AK100" t="s">
        <v>406</v>
      </c>
      <c r="AL100" t="s">
        <v>485</v>
      </c>
      <c r="AM100" cm="1">
        <f t="array" aca="1" ref="AM100" ca="1">IFERROR(($AM$2*INDEX(Indicators,MATCH($A100,INDEX(Indicators,0,4),0),MATCH($AK$2,INDEX(Indicators,1,0),0)))+($AM$3*INDEX(Indicators,MATCH($A100,INDEX(Indicators,0,4),0),MATCH($AK$3,INDEX(Indicators,1,0),0)))+(INDEX(Electricity_projection,MATCH(AL100&amp;AK100,INDEX(Electricity_projection,0,3),0),MATCH(YEAR(TODAY()),Timeline_elec_projec,0)+3)*$AM$4), 0)</f>
        <v>0</v>
      </c>
      <c r="AN100" cm="1">
        <f t="array" aca="1" ref="AN100" ca="1">IFERROR(($AN$2*INDEX(Indicators,MATCH($A100,INDEX(Indicators,0,4),0),MATCH($AK$2,INDEX(Indicators,1,0),0)))+($AN$3*INDEX(Indicators,MATCH($A100,INDEX(Indicators,0,4),0),MATCH($AK$3,INDEX(Indicators,1,0),0)))+(INDEX(Electricity_projection,MATCH(AL100&amp;AK100,INDEX(Electricity_projection,0,3),0),MATCH(YEAR(TODAY()),Timeline_elec_projec,0)+3)*$AN$4), 0)</f>
        <v>0</v>
      </c>
      <c r="AO100" cm="1">
        <f t="array" aca="1" ref="AO100" ca="1">IFERROR(($AO$2*INDEX(Indicators,MATCH($A100,INDEX(Indicators,0,4),0),MATCH($AK$2,INDEX(Indicators,1,0),0)))+($AO$3*INDEX(Indicators,MATCH($A100,INDEX(Indicators,0,4),0),MATCH($AK$3,INDEX(Indicators,1,0),0)))+(INDEX(Electricity_projection,MATCH(AL100&amp;AK100,INDEX(Electricity_projection,0,3),0),MATCH(YEAR(TODAY()),Timeline_elec_projec,0)+3)*$AO$4), 0)</f>
        <v>0</v>
      </c>
      <c r="AP100" cm="1">
        <f t="array" aca="1" ref="AP100" ca="1">IFERROR(($AP$2*INDEX(Indicators,MATCH($A100,INDEX(Indicators,0,4),0),MATCH($AK$2,INDEX(Indicators,1,0),0)))+($AP$3*INDEX(Indicators,MATCH($A100,INDEX(Indicators,0,4),0),MATCH($AK$3,INDEX(Indicators,1,0),0)))+(INDEX(Electricity_projection,MATCH(AL100&amp;AK100,INDEX(Electricity_projection,0,3),0),MATCH(YEAR(TODAY()),Timeline_elec_projec,0)+3)*$AP$4), 0)</f>
        <v>0</v>
      </c>
      <c r="AQ100">
        <f ca="1"/>
        <v>0</v>
      </c>
    </row>
    <row r="101" spans="1:43" x14ac:dyDescent="0.35">
      <c r="A101" t="str" cm="1">
        <f t="array" ref="A101">INDEX(Indicators,ROW()-9,4)</f>
        <v>A2ConsequentialCRU</v>
      </c>
      <c r="B101" s="540" cm="1">
        <f t="array" aca="1" ref="B101:I101" ca="1">INDEX(Indicators,ROW()-9,MATCH(Handle_Wearing_Course,Materials!$1:$1,0))</f>
        <v>0</v>
      </c>
      <c r="C101" s="1">
        <f ca="1"/>
        <v>0</v>
      </c>
      <c r="D101" s="1">
        <f ca="1"/>
        <v>0</v>
      </c>
      <c r="E101" s="1">
        <f ca="1"/>
        <v>0</v>
      </c>
      <c r="F101" s="1">
        <f ca="1"/>
        <v>0</v>
      </c>
      <c r="G101" s="1">
        <f ca="1"/>
        <v>0</v>
      </c>
      <c r="H101" s="1">
        <f ca="1"/>
        <v>0</v>
      </c>
      <c r="I101" s="212">
        <f ca="1"/>
        <v>0</v>
      </c>
      <c r="J101" s="1">
        <v>0</v>
      </c>
      <c r="K101" s="1">
        <v>0</v>
      </c>
      <c r="L101" s="1">
        <v>0</v>
      </c>
      <c r="O101" s="1">
        <f ca="1">SUMPRODUCT(B101:L101,$B$2:$L$2)+INDEX(Indicators,MATCH(A101,Materials!$D:$D),MATCH("Truck (32+t)",Materials!$1:$1,0))*'Data Entry'!$C$64</f>
        <v>0</v>
      </c>
      <c r="P101" s="1">
        <f ca="1">SUMPRODUCT(B101:L101,$B$3:$L$3)+INDEX(Indicators,MATCH(A101,Materials!$D:$D),MATCH("Truck (32+t)",Materials!$1:$1,0))*'Data Entry'!$C$72</f>
        <v>0</v>
      </c>
      <c r="Q101" s="1">
        <f ca="1">SUMPRODUCT(B101:L101,$B$4:$L$4)+INDEX(Indicators,MATCH(A101,Materials!$D:$D),MATCH("Truck (32+t)",Materials!$1:$1,0))*'Data Entry'!$C$66+$AQ$16</f>
        <v>1.2286007609406925E-4</v>
      </c>
      <c r="R101" s="1">
        <f ca="1">SUMPRODUCT(B101:L101,$B$5:$L$5)+INDEX(Indicators,MATCH(A101,Materials!$D:$D),MATCH("Truck (32+t)",Materials!$1:$1,0))*'Data Entry'!$C$68+$AQ$16</f>
        <v>1.2286007609406925E-4</v>
      </c>
      <c r="S101" s="1">
        <f ca="1">SUMPRODUCT(B101:L101,$B$6:$L$6)+INDEX(Indicators,MATCH(A101,Materials!$D:$D),MATCH("Truck (32+t)",Materials!$1:$1,0))*'Data Entry'!$C$70+$AQ$16</f>
        <v>1.2286007609406925E-4</v>
      </c>
      <c r="T101" s="1">
        <f ca="1">SUMPRODUCT(B101:L101,$B$7:$L$7)+INDEX(Indicators,MATCH(A101,Materials!$D:$D),MATCH("Truck (32+t)",Materials!$1:$1,0))*'Data Entry'!$C$68+$AQ$16</f>
        <v>1.2286007609406925E-4</v>
      </c>
      <c r="U101" s="1">
        <f ca="1">SUMPRODUCT(B101:L101,$B$8:$L$8)+INDEX(Indicators,MATCH(A101,Materials!$D:$D),MATCH("Truck (32+t)",Materials!$1:$1,0))*'Data Entry'!$C$69+$AQ$16</f>
        <v>1.2286007609406925E-4</v>
      </c>
      <c r="V101" s="1">
        <f ca="1">SUMPRODUCT(B101:L101,$B$9:$L$9)+INDEX(Indicators,MATCH(A101,Materials!$D:$D),MATCH("Truck (32+t)",Materials!$1:$1,0))*'Data Entry'!$C$71</f>
        <v>0</v>
      </c>
      <c r="W101" s="1">
        <f ca="1">SUMPRODUCT(B101:L101,$B$10:$L$10)+INDEX(Indicators,MATCH(A101,Materials!$D:$D),MATCH("Truck (32+t)",Materials!$1:$1,0))*'Data Entry'!$C$72</f>
        <v>0</v>
      </c>
      <c r="Z101">
        <v>0</v>
      </c>
      <c r="AA101">
        <v>0</v>
      </c>
      <c r="AB101">
        <v>0</v>
      </c>
      <c r="AC101" s="209">
        <v>0</v>
      </c>
      <c r="AD101" s="209"/>
      <c r="AF101" cm="1">
        <f t="array" ref="AF101">SUMPRODUCT($AF$2:$AF$5, TRANSPOSE($Z101:$AC101))</f>
        <v>0</v>
      </c>
      <c r="AG101" cm="1">
        <f t="array" ref="AG101">SUMPRODUCT($AG$2:$AG$5, TRANSPOSE($Z101:$AC101))</f>
        <v>0</v>
      </c>
      <c r="AH101" cm="1">
        <f t="array" ref="AH101">SUMPRODUCT($AH$2:$AH$5, TRANSPOSE($Z101:$AC101))</f>
        <v>0</v>
      </c>
      <c r="AK101" t="s">
        <v>534</v>
      </c>
      <c r="AL101" t="s">
        <v>485</v>
      </c>
      <c r="AM101" cm="1">
        <f t="array" aca="1" ref="AM101" ca="1">IFERROR(($AM$2*INDEX(Indicators,MATCH($A101,INDEX(Indicators,0,4),0),MATCH($AK$2,INDEX(Indicators,1,0),0)))+($AM$3*INDEX(Indicators,MATCH($A101,INDEX(Indicators,0,4),0),MATCH($AK$3,INDEX(Indicators,1,0),0)))+(INDEX(Electricity_projection,MATCH(AL101&amp;AK101,INDEX(Electricity_projection,0,3),0),MATCH(YEAR(TODAY()),Timeline_elec_projec,0)+3)*$AM$4), 0)</f>
        <v>0</v>
      </c>
      <c r="AN101" cm="1">
        <f t="array" aca="1" ref="AN101" ca="1">IFERROR(($AN$2*INDEX(Indicators,MATCH($A101,INDEX(Indicators,0,4),0),MATCH($AK$2,INDEX(Indicators,1,0),0)))+($AN$3*INDEX(Indicators,MATCH($A101,INDEX(Indicators,0,4),0),MATCH($AK$3,INDEX(Indicators,1,0),0)))+(INDEX(Electricity_projection,MATCH(AL101&amp;AK101,INDEX(Electricity_projection,0,3),0),MATCH(YEAR(TODAY()),Timeline_elec_projec,0)+3)*$AN$4), 0)</f>
        <v>0</v>
      </c>
      <c r="AO101" cm="1">
        <f t="array" aca="1" ref="AO101" ca="1">IFERROR(($AO$2*INDEX(Indicators,MATCH($A101,INDEX(Indicators,0,4),0),MATCH($AK$2,INDEX(Indicators,1,0),0)))+($AO$3*INDEX(Indicators,MATCH($A101,INDEX(Indicators,0,4),0),MATCH($AK$3,INDEX(Indicators,1,0),0)))+(INDEX(Electricity_projection,MATCH(AL101&amp;AK101,INDEX(Electricity_projection,0,3),0),MATCH(YEAR(TODAY()),Timeline_elec_projec,0)+3)*$AO$4), 0)</f>
        <v>0</v>
      </c>
      <c r="AP101" cm="1">
        <f t="array" aca="1" ref="AP101" ca="1">IFERROR(($AP$2*INDEX(Indicators,MATCH($A101,INDEX(Indicators,0,4),0),MATCH($AK$2,INDEX(Indicators,1,0),0)))+($AP$3*INDEX(Indicators,MATCH($A101,INDEX(Indicators,0,4),0),MATCH($AK$3,INDEX(Indicators,1,0),0)))+(INDEX(Electricity_projection,MATCH(AL101&amp;AK101,INDEX(Electricity_projection,0,3),0),MATCH(YEAR(TODAY()),Timeline_elec_projec,0)+3)*$AP$4), 0)</f>
        <v>0</v>
      </c>
      <c r="AQ101">
        <f ca="1"/>
        <v>0</v>
      </c>
    </row>
    <row r="102" spans="1:43" x14ac:dyDescent="0.35">
      <c r="A102" t="str" cm="1">
        <f t="array" ref="A102">INDEX(Indicators,ROW()-9,4)</f>
        <v>A2ConsequentialEE</v>
      </c>
      <c r="B102" s="540" cm="1">
        <f t="array" aca="1" ref="B102:I102" ca="1">INDEX(Indicators,ROW()-9,MATCH(Handle_Wearing_Course,Materials!$1:$1,0))</f>
        <v>0</v>
      </c>
      <c r="C102" s="1">
        <f ca="1"/>
        <v>0</v>
      </c>
      <c r="D102" s="1">
        <f ca="1"/>
        <v>0</v>
      </c>
      <c r="E102" s="1">
        <f ca="1"/>
        <v>0</v>
      </c>
      <c r="F102" s="1">
        <f ca="1"/>
        <v>0</v>
      </c>
      <c r="G102" s="1">
        <f ca="1"/>
        <v>0</v>
      </c>
      <c r="H102" s="1">
        <f ca="1"/>
        <v>0</v>
      </c>
      <c r="I102" s="212">
        <f ca="1"/>
        <v>0</v>
      </c>
      <c r="J102" s="1">
        <v>0</v>
      </c>
      <c r="K102" s="1">
        <v>0</v>
      </c>
      <c r="L102" s="1">
        <v>0</v>
      </c>
      <c r="O102" s="1">
        <f ca="1">SUMPRODUCT(B102:L102,$B$2:$L$2)+INDEX(Indicators,MATCH(A102,Materials!$D:$D),MATCH("Truck (32+t)",Materials!$1:$1,0))*'Data Entry'!$C$64</f>
        <v>0</v>
      </c>
      <c r="P102" s="1">
        <f ca="1">SUMPRODUCT(B102:L102,$B$3:$L$3)+INDEX(Indicators,MATCH(A102,Materials!$D:$D),MATCH("Truck (32+t)",Materials!$1:$1,0))*'Data Entry'!$C$72</f>
        <v>0</v>
      </c>
      <c r="Q102" s="1">
        <f ca="1">SUMPRODUCT(B102:L102,$B$4:$L$4)+INDEX(Indicators,MATCH(A102,Materials!$D:$D),MATCH("Truck (32+t)",Materials!$1:$1,0))*'Data Entry'!$C$66+$AQ$16</f>
        <v>1.2286007609406925E-4</v>
      </c>
      <c r="R102" s="1">
        <f ca="1">SUMPRODUCT(B102:L102,$B$5:$L$5)+INDEX(Indicators,MATCH(A102,Materials!$D:$D),MATCH("Truck (32+t)",Materials!$1:$1,0))*'Data Entry'!$C$68+$AQ$16</f>
        <v>1.2286007609406925E-4</v>
      </c>
      <c r="S102" s="1">
        <f ca="1">SUMPRODUCT(B102:L102,$B$6:$L$6)+INDEX(Indicators,MATCH(A102,Materials!$D:$D),MATCH("Truck (32+t)",Materials!$1:$1,0))*'Data Entry'!$C$70+$AQ$16</f>
        <v>1.2286007609406925E-4</v>
      </c>
      <c r="T102" s="1">
        <f ca="1">SUMPRODUCT(B102:L102,$B$7:$L$7)+INDEX(Indicators,MATCH(A102,Materials!$D:$D),MATCH("Truck (32+t)",Materials!$1:$1,0))*'Data Entry'!$C$68+$AQ$16</f>
        <v>1.2286007609406925E-4</v>
      </c>
      <c r="U102" s="1">
        <f ca="1">SUMPRODUCT(B102:L102,$B$8:$L$8)+INDEX(Indicators,MATCH(A102,Materials!$D:$D),MATCH("Truck (32+t)",Materials!$1:$1,0))*'Data Entry'!$C$69+$AQ$16</f>
        <v>1.2286007609406925E-4</v>
      </c>
      <c r="V102" s="1">
        <f ca="1">SUMPRODUCT(B102:L102,$B$9:$L$9)+INDEX(Indicators,MATCH(A102,Materials!$D:$D),MATCH("Truck (32+t)",Materials!$1:$1,0))*'Data Entry'!$C$71</f>
        <v>0</v>
      </c>
      <c r="W102" s="1">
        <f ca="1">SUMPRODUCT(B102:L102,$B$10:$L$10)+INDEX(Indicators,MATCH(A102,Materials!$D:$D),MATCH("Truck (32+t)",Materials!$1:$1,0))*'Data Entry'!$C$72</f>
        <v>0</v>
      </c>
      <c r="Z102">
        <v>0</v>
      </c>
      <c r="AA102">
        <v>0</v>
      </c>
      <c r="AB102">
        <v>0</v>
      </c>
      <c r="AC102" s="209">
        <v>0</v>
      </c>
      <c r="AD102" s="209"/>
      <c r="AF102" cm="1">
        <f t="array" ref="AF102">SUMPRODUCT($AF$2:$AF$5, TRANSPOSE($Z102:$AC102))</f>
        <v>0</v>
      </c>
      <c r="AG102" cm="1">
        <f t="array" ref="AG102">SUMPRODUCT($AG$2:$AG$5, TRANSPOSE($Z102:$AC102))</f>
        <v>0</v>
      </c>
      <c r="AH102" cm="1">
        <f t="array" ref="AH102">SUMPRODUCT($AH$2:$AH$5, TRANSPOSE($Z102:$AC102))</f>
        <v>0</v>
      </c>
      <c r="AK102" t="s">
        <v>499</v>
      </c>
      <c r="AL102" t="s">
        <v>485</v>
      </c>
      <c r="AM102" cm="1">
        <f t="array" aca="1" ref="AM102" ca="1">IFERROR(($AM$2*INDEX(Indicators,MATCH($A102,INDEX(Indicators,0,4),0),MATCH($AK$2,INDEX(Indicators,1,0),0)))+($AM$3*INDEX(Indicators,MATCH($A102,INDEX(Indicators,0,4),0),MATCH($AK$3,INDEX(Indicators,1,0),0)))+(INDEX(Electricity_projection,MATCH(AL102&amp;AK102,INDEX(Electricity_projection,0,3),0),MATCH(YEAR(TODAY()),Timeline_elec_projec,0)+3)*$AM$4), 0)</f>
        <v>0</v>
      </c>
      <c r="AN102" cm="1">
        <f t="array" aca="1" ref="AN102" ca="1">IFERROR(($AN$2*INDEX(Indicators,MATCH($A102,INDEX(Indicators,0,4),0),MATCH($AK$2,INDEX(Indicators,1,0),0)))+($AN$3*INDEX(Indicators,MATCH($A102,INDEX(Indicators,0,4),0),MATCH($AK$3,INDEX(Indicators,1,0),0)))+(INDEX(Electricity_projection,MATCH(AL102&amp;AK102,INDEX(Electricity_projection,0,3),0),MATCH(YEAR(TODAY()),Timeline_elec_projec,0)+3)*$AN$4), 0)</f>
        <v>0</v>
      </c>
      <c r="AO102" cm="1">
        <f t="array" aca="1" ref="AO102" ca="1">IFERROR(($AO$2*INDEX(Indicators,MATCH($A102,INDEX(Indicators,0,4),0),MATCH($AK$2,INDEX(Indicators,1,0),0)))+($AO$3*INDEX(Indicators,MATCH($A102,INDEX(Indicators,0,4),0),MATCH($AK$3,INDEX(Indicators,1,0),0)))+(INDEX(Electricity_projection,MATCH(AL102&amp;AK102,INDEX(Electricity_projection,0,3),0),MATCH(YEAR(TODAY()),Timeline_elec_projec,0)+3)*$AO$4), 0)</f>
        <v>0</v>
      </c>
      <c r="AP102" cm="1">
        <f t="array" aca="1" ref="AP102" ca="1">IFERROR(($AP$2*INDEX(Indicators,MATCH($A102,INDEX(Indicators,0,4),0),MATCH($AK$2,INDEX(Indicators,1,0),0)))+($AP$3*INDEX(Indicators,MATCH($A102,INDEX(Indicators,0,4),0),MATCH($AK$3,INDEX(Indicators,1,0),0)))+(INDEX(Electricity_projection,MATCH(AL102&amp;AK102,INDEX(Electricity_projection,0,3),0),MATCH(YEAR(TODAY()),Timeline_elec_projec,0)+3)*$AP$4), 0)</f>
        <v>0</v>
      </c>
      <c r="AQ102">
        <f ca="1"/>
        <v>0</v>
      </c>
    </row>
    <row r="103" spans="1:43" x14ac:dyDescent="0.35">
      <c r="A103" t="str" cm="1">
        <f t="array" ref="A103">INDEX(Indicators,ROW()-9,4)</f>
        <v>A2ConsequentialMER</v>
      </c>
      <c r="B103" s="540" cm="1">
        <f t="array" aca="1" ref="B103:I103" ca="1">INDEX(Indicators,ROW()-9,MATCH(Handle_Wearing_Course,Materials!$1:$1,0))</f>
        <v>0</v>
      </c>
      <c r="C103" s="1">
        <f ca="1"/>
        <v>0</v>
      </c>
      <c r="D103" s="1">
        <f ca="1"/>
        <v>0</v>
      </c>
      <c r="E103" s="1">
        <f ca="1"/>
        <v>0</v>
      </c>
      <c r="F103" s="1">
        <f ca="1"/>
        <v>0</v>
      </c>
      <c r="G103" s="1">
        <f ca="1"/>
        <v>0</v>
      </c>
      <c r="H103" s="1">
        <f ca="1"/>
        <v>0</v>
      </c>
      <c r="I103" s="212">
        <f ca="1"/>
        <v>0</v>
      </c>
      <c r="J103" s="1">
        <v>0</v>
      </c>
      <c r="K103" s="1">
        <v>0</v>
      </c>
      <c r="L103" s="1">
        <v>0</v>
      </c>
      <c r="O103" s="1">
        <f ca="1">SUMPRODUCT(B103:L103,$B$2:$L$2)+INDEX(Indicators,MATCH(A103,Materials!$D:$D),MATCH("Truck (32+t)",Materials!$1:$1,0))*'Data Entry'!$C$64</f>
        <v>0</v>
      </c>
      <c r="P103" s="1">
        <f ca="1">SUMPRODUCT(B103:L103,$B$3:$L$3)+INDEX(Indicators,MATCH(A103,Materials!$D:$D),MATCH("Truck (32+t)",Materials!$1:$1,0))*'Data Entry'!$C$72</f>
        <v>0</v>
      </c>
      <c r="Q103" s="1">
        <f ca="1">SUMPRODUCT(B103:L103,$B$4:$L$4)+INDEX(Indicators,MATCH(A103,Materials!$D:$D),MATCH("Truck (32+t)",Materials!$1:$1,0))*'Data Entry'!$C$66+$AQ$16</f>
        <v>1.2286007609406925E-4</v>
      </c>
      <c r="R103" s="1">
        <f ca="1">SUMPRODUCT(B103:L103,$B$5:$L$5)+INDEX(Indicators,MATCH(A103,Materials!$D:$D),MATCH("Truck (32+t)",Materials!$1:$1,0))*'Data Entry'!$C$68+$AQ$16</f>
        <v>1.2286007609406925E-4</v>
      </c>
      <c r="S103" s="1">
        <f ca="1">SUMPRODUCT(B103:L103,$B$6:$L$6)+INDEX(Indicators,MATCH(A103,Materials!$D:$D),MATCH("Truck (32+t)",Materials!$1:$1,0))*'Data Entry'!$C$70+$AQ$16</f>
        <v>1.2286007609406925E-4</v>
      </c>
      <c r="T103" s="1">
        <f ca="1">SUMPRODUCT(B103:L103,$B$7:$L$7)+INDEX(Indicators,MATCH(A103,Materials!$D:$D),MATCH("Truck (32+t)",Materials!$1:$1,0))*'Data Entry'!$C$68+$AQ$16</f>
        <v>1.2286007609406925E-4</v>
      </c>
      <c r="U103" s="1">
        <f ca="1">SUMPRODUCT(B103:L103,$B$8:$L$8)+INDEX(Indicators,MATCH(A103,Materials!$D:$D),MATCH("Truck (32+t)",Materials!$1:$1,0))*'Data Entry'!$C$69+$AQ$16</f>
        <v>1.2286007609406925E-4</v>
      </c>
      <c r="V103" s="1">
        <f ca="1">SUMPRODUCT(B103:L103,$B$9:$L$9)+INDEX(Indicators,MATCH(A103,Materials!$D:$D),MATCH("Truck (32+t)",Materials!$1:$1,0))*'Data Entry'!$C$71</f>
        <v>0</v>
      </c>
      <c r="W103" s="1">
        <f ca="1">SUMPRODUCT(B103:L103,$B$10:$L$10)+INDEX(Indicators,MATCH(A103,Materials!$D:$D),MATCH("Truck (32+t)",Materials!$1:$1,0))*'Data Entry'!$C$72</f>
        <v>0</v>
      </c>
      <c r="Z103">
        <v>0</v>
      </c>
      <c r="AA103">
        <v>0</v>
      </c>
      <c r="AB103">
        <v>0</v>
      </c>
      <c r="AC103" s="209">
        <v>0</v>
      </c>
      <c r="AD103" s="209"/>
      <c r="AF103" cm="1">
        <f t="array" ref="AF103">SUMPRODUCT($AF$2:$AF$5, TRANSPOSE($Z103:$AC103))</f>
        <v>0</v>
      </c>
      <c r="AG103" cm="1">
        <f t="array" ref="AG103">SUMPRODUCT($AG$2:$AG$5, TRANSPOSE($Z103:$AC103))</f>
        <v>0</v>
      </c>
      <c r="AH103" cm="1">
        <f t="array" ref="AH103">SUMPRODUCT($AH$2:$AH$5, TRANSPOSE($Z103:$AC103))</f>
        <v>0</v>
      </c>
      <c r="AK103" t="s">
        <v>501</v>
      </c>
      <c r="AL103" t="s">
        <v>485</v>
      </c>
      <c r="AM103" cm="1">
        <f t="array" aca="1" ref="AM103" ca="1">IFERROR(($AM$2*INDEX(Indicators,MATCH($A103,INDEX(Indicators,0,4),0),MATCH($AK$2,INDEX(Indicators,1,0),0)))+($AM$3*INDEX(Indicators,MATCH($A103,INDEX(Indicators,0,4),0),MATCH($AK$3,INDEX(Indicators,1,0),0)))+(INDEX(Electricity_projection,MATCH(AL103&amp;AK103,INDEX(Electricity_projection,0,3),0),MATCH(YEAR(TODAY()),Timeline_elec_projec,0)+3)*$AM$4), 0)</f>
        <v>0</v>
      </c>
      <c r="AN103" cm="1">
        <f t="array" aca="1" ref="AN103" ca="1">IFERROR(($AN$2*INDEX(Indicators,MATCH($A103,INDEX(Indicators,0,4),0),MATCH($AK$2,INDEX(Indicators,1,0),0)))+($AN$3*INDEX(Indicators,MATCH($A103,INDEX(Indicators,0,4),0),MATCH($AK$3,INDEX(Indicators,1,0),0)))+(INDEX(Electricity_projection,MATCH(AL103&amp;AK103,INDEX(Electricity_projection,0,3),0),MATCH(YEAR(TODAY()),Timeline_elec_projec,0)+3)*$AN$4), 0)</f>
        <v>0</v>
      </c>
      <c r="AO103" cm="1">
        <f t="array" aca="1" ref="AO103" ca="1">IFERROR(($AO$2*INDEX(Indicators,MATCH($A103,INDEX(Indicators,0,4),0),MATCH($AK$2,INDEX(Indicators,1,0),0)))+($AO$3*INDEX(Indicators,MATCH($A103,INDEX(Indicators,0,4),0),MATCH($AK$3,INDEX(Indicators,1,0),0)))+(INDEX(Electricity_projection,MATCH(AL103&amp;AK103,INDEX(Electricity_projection,0,3),0),MATCH(YEAR(TODAY()),Timeline_elec_projec,0)+3)*$AO$4), 0)</f>
        <v>0</v>
      </c>
      <c r="AP103" cm="1">
        <f t="array" aca="1" ref="AP103" ca="1">IFERROR(($AP$2*INDEX(Indicators,MATCH($A103,INDEX(Indicators,0,4),0),MATCH($AK$2,INDEX(Indicators,1,0),0)))+($AP$3*INDEX(Indicators,MATCH($A103,INDEX(Indicators,0,4),0),MATCH($AK$3,INDEX(Indicators,1,0),0)))+(INDEX(Electricity_projection,MATCH(AL103&amp;AK103,INDEX(Electricity_projection,0,3),0),MATCH(YEAR(TODAY()),Timeline_elec_projec,0)+3)*$AP$4), 0)</f>
        <v>0</v>
      </c>
      <c r="AQ103">
        <f ca="1"/>
        <v>0</v>
      </c>
    </row>
    <row r="104" spans="1:43" x14ac:dyDescent="0.35">
      <c r="A104" t="str" cm="1">
        <f t="array" ref="A104">INDEX(Indicators,ROW()-9,4)</f>
        <v>A2ConsequentialMFR</v>
      </c>
      <c r="B104" s="540" cm="1">
        <f t="array" aca="1" ref="B104:I104" ca="1">INDEX(Indicators,ROW()-9,MATCH(Handle_Wearing_Course,Materials!$1:$1,0))</f>
        <v>0</v>
      </c>
      <c r="C104" s="1">
        <f ca="1"/>
        <v>0</v>
      </c>
      <c r="D104" s="1">
        <f ca="1"/>
        <v>0</v>
      </c>
      <c r="E104" s="1">
        <f ca="1"/>
        <v>0</v>
      </c>
      <c r="F104" s="1">
        <f ca="1"/>
        <v>0</v>
      </c>
      <c r="G104" s="1">
        <f ca="1"/>
        <v>0</v>
      </c>
      <c r="H104" s="1">
        <f ca="1"/>
        <v>0</v>
      </c>
      <c r="I104" s="212">
        <f ca="1"/>
        <v>0</v>
      </c>
      <c r="J104" s="1">
        <v>0</v>
      </c>
      <c r="K104" s="1">
        <v>0</v>
      </c>
      <c r="L104" s="1">
        <v>0</v>
      </c>
      <c r="O104" s="1">
        <f ca="1">SUMPRODUCT(B104:L104,$B$2:$L$2)+INDEX(Indicators,MATCH(A104,Materials!$D:$D),MATCH("Truck (32+t)",Materials!$1:$1,0))*'Data Entry'!$C$64</f>
        <v>0</v>
      </c>
      <c r="P104" s="1">
        <f ca="1">SUMPRODUCT(B104:L104,$B$3:$L$3)+INDEX(Indicators,MATCH(A104,Materials!$D:$D),MATCH("Truck (32+t)",Materials!$1:$1,0))*'Data Entry'!$C$72</f>
        <v>0</v>
      </c>
      <c r="Q104" s="1">
        <f ca="1">SUMPRODUCT(B104:L104,$B$4:$L$4)+INDEX(Indicators,MATCH(A104,Materials!$D:$D),MATCH("Truck (32+t)",Materials!$1:$1,0))*'Data Entry'!$C$66+$AQ$16</f>
        <v>1.2286007609406925E-4</v>
      </c>
      <c r="R104" s="1">
        <f ca="1">SUMPRODUCT(B104:L104,$B$5:$L$5)+INDEX(Indicators,MATCH(A104,Materials!$D:$D),MATCH("Truck (32+t)",Materials!$1:$1,0))*'Data Entry'!$C$68+$AQ$16</f>
        <v>1.2286007609406925E-4</v>
      </c>
      <c r="S104" s="1">
        <f ca="1">SUMPRODUCT(B104:L104,$B$6:$L$6)+INDEX(Indicators,MATCH(A104,Materials!$D:$D),MATCH("Truck (32+t)",Materials!$1:$1,0))*'Data Entry'!$C$70+$AQ$16</f>
        <v>1.2286007609406925E-4</v>
      </c>
      <c r="T104" s="1">
        <f ca="1">SUMPRODUCT(B104:L104,$B$7:$L$7)+INDEX(Indicators,MATCH(A104,Materials!$D:$D),MATCH("Truck (32+t)",Materials!$1:$1,0))*'Data Entry'!$C$68+$AQ$16</f>
        <v>1.2286007609406925E-4</v>
      </c>
      <c r="U104" s="1">
        <f ca="1">SUMPRODUCT(B104:L104,$B$8:$L$8)+INDEX(Indicators,MATCH(A104,Materials!$D:$D),MATCH("Truck (32+t)",Materials!$1:$1,0))*'Data Entry'!$C$69+$AQ$16</f>
        <v>1.2286007609406925E-4</v>
      </c>
      <c r="V104" s="1">
        <f ca="1">SUMPRODUCT(B104:L104,$B$9:$L$9)+INDEX(Indicators,MATCH(A104,Materials!$D:$D),MATCH("Truck (32+t)",Materials!$1:$1,0))*'Data Entry'!$C$71</f>
        <v>0</v>
      </c>
      <c r="W104" s="1">
        <f ca="1">SUMPRODUCT(B104:L104,$B$10:$L$10)+INDEX(Indicators,MATCH(A104,Materials!$D:$D),MATCH("Truck (32+t)",Materials!$1:$1,0))*'Data Entry'!$C$72</f>
        <v>0</v>
      </c>
      <c r="Z104">
        <v>0</v>
      </c>
      <c r="AA104">
        <v>0</v>
      </c>
      <c r="AB104">
        <v>0</v>
      </c>
      <c r="AC104" s="209">
        <v>0</v>
      </c>
      <c r="AD104" s="209"/>
      <c r="AF104" cm="1">
        <f t="array" ref="AF104">SUMPRODUCT($AF$2:$AF$5, TRANSPOSE($Z104:$AC104))</f>
        <v>0</v>
      </c>
      <c r="AG104" cm="1">
        <f t="array" ref="AG104">SUMPRODUCT($AG$2:$AG$5, TRANSPOSE($Z104:$AC104))</f>
        <v>0</v>
      </c>
      <c r="AH104" cm="1">
        <f t="array" ref="AH104">SUMPRODUCT($AH$2:$AH$5, TRANSPOSE($Z104:$AC104))</f>
        <v>0</v>
      </c>
      <c r="AK104" t="s">
        <v>503</v>
      </c>
      <c r="AL104" t="s">
        <v>485</v>
      </c>
      <c r="AM104" cm="1">
        <f t="array" aca="1" ref="AM104" ca="1">IFERROR(($AM$2*INDEX(Indicators,MATCH($A104,INDEX(Indicators,0,4),0),MATCH($AK$2,INDEX(Indicators,1,0),0)))+($AM$3*INDEX(Indicators,MATCH($A104,INDEX(Indicators,0,4),0),MATCH($AK$3,INDEX(Indicators,1,0),0)))+(INDEX(Electricity_projection,MATCH(AL104&amp;AK104,INDEX(Electricity_projection,0,3),0),MATCH(YEAR(TODAY()),Timeline_elec_projec,0)+3)*$AM$4), 0)</f>
        <v>0</v>
      </c>
      <c r="AN104" cm="1">
        <f t="array" aca="1" ref="AN104" ca="1">IFERROR(($AN$2*INDEX(Indicators,MATCH($A104,INDEX(Indicators,0,4),0),MATCH($AK$2,INDEX(Indicators,1,0),0)))+($AN$3*INDEX(Indicators,MATCH($A104,INDEX(Indicators,0,4),0),MATCH($AK$3,INDEX(Indicators,1,0),0)))+(INDEX(Electricity_projection,MATCH(AL104&amp;AK104,INDEX(Electricity_projection,0,3),0),MATCH(YEAR(TODAY()),Timeline_elec_projec,0)+3)*$AN$4), 0)</f>
        <v>0</v>
      </c>
      <c r="AO104" cm="1">
        <f t="array" aca="1" ref="AO104" ca="1">IFERROR(($AO$2*INDEX(Indicators,MATCH($A104,INDEX(Indicators,0,4),0),MATCH($AK$2,INDEX(Indicators,1,0),0)))+($AO$3*INDEX(Indicators,MATCH($A104,INDEX(Indicators,0,4),0),MATCH($AK$3,INDEX(Indicators,1,0),0)))+(INDEX(Electricity_projection,MATCH(AL104&amp;AK104,INDEX(Electricity_projection,0,3),0),MATCH(YEAR(TODAY()),Timeline_elec_projec,0)+3)*$AO$4), 0)</f>
        <v>0</v>
      </c>
      <c r="AP104" cm="1">
        <f t="array" aca="1" ref="AP104" ca="1">IFERROR(($AP$2*INDEX(Indicators,MATCH($A104,INDEX(Indicators,0,4),0),MATCH($AK$2,INDEX(Indicators,1,0),0)))+($AP$3*INDEX(Indicators,MATCH($A104,INDEX(Indicators,0,4),0),MATCH($AK$3,INDEX(Indicators,1,0),0)))+(INDEX(Electricity_projection,MATCH(AL104&amp;AK104,INDEX(Electricity_projection,0,3),0),MATCH(YEAR(TODAY()),Timeline_elec_projec,0)+3)*$AP$4), 0)</f>
        <v>0</v>
      </c>
      <c r="AQ104">
        <f ca="1"/>
        <v>0</v>
      </c>
    </row>
    <row r="105" spans="1:43" x14ac:dyDescent="0.35">
      <c r="A105" t="str" cm="1">
        <f t="array" ref="A105">INDEX(Indicators,ROW()-9,4)</f>
        <v>A2ConsequentialPENRT</v>
      </c>
      <c r="B105" s="540" cm="1">
        <f t="array" aca="1" ref="B105:I105" ca="1">INDEX(Indicators,ROW()-9,MATCH(Handle_Wearing_Course,Materials!$1:$1,0))</f>
        <v>5.0923898580829872E-2</v>
      </c>
      <c r="C105" s="1">
        <f ca="1"/>
        <v>3.3681207846136353E-2</v>
      </c>
      <c r="D105" s="1">
        <f ca="1"/>
        <v>3.1994119036583404E-2</v>
      </c>
      <c r="E105" s="1">
        <f ca="1"/>
        <v>45.509652746143075</v>
      </c>
      <c r="F105" s="1">
        <f ca="1"/>
        <v>0</v>
      </c>
      <c r="G105" s="1">
        <f ca="1"/>
        <v>1.3799999999999999E-3</v>
      </c>
      <c r="H105" s="1">
        <f ca="1"/>
        <v>0</v>
      </c>
      <c r="I105" s="212">
        <f ca="1"/>
        <v>51.461576999999998</v>
      </c>
      <c r="J105" s="1">
        <v>53.300345499999999</v>
      </c>
      <c r="K105" s="1">
        <v>51.461576999999998</v>
      </c>
      <c r="L105" s="1">
        <v>51.461576999999998</v>
      </c>
      <c r="O105" s="1">
        <f ca="1">SUMPRODUCT(B105:L105,$B$2:$L$2)+INDEX(Indicators,MATCH(A105,Materials!$D:$D),MATCH("Truck (32+t)",Materials!$1:$1,0))*'Data Entry'!$C$64</f>
        <v>2.7784476294345644</v>
      </c>
      <c r="P105" s="1">
        <f ca="1">SUMPRODUCT(B105:L105,$B$3:$L$3)+INDEX(Indicators,MATCH(A105,Materials!$D:$D),MATCH("Truck (32+t)",Materials!$1:$1,0))*'Data Entry'!$C$72</f>
        <v>3.2458891946659798</v>
      </c>
      <c r="Q105" s="1">
        <f ca="1">SUMPRODUCT(B105:L105,$B$4:$L$4)+INDEX(Indicators,MATCH(A105,Materials!$D:$D),MATCH("Truck (32+t)",Materials!$1:$1,0))*'Data Entry'!$C$66+$AQ$16</f>
        <v>3.2255858661685832</v>
      </c>
      <c r="R105" s="1">
        <f ca="1">SUMPRODUCT(B105:L105,$B$5:$L$5)+INDEX(Indicators,MATCH(A105,Materials!$D:$D),MATCH("Truck (32+t)",Materials!$1:$1,0))*'Data Entry'!$C$68+$AQ$16</f>
        <v>3.3297445406110793</v>
      </c>
      <c r="S105" s="1">
        <f ca="1">SUMPRODUCT(B105:L105,$B$6:$L$6)+INDEX(Indicators,MATCH(A105,Materials!$D:$D),MATCH("Truck (32+t)",Materials!$1:$1,0))*'Data Entry'!$C$70+$AQ$16</f>
        <v>2.7785704895106584</v>
      </c>
      <c r="T105" s="1">
        <f ca="1">SUMPRODUCT(B105:L105,$B$7:$L$7)+INDEX(Indicators,MATCH(A105,Materials!$D:$D),MATCH("Truck (32+t)",Materials!$1:$1,0))*'Data Entry'!$C$68+$AQ$16</f>
        <v>2.8678493533185128</v>
      </c>
      <c r="U105" s="1">
        <f ca="1">SUMPRODUCT(B105:L105,$B$8:$L$8)+INDEX(Indicators,MATCH(A105,Materials!$D:$D),MATCH("Truck (32+t)",Materials!$1:$1,0))*'Data Entry'!$C$69+$AQ$16</f>
        <v>2.3239832010350363</v>
      </c>
      <c r="V105" s="1">
        <f ca="1">SUMPRODUCT(B105:L105,$B$9:$L$9)+INDEX(Indicators,MATCH(A105,Materials!$D:$D),MATCH("Truck (32+t)",Materials!$1:$1,0))*'Data Entry'!$C$71</f>
        <v>3.2067773097731615E-2</v>
      </c>
      <c r="W105" s="1">
        <f ca="1">SUMPRODUCT(B105:L105,$B$10:$L$10)+INDEX(Indicators,MATCH(A105,Materials!$D:$D),MATCH("Truck (32+t)",Materials!$1:$1,0))*'Data Entry'!$C$72</f>
        <v>4.5540000000000001E-4</v>
      </c>
      <c r="Z105">
        <v>85.343400000000003</v>
      </c>
      <c r="AA105">
        <v>34.397579999999998</v>
      </c>
      <c r="AB105">
        <v>97.945869999999999</v>
      </c>
      <c r="AC105" s="209">
        <v>47.784039999999997</v>
      </c>
      <c r="AD105" s="209"/>
      <c r="AF105" cm="1">
        <f t="array" ref="AF105">SUMPRODUCT($AF$2:$AF$5, TRANSPOSE($Z105:$AC105))</f>
        <v>53.300345499999999</v>
      </c>
      <c r="AG105" cm="1">
        <f t="array" ref="AG105">SUMPRODUCT($AG$2:$AG$5, TRANSPOSE($Z105:$AC105))</f>
        <v>51.461576999999998</v>
      </c>
      <c r="AH105" cm="1">
        <f t="array" ref="AH105">SUMPRODUCT($AH$2:$AH$5, TRANSPOSE($Z105:$AC105))</f>
        <v>51.461576999999998</v>
      </c>
      <c r="AK105" t="s">
        <v>409</v>
      </c>
      <c r="AL105" t="s">
        <v>485</v>
      </c>
      <c r="AM105" cm="1">
        <f t="array" aca="1" ref="AM105" ca="1">IFERROR(($AM$2*INDEX(Indicators,MATCH($A105,INDEX(Indicators,0,4),0),MATCH($AK$2,INDEX(Indicators,1,0),0)))+($AM$3*INDEX(Indicators,MATCH($A105,INDEX(Indicators,0,4),0),MATCH($AK$3,INDEX(Indicators,1,0),0)))+(INDEX(Electricity_projection,MATCH(AL105&amp;AK105,INDEX(Electricity_projection,0,3),0),MATCH(YEAR(TODAY()),Timeline_elec_projec,0)+3)*$AM$4), 0)</f>
        <v>0.35676657941527423</v>
      </c>
      <c r="AN105" cm="1">
        <f t="array" aca="1" ref="AN105" ca="1">IFERROR(($AN$2*INDEX(Indicators,MATCH($A105,INDEX(Indicators,0,4),0),MATCH($AK$2,INDEX(Indicators,1,0),0)))+($AN$3*INDEX(Indicators,MATCH($A105,INDEX(Indicators,0,4),0),MATCH($AK$3,INDEX(Indicators,1,0),0)))+(INDEX(Electricity_projection,MATCH(AL105&amp;AK105,INDEX(Electricity_projection,0,3),0),MATCH(YEAR(TODAY()),Timeline_elec_projec,0)+3)*$AN$4), 0)</f>
        <v>0.31578754699538225</v>
      </c>
      <c r="AO105" cm="1">
        <f t="array" aca="1" ref="AO105" ca="1">IFERROR(($AO$2*INDEX(Indicators,MATCH($A105,INDEX(Indicators,0,4),0),MATCH($AK$2,INDEX(Indicators,1,0),0)))+($AO$3*INDEX(Indicators,MATCH($A105,INDEX(Indicators,0,4),0),MATCH($AK$3,INDEX(Indicators,1,0),0)))+(INDEX(Electricity_projection,MATCH(AL105&amp;AK105,INDEX(Electricity_projection,0,3),0),MATCH(YEAR(TODAY()),Timeline_elec_projec,0)+3)*$AO$4), 0)</f>
        <v>0.41879665869994559</v>
      </c>
      <c r="AP105" cm="1">
        <f t="array" aca="1" ref="AP105" ca="1">IFERROR(($AP$2*INDEX(Indicators,MATCH($A105,INDEX(Indicators,0,4),0),MATCH($AK$2,INDEX(Indicators,1,0),0)))+($AP$3*INDEX(Indicators,MATCH($A105,INDEX(Indicators,0,4),0),MATCH($AK$3,INDEX(Indicators,1,0),0)))+(INDEX(Electricity_projection,MATCH(AL105&amp;AK105,INDEX(Electricity_projection,0,3),0),MATCH(YEAR(TODAY()),Timeline_elec_projec,0)+3)*$AP$4), 0)</f>
        <v>0.35958910709994557</v>
      </c>
      <c r="AQ105">
        <f ca="1"/>
        <v>0.35676657941527423</v>
      </c>
    </row>
    <row r="106" spans="1:43" x14ac:dyDescent="0.35">
      <c r="A106" t="str" cm="1">
        <f t="array" ref="A106">INDEX(Indicators,ROW()-9,4)</f>
        <v>A2ConsequentialPERT</v>
      </c>
      <c r="B106" s="540" cm="1">
        <f t="array" aca="1" ref="B106:I106" ca="1">INDEX(Indicators,ROW()-9,MATCH(Handle_Wearing_Course,Materials!$1:$1,0))</f>
        <v>6.1604953258609894E-3</v>
      </c>
      <c r="C106" s="1">
        <f ca="1"/>
        <v>6.5203055932529777E-3</v>
      </c>
      <c r="D106" s="1">
        <f ca="1"/>
        <v>2.4636277831766987E-2</v>
      </c>
      <c r="E106" s="1">
        <f ca="1"/>
        <v>0.2392198321047479</v>
      </c>
      <c r="F106" s="1">
        <f ca="1"/>
        <v>0</v>
      </c>
      <c r="G106" s="1">
        <f ca="1"/>
        <v>1.1999999999999999E-3</v>
      </c>
      <c r="H106" s="1">
        <f ca="1"/>
        <v>0</v>
      </c>
      <c r="I106" s="212">
        <f ca="1"/>
        <v>-1.9529200000000002</v>
      </c>
      <c r="J106" s="1">
        <v>-2.4656849999999997</v>
      </c>
      <c r="K106" s="1">
        <v>-1.9529200000000002</v>
      </c>
      <c r="L106" s="1">
        <v>-1.9529200000000002</v>
      </c>
      <c r="O106" s="1">
        <f ca="1">SUMPRODUCT(B106:L106,$B$2:$L$2)+INDEX(Indicators,MATCH(A106,Materials!$D:$D),MATCH("Truck (32+t)",Materials!$1:$1,0))*'Data Entry'!$C$64</f>
        <v>2.0144055532594206E-2</v>
      </c>
      <c r="P106" s="1">
        <f ca="1">SUMPRODUCT(B106:L106,$B$3:$L$3)+INDEX(Indicators,MATCH(A106,Materials!$D:$D),MATCH("Truck (32+t)",Materials!$1:$1,0))*'Data Entry'!$C$72</f>
        <v>-0.14215023439369062</v>
      </c>
      <c r="Q106" s="1">
        <f ca="1">SUMPRODUCT(B106:L106,$B$4:$L$4)+INDEX(Indicators,MATCH(A106,Materials!$D:$D),MATCH("Truck (32+t)",Materials!$1:$1,0))*'Data Entry'!$C$66+$AQ$16</f>
        <v>2.9987821978839545E-2</v>
      </c>
      <c r="R106" s="1">
        <f ca="1">SUMPRODUCT(B106:L106,$B$5:$L$5)+INDEX(Indicators,MATCH(A106,Materials!$D:$D),MATCH("Truck (32+t)",Materials!$1:$1,0))*'Data Entry'!$C$68+$AQ$16</f>
        <v>-8.3746250829935549E-3</v>
      </c>
      <c r="S106" s="1">
        <f ca="1">SUMPRODUCT(B106:L106,$B$6:$L$6)+INDEX(Indicators,MATCH(A106,Materials!$D:$D),MATCH("Truck (32+t)",Materials!$1:$1,0))*'Data Entry'!$C$70+$AQ$16</f>
        <v>2.0266915608688277E-2</v>
      </c>
      <c r="T106" s="1">
        <f ca="1">SUMPRODUCT(B106:L106,$B$7:$L$7)+INDEX(Indicators,MATCH(A106,Materials!$D:$D),MATCH("Truck (32+t)",Materials!$1:$1,0))*'Data Entry'!$C$68+$AQ$16</f>
        <v>-1.2615181872882948E-2</v>
      </c>
      <c r="U106" s="1">
        <f ca="1">SUMPRODUCT(B106:L106,$B$8:$L$8)+INDEX(Indicators,MATCH(A106,Materials!$D:$D),MATCH("Truck (32+t)",Materials!$1:$1,0))*'Data Entry'!$C$69+$AQ$16</f>
        <v>1.7936322240899406E-2</v>
      </c>
      <c r="V106" s="1">
        <f ca="1">SUMPRODUCT(B106:L106,$B$9:$L$9)+INDEX(Indicators,MATCH(A106,Materials!$D:$D),MATCH("Truck (32+t)",Materials!$1:$1,0))*'Data Entry'!$C$71</f>
        <v>8.1875032292838927E-3</v>
      </c>
      <c r="W106" s="1">
        <f ca="1">SUMPRODUCT(B106:L106,$B$10:$L$10)+INDEX(Indicators,MATCH(A106,Materials!$D:$D),MATCH("Truck (32+t)",Materials!$1:$1,0))*'Data Entry'!$C$72</f>
        <v>3.9599999999999998E-4</v>
      </c>
      <c r="Z106">
        <v>-1.23658</v>
      </c>
      <c r="AA106">
        <v>-10.71088</v>
      </c>
      <c r="AB106">
        <v>-1.3992</v>
      </c>
      <c r="AC106" s="209">
        <v>-0.92739000000000005</v>
      </c>
      <c r="AD106" s="209"/>
      <c r="AF106" cm="1">
        <f t="array" ref="AF106">SUMPRODUCT($AF$2:$AF$5, TRANSPOSE($Z106:$AC106))</f>
        <v>-2.4656849999999997</v>
      </c>
      <c r="AG106" cm="1">
        <f t="array" ref="AG106">SUMPRODUCT($AG$2:$AG$5, TRANSPOSE($Z106:$AC106))</f>
        <v>-1.9529200000000002</v>
      </c>
      <c r="AH106" cm="1">
        <f t="array" ref="AH106">SUMPRODUCT($AH$2:$AH$5, TRANSPOSE($Z106:$AC106))</f>
        <v>-1.9529200000000002</v>
      </c>
      <c r="AK106" t="s">
        <v>411</v>
      </c>
      <c r="AL106" t="s">
        <v>485</v>
      </c>
      <c r="AM106" cm="1">
        <f t="array" aca="1" ref="AM106" ca="1">IFERROR(($AM$2*INDEX(Indicators,MATCH($A106,INDEX(Indicators,0,4),0),MATCH($AK$2,INDEX(Indicators,1,0),0)))+($AM$3*INDEX(Indicators,MATCH($A106,INDEX(Indicators,0,4),0),MATCH($AK$3,INDEX(Indicators,1,0),0)))+(INDEX(Electricity_projection,MATCH(AL106&amp;AK106,INDEX(Electricity_projection,0,3),0),MATCH(YEAR(TODAY()),Timeline_elec_projec,0)+3)*$AM$4), 0)</f>
        <v>2.571183791085202E-2</v>
      </c>
      <c r="AN106" cm="1">
        <f t="array" aca="1" ref="AN106" ca="1">IFERROR(($AN$2*INDEX(Indicators,MATCH($A106,INDEX(Indicators,0,4),0),MATCH($AK$2,INDEX(Indicators,1,0),0)))+($AN$3*INDEX(Indicators,MATCH($A106,INDEX(Indicators,0,4),0),MATCH($AK$3,INDEX(Indicators,1,0),0)))+(INDEX(Electricity_projection,MATCH(AL106&amp;AK106,INDEX(Electricity_projection,0,3),0),MATCH(YEAR(TODAY()),Timeline_elec_projec,0)+3)*$AN$4), 0)</f>
        <v>3.862126759937809E-2</v>
      </c>
      <c r="AO106" cm="1">
        <f t="array" aca="1" ref="AO106" ca="1">IFERROR(($AO$2*INDEX(Indicators,MATCH($A106,INDEX(Indicators,0,4),0),MATCH($AK$2,INDEX(Indicators,1,0),0)))+($AO$3*INDEX(Indicators,MATCH($A106,INDEX(Indicators,0,4),0),MATCH($AK$3,INDEX(Indicators,1,0),0)))+(INDEX(Electricity_projection,MATCH(AL106&amp;AK106,INDEX(Electricity_projection,0,3),0),MATCH(YEAR(TODAY()),Timeline_elec_projec,0)+3)*$AO$4), 0)</f>
        <v>2.7837977578594159E-2</v>
      </c>
      <c r="AP106" cm="1">
        <f t="array" aca="1" ref="AP106" ca="1">IFERROR(($AP$2*INDEX(Indicators,MATCH($A106,INDEX(Indicators,0,4),0),MATCH($AK$2,INDEX(Indicators,1,0),0)))+($AP$3*INDEX(Indicators,MATCH($A106,INDEX(Indicators,0,4),0),MATCH($AK$3,INDEX(Indicators,1,0),0)))+(INDEX(Electricity_projection,MATCH(AL106&amp;AK106,INDEX(Electricity_projection,0,3),0),MATCH(YEAR(TODAY()),Timeline_elec_projec,0)+3)*$AP$4), 0)</f>
        <v>2.7261301878594157E-2</v>
      </c>
      <c r="AQ106">
        <f ca="1"/>
        <v>2.571183791085202E-2</v>
      </c>
    </row>
    <row r="107" spans="1:43" x14ac:dyDescent="0.35">
      <c r="A107" t="str" cm="1">
        <f t="array" ref="A107">INDEX(Indicators,ROW()-9,4)</f>
        <v>A2ConsequentialFW</v>
      </c>
      <c r="B107" s="540" cm="1">
        <f t="array" aca="1" ref="B107:I107" ca="1">INDEX(Indicators,ROW()-9,MATCH(Handle_Wearing_Course,Materials!$1:$1,0))</f>
        <v>3.0067934432999999E-4</v>
      </c>
      <c r="C107" s="1">
        <f ca="1"/>
        <v>4.2677532000000003E-7</v>
      </c>
      <c r="D107" s="1">
        <f ca="1"/>
        <v>2.2303229999999998E-7</v>
      </c>
      <c r="E107" s="1">
        <f ca="1"/>
        <v>5.4350965233042835E-4</v>
      </c>
      <c r="F107" s="1">
        <f ca="1"/>
        <v>0</v>
      </c>
      <c r="G107" s="1">
        <f ca="1"/>
        <v>1E-3</v>
      </c>
      <c r="H107" s="1">
        <f ca="1"/>
        <v>0</v>
      </c>
      <c r="I107" s="212">
        <f ca="1"/>
        <v>-7.2300000000000003E-3</v>
      </c>
      <c r="J107" s="1">
        <v>-1.1285000000000002E-2</v>
      </c>
      <c r="K107" s="1">
        <v>-7.2300000000000003E-3</v>
      </c>
      <c r="L107" s="1">
        <v>-7.2300000000000003E-3</v>
      </c>
      <c r="O107" s="1">
        <f ca="1">SUMPRODUCT(B107:L107,$B$2:$L$2)+INDEX(Indicators,MATCH(A107,Materials!$D:$D),MATCH("Truck (32+t)",Materials!$1:$1,0))*'Data Entry'!$C$64</f>
        <v>3.1524916281002569E-4</v>
      </c>
      <c r="P107" s="1">
        <f ca="1">SUMPRODUCT(B107:L107,$B$3:$L$3)+INDEX(Indicators,MATCH(A107,Materials!$D:$D),MATCH("Truck (32+t)",Materials!$1:$1,0))*'Data Entry'!$C$72</f>
        <v>-3.9446141632980004E-4</v>
      </c>
      <c r="Q107" s="1">
        <f ca="1">SUMPRODUCT(B107:L107,$B$4:$L$4)+INDEX(Indicators,MATCH(A107,Materials!$D:$D),MATCH("Truck (32+t)",Materials!$1:$1,0))*'Data Entry'!$C$66+$AQ$16</f>
        <v>3.2035501717209928E-4</v>
      </c>
      <c r="R107" s="1">
        <f ca="1">SUMPRODUCT(B107:L107,$B$5:$L$5)+INDEX(Indicators,MATCH(A107,Materials!$D:$D),MATCH("Truck (32+t)",Materials!$1:$1,0))*'Data Entry'!$C$68+$AQ$16</f>
        <v>1.8431859825631671E-4</v>
      </c>
      <c r="S107" s="1">
        <f ca="1">SUMPRODUCT(B107:L107,$B$6:$L$6)+INDEX(Indicators,MATCH(A107,Materials!$D:$D),MATCH("Truck (32+t)",Materials!$1:$1,0))*'Data Entry'!$C$70+$AQ$16</f>
        <v>4.3810923890409497E-4</v>
      </c>
      <c r="T107" s="1">
        <f ca="1">SUMPRODUCT(B107:L107,$B$7:$L$7)+INDEX(Indicators,MATCH(A107,Materials!$D:$D),MATCH("Truck (32+t)",Materials!$1:$1,0))*'Data Entry'!$C$68+$AQ$16</f>
        <v>3.2150659411913848E-4</v>
      </c>
      <c r="U107" s="1">
        <f ca="1">SUMPRODUCT(B107:L107,$B$8:$L$8)+INDEX(Indicators,MATCH(A107,Materials!$D:$D),MATCH("Truck (32+t)",Materials!$1:$1,0))*'Data Entry'!$C$69+$AQ$16</f>
        <v>4.3568093582409067E-4</v>
      </c>
      <c r="V107" s="1">
        <f ca="1">SUMPRODUCT(B107:L107,$B$9:$L$9)+INDEX(Indicators,MATCH(A107,Materials!$D:$D),MATCH("Truck (32+t)",Materials!$1:$1,0))*'Data Entry'!$C$71</f>
        <v>3.0038427862499997E-4</v>
      </c>
      <c r="W107" s="1">
        <f ca="1">SUMPRODUCT(B107:L107,$B$10:$L$10)+INDEX(Indicators,MATCH(A107,Materials!$D:$D),MATCH("Truck (32+t)",Materials!$1:$1,0))*'Data Entry'!$C$72</f>
        <v>3.3E-4</v>
      </c>
      <c r="Z107">
        <v>5.117E-2</v>
      </c>
      <c r="AA107">
        <v>-0.11194</v>
      </c>
      <c r="AB107">
        <v>3.2599999999999997E-2</v>
      </c>
      <c r="AC107" s="209">
        <v>8.8000000000000003E-4</v>
      </c>
      <c r="AD107" s="209"/>
      <c r="AF107" cm="1">
        <f t="array" ref="AF107">SUMPRODUCT($AF$2:$AF$5, TRANSPOSE($Z107:$AC107))</f>
        <v>-1.1285000000000002E-2</v>
      </c>
      <c r="AG107" cm="1">
        <f t="array" ref="AG107">SUMPRODUCT($AG$2:$AG$5, TRANSPOSE($Z107:$AC107))</f>
        <v>-7.2300000000000003E-3</v>
      </c>
      <c r="AH107" cm="1">
        <f t="array" ref="AH107">SUMPRODUCT($AH$2:$AH$5, TRANSPOSE($Z107:$AC107))</f>
        <v>-7.2300000000000003E-3</v>
      </c>
      <c r="AK107" t="s">
        <v>413</v>
      </c>
      <c r="AL107" t="s">
        <v>485</v>
      </c>
      <c r="AM107" cm="1">
        <f t="array" aca="1" ref="AM107" ca="1">IFERROR(($AM$2*INDEX(Indicators,MATCH($A107,INDEX(Indicators,0,4),0),MATCH($AK$2,INDEX(Indicators,1,0),0)))+($AM$3*INDEX(Indicators,MATCH($A107,INDEX(Indicators,0,4),0),MATCH($AK$3,INDEX(Indicators,1,0),0)))+(INDEX(Electricity_projection,MATCH(AL107&amp;AK107,INDEX(Electricity_projection,0,3),0),MATCH(YEAR(TODAY()),Timeline_elec_projec,0)+3)*$AM$4), 0)</f>
        <v>0</v>
      </c>
      <c r="AN107" cm="1">
        <f t="array" aca="1" ref="AN107" ca="1">IFERROR(($AN$2*INDEX(Indicators,MATCH($A107,INDEX(Indicators,0,4),0),MATCH($AK$2,INDEX(Indicators,1,0),0)))+($AN$3*INDEX(Indicators,MATCH($A107,INDEX(Indicators,0,4),0),MATCH($AK$3,INDEX(Indicators,1,0),0)))+(INDEX(Electricity_projection,MATCH(AL107&amp;AK107,INDEX(Electricity_projection,0,3),0),MATCH(YEAR(TODAY()),Timeline_elec_projec,0)+3)*$AN$4), 0)</f>
        <v>0</v>
      </c>
      <c r="AO107" cm="1">
        <f t="array" aca="1" ref="AO107" ca="1">IFERROR(($AO$2*INDEX(Indicators,MATCH($A107,INDEX(Indicators,0,4),0),MATCH($AK$2,INDEX(Indicators,1,0),0)))+($AO$3*INDEX(Indicators,MATCH($A107,INDEX(Indicators,0,4),0),MATCH($AK$3,INDEX(Indicators,1,0),0)))+(INDEX(Electricity_projection,MATCH(AL107&amp;AK107,INDEX(Electricity_projection,0,3),0),MATCH(YEAR(TODAY()),Timeline_elec_projec,0)+3)*$AO$4), 0)</f>
        <v>0</v>
      </c>
      <c r="AP107" cm="1">
        <f t="array" aca="1" ref="AP107" ca="1">IFERROR(($AP$2*INDEX(Indicators,MATCH($A107,INDEX(Indicators,0,4),0),MATCH($AK$2,INDEX(Indicators,1,0),0)))+($AP$3*INDEX(Indicators,MATCH($A107,INDEX(Indicators,0,4),0),MATCH($AK$3,INDEX(Indicators,1,0),0)))+(INDEX(Electricity_projection,MATCH(AL107&amp;AK107,INDEX(Electricity_projection,0,3),0),MATCH(YEAR(TODAY()),Timeline_elec_projec,0)+3)*$AP$4), 0)</f>
        <v>0</v>
      </c>
      <c r="AQ107">
        <f ca="1"/>
        <v>0</v>
      </c>
    </row>
    <row r="108" spans="1:43" x14ac:dyDescent="0.35">
      <c r="A108" t="str" cm="1">
        <f t="array" ref="A108">INDEX(Indicators,ROW()-9,4)</f>
        <v>A2ConsequentialSM</v>
      </c>
      <c r="B108" s="540" cm="1">
        <f t="array" aca="1" ref="B108:I108" ca="1">INDEX(Indicators,ROW()-9,MATCH(Handle_Wearing_Course,Materials!$1:$1,0))</f>
        <v>0</v>
      </c>
      <c r="C108" s="1">
        <f ca="1"/>
        <v>0</v>
      </c>
      <c r="D108" s="1">
        <f ca="1"/>
        <v>0</v>
      </c>
      <c r="E108" s="1">
        <f ca="1"/>
        <v>0</v>
      </c>
      <c r="F108" s="1">
        <f ca="1"/>
        <v>0</v>
      </c>
      <c r="G108" s="1">
        <f ca="1"/>
        <v>0</v>
      </c>
      <c r="H108" s="1">
        <f ca="1"/>
        <v>0</v>
      </c>
      <c r="I108" s="212">
        <f ca="1"/>
        <v>0</v>
      </c>
      <c r="J108" s="1">
        <v>0</v>
      </c>
      <c r="K108" s="1">
        <v>0</v>
      </c>
      <c r="L108" s="1">
        <v>0</v>
      </c>
      <c r="O108" s="1">
        <f ca="1">SUMPRODUCT(B108:L108,$B$2:$L$2)+INDEX(Indicators,MATCH(A108,Materials!$D:$D),MATCH("Truck (32+t)",Materials!$1:$1,0))*'Data Entry'!$C$64</f>
        <v>0</v>
      </c>
      <c r="P108" s="1">
        <f ca="1">SUMPRODUCT(B108:L108,$B$3:$L$3)+INDEX(Indicators,MATCH(A108,Materials!$D:$D),MATCH("Truck (32+t)",Materials!$1:$1,0))*'Data Entry'!$C$72</f>
        <v>0</v>
      </c>
      <c r="Q108" s="1">
        <f ca="1">SUMPRODUCT(B108:L108,$B$4:$L$4)+INDEX(Indicators,MATCH(A108,Materials!$D:$D),MATCH("Truck (32+t)",Materials!$1:$1,0))*'Data Entry'!$C$66+$AQ$16</f>
        <v>1.2286007609406925E-4</v>
      </c>
      <c r="R108" s="1">
        <f ca="1">SUMPRODUCT(B108:L108,$B$5:$L$5)+INDEX(Indicators,MATCH(A108,Materials!$D:$D),MATCH("Truck (32+t)",Materials!$1:$1,0))*'Data Entry'!$C$68+$AQ$16</f>
        <v>1.2286007609406925E-4</v>
      </c>
      <c r="S108" s="1">
        <f ca="1">SUMPRODUCT(B108:L108,$B$6:$L$6)+INDEX(Indicators,MATCH(A108,Materials!$D:$D),MATCH("Truck (32+t)",Materials!$1:$1,0))*'Data Entry'!$C$70+$AQ$16</f>
        <v>1.2286007609406925E-4</v>
      </c>
      <c r="T108" s="1">
        <f ca="1">SUMPRODUCT(B108:L108,$B$7:$L$7)+INDEX(Indicators,MATCH(A108,Materials!$D:$D),MATCH("Truck (32+t)",Materials!$1:$1,0))*'Data Entry'!$C$68+$AQ$16</f>
        <v>1.2286007609406925E-4</v>
      </c>
      <c r="U108" s="1">
        <f ca="1">SUMPRODUCT(B108:L108,$B$8:$L$8)+INDEX(Indicators,MATCH(A108,Materials!$D:$D),MATCH("Truck (32+t)",Materials!$1:$1,0))*'Data Entry'!$C$69+$AQ$16</f>
        <v>1.2286007609406925E-4</v>
      </c>
      <c r="V108" s="1">
        <f ca="1">SUMPRODUCT(B108:L108,$B$9:$L$9)+INDEX(Indicators,MATCH(A108,Materials!$D:$D),MATCH("Truck (32+t)",Materials!$1:$1,0))*'Data Entry'!$C$71</f>
        <v>0</v>
      </c>
      <c r="W108" s="1">
        <f ca="1">SUMPRODUCT(B108:L108,$B$10:$L$10)+INDEX(Indicators,MATCH(A108,Materials!$D:$D),MATCH("Truck (32+t)",Materials!$1:$1,0))*'Data Entry'!$C$72</f>
        <v>0</v>
      </c>
      <c r="Z108">
        <v>0</v>
      </c>
      <c r="AA108">
        <v>0</v>
      </c>
      <c r="AB108">
        <v>0</v>
      </c>
      <c r="AC108" s="209">
        <v>0</v>
      </c>
      <c r="AD108" s="209"/>
      <c r="AF108" cm="1">
        <f t="array" ref="AF108">SUMPRODUCT($AF$2:$AF$5, TRANSPOSE($Z108:$AC108))</f>
        <v>0</v>
      </c>
      <c r="AG108" cm="1">
        <f t="array" ref="AG108">SUMPRODUCT($AG$2:$AG$5, TRANSPOSE($Z108:$AC108))</f>
        <v>0</v>
      </c>
      <c r="AH108" cm="1">
        <f t="array" ref="AH108">SUMPRODUCT($AH$2:$AH$5, TRANSPOSE($Z108:$AC108))</f>
        <v>0</v>
      </c>
      <c r="AK108" t="s">
        <v>508</v>
      </c>
      <c r="AL108" t="s">
        <v>485</v>
      </c>
      <c r="AM108" cm="1">
        <f t="array" aca="1" ref="AM108" ca="1">IFERROR(($AM$2*INDEX(Indicators,MATCH($A108,INDEX(Indicators,0,4),0),MATCH($AK$2,INDEX(Indicators,1,0),0)))+($AM$3*INDEX(Indicators,MATCH($A108,INDEX(Indicators,0,4),0),MATCH($AK$3,INDEX(Indicators,1,0),0)))+(INDEX(Electricity_projection,MATCH(AL108&amp;AK108,INDEX(Electricity_projection,0,3),0),MATCH(YEAR(TODAY()),Timeline_elec_projec,0)+3)*$AM$4), 0)</f>
        <v>0</v>
      </c>
      <c r="AN108" cm="1">
        <f t="array" aca="1" ref="AN108" ca="1">IFERROR(($AN$2*INDEX(Indicators,MATCH($A108,INDEX(Indicators,0,4),0),MATCH($AK$2,INDEX(Indicators,1,0),0)))+($AN$3*INDEX(Indicators,MATCH($A108,INDEX(Indicators,0,4),0),MATCH($AK$3,INDEX(Indicators,1,0),0)))+(INDEX(Electricity_projection,MATCH(AL108&amp;AK108,INDEX(Electricity_projection,0,3),0),MATCH(YEAR(TODAY()),Timeline_elec_projec,0)+3)*$AN$4), 0)</f>
        <v>0</v>
      </c>
      <c r="AO108" cm="1">
        <f t="array" aca="1" ref="AO108" ca="1">IFERROR(($AO$2*INDEX(Indicators,MATCH($A108,INDEX(Indicators,0,4),0),MATCH($AK$2,INDEX(Indicators,1,0),0)))+($AO$3*INDEX(Indicators,MATCH($A108,INDEX(Indicators,0,4),0),MATCH($AK$3,INDEX(Indicators,1,0),0)))+(INDEX(Electricity_projection,MATCH(AL108&amp;AK108,INDEX(Electricity_projection,0,3),0),MATCH(YEAR(TODAY()),Timeline_elec_projec,0)+3)*$AO$4), 0)</f>
        <v>0</v>
      </c>
      <c r="AP108" cm="1">
        <f t="array" aca="1" ref="AP108" ca="1">IFERROR(($AP$2*INDEX(Indicators,MATCH($A108,INDEX(Indicators,0,4),0),MATCH($AK$2,INDEX(Indicators,1,0),0)))+($AP$3*INDEX(Indicators,MATCH($A108,INDEX(Indicators,0,4),0),MATCH($AK$3,INDEX(Indicators,1,0),0)))+(INDEX(Electricity_projection,MATCH(AL108&amp;AK108,INDEX(Electricity_projection,0,3),0),MATCH(YEAR(TODAY()),Timeline_elec_projec,0)+3)*$AP$4), 0)</f>
        <v>0</v>
      </c>
      <c r="AQ108">
        <f ca="1"/>
        <v>0</v>
      </c>
    </row>
    <row r="109" spans="1:43" x14ac:dyDescent="0.35">
      <c r="A109" t="str" cm="1">
        <f t="array" ref="A109">INDEX(Indicators,ROW()-9,4)</f>
        <v>A2ConsequentialNRSF</v>
      </c>
      <c r="B109" s="540" cm="1">
        <f t="array" aca="1" ref="B109:I109" ca="1">INDEX(Indicators,ROW()-9,MATCH(Handle_Wearing_Course,Materials!$1:$1,0))</f>
        <v>0</v>
      </c>
      <c r="C109" s="1">
        <f ca="1"/>
        <v>0</v>
      </c>
      <c r="D109" s="1">
        <f ca="1"/>
        <v>0</v>
      </c>
      <c r="E109" s="1">
        <f ca="1"/>
        <v>0</v>
      </c>
      <c r="F109" s="1">
        <f ca="1"/>
        <v>0</v>
      </c>
      <c r="G109" s="1">
        <f ca="1"/>
        <v>0</v>
      </c>
      <c r="H109" s="1">
        <f ca="1"/>
        <v>0</v>
      </c>
      <c r="I109" s="212">
        <f ca="1"/>
        <v>0</v>
      </c>
      <c r="J109" s="1">
        <v>0</v>
      </c>
      <c r="K109" s="1">
        <v>0</v>
      </c>
      <c r="L109" s="1">
        <v>0</v>
      </c>
      <c r="O109" s="1">
        <f ca="1">SUMPRODUCT(B109:L109,$B$2:$L$2)+INDEX(Indicators,MATCH(A109,Materials!$D:$D),MATCH("Truck (32+t)",Materials!$1:$1,0))*'Data Entry'!$C$64</f>
        <v>0</v>
      </c>
      <c r="P109" s="1">
        <f ca="1">SUMPRODUCT(B109:L109,$B$3:$L$3)+INDEX(Indicators,MATCH(A109,Materials!$D:$D),MATCH("Truck (32+t)",Materials!$1:$1,0))*'Data Entry'!$C$72</f>
        <v>0</v>
      </c>
      <c r="Q109" s="1">
        <f ca="1">SUMPRODUCT(B109:L109,$B$4:$L$4)+INDEX(Indicators,MATCH(A109,Materials!$D:$D),MATCH("Truck (32+t)",Materials!$1:$1,0))*'Data Entry'!$C$66+$AQ$16</f>
        <v>1.2286007609406925E-4</v>
      </c>
      <c r="R109" s="1">
        <f ca="1">SUMPRODUCT(B109:L109,$B$5:$L$5)+INDEX(Indicators,MATCH(A109,Materials!$D:$D),MATCH("Truck (32+t)",Materials!$1:$1,0))*'Data Entry'!$C$68+$AQ$16</f>
        <v>1.2286007609406925E-4</v>
      </c>
      <c r="S109" s="1">
        <f ca="1">SUMPRODUCT(B109:L109,$B$6:$L$6)+INDEX(Indicators,MATCH(A109,Materials!$D:$D),MATCH("Truck (32+t)",Materials!$1:$1,0))*'Data Entry'!$C$70+$AQ$16</f>
        <v>1.2286007609406925E-4</v>
      </c>
      <c r="T109" s="1">
        <f ca="1">SUMPRODUCT(B109:L109,$B$7:$L$7)+INDEX(Indicators,MATCH(A109,Materials!$D:$D),MATCH("Truck (32+t)",Materials!$1:$1,0))*'Data Entry'!$C$68+$AQ$16</f>
        <v>1.2286007609406925E-4</v>
      </c>
      <c r="U109" s="1">
        <f ca="1">SUMPRODUCT(B109:L109,$B$8:$L$8)+INDEX(Indicators,MATCH(A109,Materials!$D:$D),MATCH("Truck (32+t)",Materials!$1:$1,0))*'Data Entry'!$C$69+$AQ$16</f>
        <v>1.2286007609406925E-4</v>
      </c>
      <c r="V109" s="1">
        <f ca="1">SUMPRODUCT(B109:L109,$B$9:$L$9)+INDEX(Indicators,MATCH(A109,Materials!$D:$D),MATCH("Truck (32+t)",Materials!$1:$1,0))*'Data Entry'!$C$71</f>
        <v>0</v>
      </c>
      <c r="W109" s="1">
        <f ca="1">SUMPRODUCT(B109:L109,$B$10:$L$10)+INDEX(Indicators,MATCH(A109,Materials!$D:$D),MATCH("Truck (32+t)",Materials!$1:$1,0))*'Data Entry'!$C$72</f>
        <v>0</v>
      </c>
      <c r="Z109">
        <v>0</v>
      </c>
      <c r="AA109">
        <v>0</v>
      </c>
      <c r="AB109">
        <v>0</v>
      </c>
      <c r="AC109" s="209">
        <v>0</v>
      </c>
      <c r="AD109" s="209"/>
      <c r="AF109" cm="1">
        <f t="array" ref="AF109">SUMPRODUCT($AF$2:$AF$5, TRANSPOSE($Z109:$AC109))</f>
        <v>0</v>
      </c>
      <c r="AG109" cm="1">
        <f t="array" ref="AG109">SUMPRODUCT($AG$2:$AG$5, TRANSPOSE($Z109:$AC109))</f>
        <v>0</v>
      </c>
      <c r="AH109" cm="1">
        <f t="array" ref="AH109">SUMPRODUCT($AH$2:$AH$5, TRANSPOSE($Z109:$AC109))</f>
        <v>0</v>
      </c>
      <c r="AK109" t="s">
        <v>510</v>
      </c>
      <c r="AL109" t="s">
        <v>485</v>
      </c>
      <c r="AM109" cm="1">
        <f t="array" aca="1" ref="AM109" ca="1">IFERROR(($AM$2*INDEX(Indicators,MATCH($A109,INDEX(Indicators,0,4),0),MATCH($AK$2,INDEX(Indicators,1,0),0)))+($AM$3*INDEX(Indicators,MATCH($A109,INDEX(Indicators,0,4),0),MATCH($AK$3,INDEX(Indicators,1,0),0)))+(INDEX(Electricity_projection,MATCH(AL109&amp;AK109,INDEX(Electricity_projection,0,3),0),MATCH(YEAR(TODAY()),Timeline_elec_projec,0)+3)*$AM$4), 0)</f>
        <v>0</v>
      </c>
      <c r="AN109" cm="1">
        <f t="array" aca="1" ref="AN109" ca="1">IFERROR(($AN$2*INDEX(Indicators,MATCH($A109,INDEX(Indicators,0,4),0),MATCH($AK$2,INDEX(Indicators,1,0),0)))+($AN$3*INDEX(Indicators,MATCH($A109,INDEX(Indicators,0,4),0),MATCH($AK$3,INDEX(Indicators,1,0),0)))+(INDEX(Electricity_projection,MATCH(AL109&amp;AK109,INDEX(Electricity_projection,0,3),0),MATCH(YEAR(TODAY()),Timeline_elec_projec,0)+3)*$AN$4), 0)</f>
        <v>0</v>
      </c>
      <c r="AO109" cm="1">
        <f t="array" aca="1" ref="AO109" ca="1">IFERROR(($AO$2*INDEX(Indicators,MATCH($A109,INDEX(Indicators,0,4),0),MATCH($AK$2,INDEX(Indicators,1,0),0)))+($AO$3*INDEX(Indicators,MATCH($A109,INDEX(Indicators,0,4),0),MATCH($AK$3,INDEX(Indicators,1,0),0)))+(INDEX(Electricity_projection,MATCH(AL109&amp;AK109,INDEX(Electricity_projection,0,3),0),MATCH(YEAR(TODAY()),Timeline_elec_projec,0)+3)*$AO$4), 0)</f>
        <v>0</v>
      </c>
      <c r="AP109" cm="1">
        <f t="array" aca="1" ref="AP109" ca="1">IFERROR(($AP$2*INDEX(Indicators,MATCH($A109,INDEX(Indicators,0,4),0),MATCH($AK$2,INDEX(Indicators,1,0),0)))+($AP$3*INDEX(Indicators,MATCH($A109,INDEX(Indicators,0,4),0),MATCH($AK$3,INDEX(Indicators,1,0),0)))+(INDEX(Electricity_projection,MATCH(AL109&amp;AK109,INDEX(Electricity_projection,0,3),0),MATCH(YEAR(TODAY()),Timeline_elec_projec,0)+3)*$AP$4), 0)</f>
        <v>0</v>
      </c>
      <c r="AQ109">
        <f ca="1"/>
        <v>0</v>
      </c>
    </row>
    <row r="110" spans="1:43" x14ac:dyDescent="0.35">
      <c r="A110" t="str" cm="1">
        <f t="array" ref="A110">INDEX(Indicators,ROW()-9,4)</f>
        <v>A2ConsequentialRSF</v>
      </c>
      <c r="B110" s="540" cm="1">
        <f t="array" aca="1" ref="B110:I110" ca="1">INDEX(Indicators,ROW()-9,MATCH(Handle_Wearing_Course,Materials!$1:$1,0))</f>
        <v>0</v>
      </c>
      <c r="C110" s="1">
        <f ca="1"/>
        <v>0</v>
      </c>
      <c r="D110" s="1">
        <f ca="1"/>
        <v>0</v>
      </c>
      <c r="E110" s="1">
        <f ca="1"/>
        <v>0</v>
      </c>
      <c r="F110" s="1">
        <f ca="1"/>
        <v>0</v>
      </c>
      <c r="G110" s="1">
        <f ca="1"/>
        <v>0</v>
      </c>
      <c r="H110" s="1">
        <f ca="1"/>
        <v>0</v>
      </c>
      <c r="I110" s="212">
        <f ca="1"/>
        <v>0</v>
      </c>
      <c r="J110" s="1">
        <v>0</v>
      </c>
      <c r="K110" s="1">
        <v>0</v>
      </c>
      <c r="L110" s="1">
        <v>0</v>
      </c>
      <c r="O110" s="1">
        <f ca="1">SUMPRODUCT(B110:L110,$B$2:$L$2)+INDEX(Indicators,MATCH(A110,Materials!$D:$D),MATCH("Truck (32+t)",Materials!$1:$1,0))*'Data Entry'!$C$64</f>
        <v>0</v>
      </c>
      <c r="P110" s="1">
        <f ca="1">SUMPRODUCT(B110:L110,$B$3:$L$3)+INDEX(Indicators,MATCH(A110,Materials!$D:$D),MATCH("Truck (32+t)",Materials!$1:$1,0))*'Data Entry'!$C$72</f>
        <v>0</v>
      </c>
      <c r="Q110" s="1">
        <f ca="1">SUMPRODUCT(B110:L110,$B$4:$L$4)+INDEX(Indicators,MATCH(A110,Materials!$D:$D),MATCH("Truck (32+t)",Materials!$1:$1,0))*'Data Entry'!$C$66+$AQ$16</f>
        <v>1.2286007609406925E-4</v>
      </c>
      <c r="R110" s="1">
        <f ca="1">SUMPRODUCT(B110:L110,$B$5:$L$5)+INDEX(Indicators,MATCH(A110,Materials!$D:$D),MATCH("Truck (32+t)",Materials!$1:$1,0))*'Data Entry'!$C$68+$AQ$16</f>
        <v>1.2286007609406925E-4</v>
      </c>
      <c r="S110" s="1">
        <f ca="1">SUMPRODUCT(B110:L110,$B$6:$L$6)+INDEX(Indicators,MATCH(A110,Materials!$D:$D),MATCH("Truck (32+t)",Materials!$1:$1,0))*'Data Entry'!$C$70+$AQ$16</f>
        <v>1.2286007609406925E-4</v>
      </c>
      <c r="T110" s="1">
        <f ca="1">SUMPRODUCT(B110:L110,$B$7:$L$7)+INDEX(Indicators,MATCH(A110,Materials!$D:$D),MATCH("Truck (32+t)",Materials!$1:$1,0))*'Data Entry'!$C$68+$AQ$16</f>
        <v>1.2286007609406925E-4</v>
      </c>
      <c r="U110" s="1">
        <f ca="1">SUMPRODUCT(B110:L110,$B$8:$L$8)+INDEX(Indicators,MATCH(A110,Materials!$D:$D),MATCH("Truck (32+t)",Materials!$1:$1,0))*'Data Entry'!$C$69+$AQ$16</f>
        <v>1.2286007609406925E-4</v>
      </c>
      <c r="V110" s="1">
        <f ca="1">SUMPRODUCT(B110:L110,$B$9:$L$9)+INDEX(Indicators,MATCH(A110,Materials!$D:$D),MATCH("Truck (32+t)",Materials!$1:$1,0))*'Data Entry'!$C$71</f>
        <v>0</v>
      </c>
      <c r="W110" s="1">
        <f ca="1">SUMPRODUCT(B110:L110,$B$10:$L$10)+INDEX(Indicators,MATCH(A110,Materials!$D:$D),MATCH("Truck (32+t)",Materials!$1:$1,0))*'Data Entry'!$C$72</f>
        <v>0</v>
      </c>
      <c r="Z110">
        <v>0</v>
      </c>
      <c r="AA110">
        <v>0</v>
      </c>
      <c r="AB110">
        <v>0</v>
      </c>
      <c r="AC110" s="209">
        <v>0</v>
      </c>
      <c r="AD110" s="209"/>
      <c r="AF110" cm="1">
        <f t="array" ref="AF110">SUMPRODUCT($AF$2:$AF$5, TRANSPOSE($Z110:$AC110))</f>
        <v>0</v>
      </c>
      <c r="AG110" cm="1">
        <f t="array" ref="AG110">SUMPRODUCT($AG$2:$AG$5, TRANSPOSE($Z110:$AC110))</f>
        <v>0</v>
      </c>
      <c r="AH110" cm="1">
        <f t="array" ref="AH110">SUMPRODUCT($AH$2:$AH$5, TRANSPOSE($Z110:$AC110))</f>
        <v>0</v>
      </c>
      <c r="AK110" t="s">
        <v>512</v>
      </c>
      <c r="AL110" t="s">
        <v>485</v>
      </c>
      <c r="AM110" cm="1">
        <f t="array" aca="1" ref="AM110" ca="1">IFERROR(($AM$2*INDEX(Indicators,MATCH($A110,INDEX(Indicators,0,4),0),MATCH($AK$2,INDEX(Indicators,1,0),0)))+($AM$3*INDEX(Indicators,MATCH($A110,INDEX(Indicators,0,4),0),MATCH($AK$3,INDEX(Indicators,1,0),0)))+(INDEX(Electricity_projection,MATCH(AL110&amp;AK110,INDEX(Electricity_projection,0,3),0),MATCH(YEAR(TODAY()),Timeline_elec_projec,0)+3)*$AM$4), 0)</f>
        <v>0</v>
      </c>
      <c r="AN110" cm="1">
        <f t="array" aca="1" ref="AN110" ca="1">IFERROR(($AN$2*INDEX(Indicators,MATCH($A110,INDEX(Indicators,0,4),0),MATCH($AK$2,INDEX(Indicators,1,0),0)))+($AN$3*INDEX(Indicators,MATCH($A110,INDEX(Indicators,0,4),0),MATCH($AK$3,INDEX(Indicators,1,0),0)))+(INDEX(Electricity_projection,MATCH(AL110&amp;AK110,INDEX(Electricity_projection,0,3),0),MATCH(YEAR(TODAY()),Timeline_elec_projec,0)+3)*$AN$4), 0)</f>
        <v>0</v>
      </c>
      <c r="AO110" cm="1">
        <f t="array" aca="1" ref="AO110" ca="1">IFERROR(($AO$2*INDEX(Indicators,MATCH($A110,INDEX(Indicators,0,4),0),MATCH($AK$2,INDEX(Indicators,1,0),0)))+($AO$3*INDEX(Indicators,MATCH($A110,INDEX(Indicators,0,4),0),MATCH($AK$3,INDEX(Indicators,1,0),0)))+(INDEX(Electricity_projection,MATCH(AL110&amp;AK110,INDEX(Electricity_projection,0,3),0),MATCH(YEAR(TODAY()),Timeline_elec_projec,0)+3)*$AO$4), 0)</f>
        <v>0</v>
      </c>
      <c r="AP110" cm="1">
        <f t="array" aca="1" ref="AP110" ca="1">IFERROR(($AP$2*INDEX(Indicators,MATCH($A110,INDEX(Indicators,0,4),0),MATCH($AK$2,INDEX(Indicators,1,0),0)))+($AP$3*INDEX(Indicators,MATCH($A110,INDEX(Indicators,0,4),0),MATCH($AK$3,INDEX(Indicators,1,0),0)))+(INDEX(Electricity_projection,MATCH(AL110&amp;AK110,INDEX(Electricity_projection,0,3),0),MATCH(YEAR(TODAY()),Timeline_elec_projec,0)+3)*$AP$4), 0)</f>
        <v>0</v>
      </c>
      <c r="AQ110">
        <f ca="1"/>
        <v>0</v>
      </c>
    </row>
    <row r="111" spans="1:43" x14ac:dyDescent="0.35">
      <c r="A111" t="str" cm="1">
        <f t="array" ref="A111">INDEX(Indicators,ROW()-9,4)</f>
        <v>A2ConsequentialHWD</v>
      </c>
      <c r="B111" s="540" cm="1">
        <f t="array" aca="1" ref="B111:I111" ca="1">INDEX(Indicators,ROW()-9,MATCH(Handle_Wearing_Course,Materials!$1:$1,0))</f>
        <v>0</v>
      </c>
      <c r="C111" s="1">
        <f ca="1"/>
        <v>0</v>
      </c>
      <c r="D111" s="1">
        <f ca="1"/>
        <v>0</v>
      </c>
      <c r="E111" s="1">
        <f ca="1"/>
        <v>0</v>
      </c>
      <c r="F111" s="1">
        <f ca="1"/>
        <v>0</v>
      </c>
      <c r="G111" s="1">
        <f ca="1"/>
        <v>0</v>
      </c>
      <c r="H111" s="1">
        <f ca="1"/>
        <v>0</v>
      </c>
      <c r="I111" s="212">
        <f ca="1"/>
        <v>0</v>
      </c>
      <c r="J111" s="1">
        <v>0</v>
      </c>
      <c r="K111" s="1">
        <v>0</v>
      </c>
      <c r="L111" s="1">
        <v>0</v>
      </c>
      <c r="O111" s="1">
        <f ca="1">SUMPRODUCT(B111:L111,$B$2:$L$2)+INDEX(Indicators,MATCH(A111,Materials!$D:$D),MATCH("Truck (32+t)",Materials!$1:$1,0))*'Data Entry'!$C$64</f>
        <v>0</v>
      </c>
      <c r="P111" s="1">
        <f ca="1">SUMPRODUCT(B111:L111,$B$3:$L$3)+INDEX(Indicators,MATCH(A111,Materials!$D:$D),MATCH("Truck (32+t)",Materials!$1:$1,0))*'Data Entry'!$C$72</f>
        <v>0</v>
      </c>
      <c r="Q111" s="1">
        <f ca="1">SUMPRODUCT(B111:L111,$B$4:$L$4)+INDEX(Indicators,MATCH(A111,Materials!$D:$D),MATCH("Truck (32+t)",Materials!$1:$1,0))*'Data Entry'!$C$66+$AQ$16</f>
        <v>1.2286007609406925E-4</v>
      </c>
      <c r="R111" s="1">
        <f ca="1">SUMPRODUCT(B111:L111,$B$5:$L$5)+INDEX(Indicators,MATCH(A111,Materials!$D:$D),MATCH("Truck (32+t)",Materials!$1:$1,0))*'Data Entry'!$C$68+$AQ$16</f>
        <v>1.2286007609406925E-4</v>
      </c>
      <c r="S111" s="1">
        <f ca="1">SUMPRODUCT(B111:L111,$B$6:$L$6)+INDEX(Indicators,MATCH(A111,Materials!$D:$D),MATCH("Truck (32+t)",Materials!$1:$1,0))*'Data Entry'!$C$70+$AQ$16</f>
        <v>1.2286007609406925E-4</v>
      </c>
      <c r="T111" s="1">
        <f ca="1">SUMPRODUCT(B111:L111,$B$7:$L$7)+INDEX(Indicators,MATCH(A111,Materials!$D:$D),MATCH("Truck (32+t)",Materials!$1:$1,0))*'Data Entry'!$C$68+$AQ$16</f>
        <v>1.2286007609406925E-4</v>
      </c>
      <c r="U111" s="1">
        <f ca="1">SUMPRODUCT(B111:L111,$B$8:$L$8)+INDEX(Indicators,MATCH(A111,Materials!$D:$D),MATCH("Truck (32+t)",Materials!$1:$1,0))*'Data Entry'!$C$69+$AQ$16</f>
        <v>1.2286007609406925E-4</v>
      </c>
      <c r="V111" s="1">
        <f ca="1">SUMPRODUCT(B111:L111,$B$9:$L$9)+INDEX(Indicators,MATCH(A111,Materials!$D:$D),MATCH("Truck (32+t)",Materials!$1:$1,0))*'Data Entry'!$C$71</f>
        <v>0</v>
      </c>
      <c r="W111" s="1">
        <f ca="1">SUMPRODUCT(B111:L111,$B$10:$L$10)+INDEX(Indicators,MATCH(A111,Materials!$D:$D),MATCH("Truck (32+t)",Materials!$1:$1,0))*'Data Entry'!$C$72</f>
        <v>0</v>
      </c>
      <c r="Z111">
        <v>0</v>
      </c>
      <c r="AA111">
        <v>0</v>
      </c>
      <c r="AB111">
        <v>0</v>
      </c>
      <c r="AC111" s="209">
        <v>0</v>
      </c>
      <c r="AD111" s="209"/>
      <c r="AF111" cm="1">
        <f t="array" ref="AF111">SUMPRODUCT($AF$2:$AF$5, TRANSPOSE($Z111:$AC111))</f>
        <v>0</v>
      </c>
      <c r="AG111" cm="1">
        <f t="array" ref="AG111">SUMPRODUCT($AG$2:$AG$5, TRANSPOSE($Z111:$AC111))</f>
        <v>0</v>
      </c>
      <c r="AH111" cm="1">
        <f t="array" ref="AH111">SUMPRODUCT($AH$2:$AH$5, TRANSPOSE($Z111:$AC111))</f>
        <v>0</v>
      </c>
      <c r="AK111" t="s">
        <v>546</v>
      </c>
      <c r="AL111" t="s">
        <v>485</v>
      </c>
      <c r="AM111" cm="1">
        <f t="array" aca="1" ref="AM111" ca="1">IFERROR(($AM$2*INDEX(Indicators,MATCH($A111,INDEX(Indicators,0,4),0),MATCH($AK$2,INDEX(Indicators,1,0),0)))+($AM$3*INDEX(Indicators,MATCH($A111,INDEX(Indicators,0,4),0),MATCH($AK$3,INDEX(Indicators,1,0),0)))+(INDEX(Electricity_projection,MATCH(AL111&amp;AK111,INDEX(Electricity_projection,0,3),0),MATCH(YEAR(TODAY()),Timeline_elec_projec,0)+3)*$AM$4), 0)</f>
        <v>0</v>
      </c>
      <c r="AN111" cm="1">
        <f t="array" aca="1" ref="AN111" ca="1">IFERROR(($AN$2*INDEX(Indicators,MATCH($A111,INDEX(Indicators,0,4),0),MATCH($AK$2,INDEX(Indicators,1,0),0)))+($AN$3*INDEX(Indicators,MATCH($A111,INDEX(Indicators,0,4),0),MATCH($AK$3,INDEX(Indicators,1,0),0)))+(INDEX(Electricity_projection,MATCH(AL111&amp;AK111,INDEX(Electricity_projection,0,3),0),MATCH(YEAR(TODAY()),Timeline_elec_projec,0)+3)*$AN$4), 0)</f>
        <v>0</v>
      </c>
      <c r="AO111" cm="1">
        <f t="array" aca="1" ref="AO111" ca="1">IFERROR(($AO$2*INDEX(Indicators,MATCH($A111,INDEX(Indicators,0,4),0),MATCH($AK$2,INDEX(Indicators,1,0),0)))+($AO$3*INDEX(Indicators,MATCH($A111,INDEX(Indicators,0,4),0),MATCH($AK$3,INDEX(Indicators,1,0),0)))+(INDEX(Electricity_projection,MATCH(AL111&amp;AK111,INDEX(Electricity_projection,0,3),0),MATCH(YEAR(TODAY()),Timeline_elec_projec,0)+3)*$AO$4), 0)</f>
        <v>0</v>
      </c>
      <c r="AP111" cm="1">
        <f t="array" aca="1" ref="AP111" ca="1">IFERROR(($AP$2*INDEX(Indicators,MATCH($A111,INDEX(Indicators,0,4),0),MATCH($AK$2,INDEX(Indicators,1,0),0)))+($AP$3*INDEX(Indicators,MATCH($A111,INDEX(Indicators,0,4),0),MATCH($AK$3,INDEX(Indicators,1,0),0)))+(INDEX(Electricity_projection,MATCH(AL111&amp;AK111,INDEX(Electricity_projection,0,3),0),MATCH(YEAR(TODAY()),Timeline_elec_projec,0)+3)*$AP$4), 0)</f>
        <v>0</v>
      </c>
      <c r="AQ111">
        <f ca="1"/>
        <v>0</v>
      </c>
    </row>
    <row r="112" spans="1:43" x14ac:dyDescent="0.35">
      <c r="A112" t="str" cm="1">
        <f t="array" ref="A112">INDEX(Indicators,ROW()-9,4)</f>
        <v>A2ConsequentialNHWD</v>
      </c>
      <c r="B112" s="540" cm="1">
        <f t="array" aca="1" ref="B112:I112" ca="1">INDEX(Indicators,ROW()-9,MATCH(Handle_Wearing_Course,Materials!$1:$1,0))</f>
        <v>0</v>
      </c>
      <c r="C112" s="1">
        <f ca="1"/>
        <v>0</v>
      </c>
      <c r="D112" s="1">
        <f ca="1"/>
        <v>0</v>
      </c>
      <c r="E112" s="1">
        <f ca="1"/>
        <v>0</v>
      </c>
      <c r="F112" s="1">
        <f ca="1"/>
        <v>0</v>
      </c>
      <c r="G112" s="1">
        <f ca="1"/>
        <v>0</v>
      </c>
      <c r="H112" s="1">
        <f ca="1"/>
        <v>0</v>
      </c>
      <c r="I112" s="212">
        <f ca="1"/>
        <v>0</v>
      </c>
      <c r="J112" s="1">
        <v>0</v>
      </c>
      <c r="K112" s="1">
        <v>0</v>
      </c>
      <c r="L112" s="1">
        <v>0</v>
      </c>
      <c r="O112" s="1">
        <f ca="1">SUMPRODUCT(B112:L112,$B$2:$L$2)+INDEX(Indicators,MATCH(A112,Materials!$D:$D),MATCH("Truck (32+t)",Materials!$1:$1,0))*'Data Entry'!$C$64</f>
        <v>0</v>
      </c>
      <c r="P112" s="1">
        <f ca="1">SUMPRODUCT(B112:L112,$B$3:$L$3)+INDEX(Indicators,MATCH(A112,Materials!$D:$D),MATCH("Truck (32+t)",Materials!$1:$1,0))*'Data Entry'!$C$72</f>
        <v>0</v>
      </c>
      <c r="Q112" s="1">
        <f ca="1">SUMPRODUCT(B112:L112,$B$4:$L$4)+INDEX(Indicators,MATCH(A112,Materials!$D:$D),MATCH("Truck (32+t)",Materials!$1:$1,0))*'Data Entry'!$C$66+$AQ$16</f>
        <v>1.2286007609406925E-4</v>
      </c>
      <c r="R112" s="1">
        <f ca="1">SUMPRODUCT(B112:L112,$B$5:$L$5)+INDEX(Indicators,MATCH(A112,Materials!$D:$D),MATCH("Truck (32+t)",Materials!$1:$1,0))*'Data Entry'!$C$68+$AQ$16</f>
        <v>1.2286007609406925E-4</v>
      </c>
      <c r="S112" s="1">
        <f ca="1">SUMPRODUCT(B112:L112,$B$6:$L$6)+INDEX(Indicators,MATCH(A112,Materials!$D:$D),MATCH("Truck (32+t)",Materials!$1:$1,0))*'Data Entry'!$C$70+$AQ$16</f>
        <v>1.2286007609406925E-4</v>
      </c>
      <c r="T112" s="1">
        <f ca="1">SUMPRODUCT(B112:L112,$B$7:$L$7)+INDEX(Indicators,MATCH(A112,Materials!$D:$D),MATCH("Truck (32+t)",Materials!$1:$1,0))*'Data Entry'!$C$68+$AQ$16</f>
        <v>1.2286007609406925E-4</v>
      </c>
      <c r="U112" s="1">
        <f ca="1">SUMPRODUCT(B112:L112,$B$8:$L$8)+INDEX(Indicators,MATCH(A112,Materials!$D:$D),MATCH("Truck (32+t)",Materials!$1:$1,0))*'Data Entry'!$C$69+$AQ$16</f>
        <v>1.2286007609406925E-4</v>
      </c>
      <c r="V112" s="1">
        <f ca="1">SUMPRODUCT(B112:L112,$B$9:$L$9)+INDEX(Indicators,MATCH(A112,Materials!$D:$D),MATCH("Truck (32+t)",Materials!$1:$1,0))*'Data Entry'!$C$71</f>
        <v>0</v>
      </c>
      <c r="W112" s="1">
        <f ca="1">SUMPRODUCT(B112:L112,$B$10:$L$10)+INDEX(Indicators,MATCH(A112,Materials!$D:$D),MATCH("Truck (32+t)",Materials!$1:$1,0))*'Data Entry'!$C$72</f>
        <v>0</v>
      </c>
      <c r="Z112">
        <v>0</v>
      </c>
      <c r="AA112">
        <v>0</v>
      </c>
      <c r="AB112">
        <v>0</v>
      </c>
      <c r="AC112" s="209">
        <v>0</v>
      </c>
      <c r="AD112" s="209"/>
      <c r="AF112" cm="1">
        <f t="array" ref="AF112">SUMPRODUCT($AF$2:$AF$5, TRANSPOSE($Z112:$AC112))</f>
        <v>0</v>
      </c>
      <c r="AG112" cm="1">
        <f t="array" ref="AG112">SUMPRODUCT($AG$2:$AG$5, TRANSPOSE($Z112:$AC112))</f>
        <v>0</v>
      </c>
      <c r="AH112" cm="1">
        <f t="array" ref="AH112">SUMPRODUCT($AH$2:$AH$5, TRANSPOSE($Z112:$AC112))</f>
        <v>0</v>
      </c>
      <c r="AK112" t="s">
        <v>516</v>
      </c>
      <c r="AL112" t="s">
        <v>485</v>
      </c>
      <c r="AM112" cm="1">
        <f t="array" aca="1" ref="AM112" ca="1">IFERROR(($AM$2*INDEX(Indicators,MATCH($A112,INDEX(Indicators,0,4),0),MATCH($AK$2,INDEX(Indicators,1,0),0)))+($AM$3*INDEX(Indicators,MATCH($A112,INDEX(Indicators,0,4),0),MATCH($AK$3,INDEX(Indicators,1,0),0)))+(INDEX(Electricity_projection,MATCH(AL112&amp;AK112,INDEX(Electricity_projection,0,3),0),MATCH(YEAR(TODAY()),Timeline_elec_projec,0)+3)*$AM$4), 0)</f>
        <v>0</v>
      </c>
      <c r="AN112" cm="1">
        <f t="array" aca="1" ref="AN112" ca="1">IFERROR(($AN$2*INDEX(Indicators,MATCH($A112,INDEX(Indicators,0,4),0),MATCH($AK$2,INDEX(Indicators,1,0),0)))+($AN$3*INDEX(Indicators,MATCH($A112,INDEX(Indicators,0,4),0),MATCH($AK$3,INDEX(Indicators,1,0),0)))+(INDEX(Electricity_projection,MATCH(AL112&amp;AK112,INDEX(Electricity_projection,0,3),0),MATCH(YEAR(TODAY()),Timeline_elec_projec,0)+3)*$AN$4), 0)</f>
        <v>0</v>
      </c>
      <c r="AO112" cm="1">
        <f t="array" aca="1" ref="AO112" ca="1">IFERROR(($AO$2*INDEX(Indicators,MATCH($A112,INDEX(Indicators,0,4),0),MATCH($AK$2,INDEX(Indicators,1,0),0)))+($AO$3*INDEX(Indicators,MATCH($A112,INDEX(Indicators,0,4),0),MATCH($AK$3,INDEX(Indicators,1,0),0)))+(INDEX(Electricity_projection,MATCH(AL112&amp;AK112,INDEX(Electricity_projection,0,3),0),MATCH(YEAR(TODAY()),Timeline_elec_projec,0)+3)*$AO$4), 0)</f>
        <v>0</v>
      </c>
      <c r="AP112" cm="1">
        <f t="array" aca="1" ref="AP112" ca="1">IFERROR(($AP$2*INDEX(Indicators,MATCH($A112,INDEX(Indicators,0,4),0),MATCH($AK$2,INDEX(Indicators,1,0),0)))+($AP$3*INDEX(Indicators,MATCH($A112,INDEX(Indicators,0,4),0),MATCH($AK$3,INDEX(Indicators,1,0),0)))+(INDEX(Electricity_projection,MATCH(AL112&amp;AK112,INDEX(Electricity_projection,0,3),0),MATCH(YEAR(TODAY()),Timeline_elec_projec,0)+3)*$AP$4), 0)</f>
        <v>0</v>
      </c>
      <c r="AQ112">
        <f ca="1"/>
        <v>0</v>
      </c>
    </row>
    <row r="113" spans="1:43" x14ac:dyDescent="0.35">
      <c r="A113" t="str" cm="1">
        <f t="array" ref="A113">INDEX(Indicators,ROW()-9,4)</f>
        <v>A2ConsequentialRWD</v>
      </c>
      <c r="B113" s="540" cm="1">
        <f t="array" aca="1" ref="B113:I113" ca="1">INDEX(Indicators,ROW()-9,MATCH(Handle_Wearing_Course,Materials!$1:$1,0))</f>
        <v>0</v>
      </c>
      <c r="C113" s="1">
        <f ca="1"/>
        <v>0</v>
      </c>
      <c r="D113" s="1">
        <f ca="1"/>
        <v>0</v>
      </c>
      <c r="E113" s="1">
        <f ca="1"/>
        <v>0</v>
      </c>
      <c r="F113" s="1">
        <f ca="1"/>
        <v>0</v>
      </c>
      <c r="G113" s="1">
        <f ca="1"/>
        <v>0</v>
      </c>
      <c r="H113" s="1">
        <f ca="1"/>
        <v>0</v>
      </c>
      <c r="I113" s="212">
        <f ca="1"/>
        <v>0</v>
      </c>
      <c r="J113" s="1">
        <v>0</v>
      </c>
      <c r="K113" s="1">
        <v>0</v>
      </c>
      <c r="L113" s="1">
        <v>0</v>
      </c>
      <c r="O113" s="1">
        <f ca="1">SUMPRODUCT(B113:L113,$B$2:$L$2)+INDEX(Indicators,MATCH(A113,Materials!$D:$D),MATCH("Truck (32+t)",Materials!$1:$1,0))*'Data Entry'!$C$64</f>
        <v>0</v>
      </c>
      <c r="P113" s="1">
        <f ca="1">SUMPRODUCT(B113:L113,$B$3:$L$3)+INDEX(Indicators,MATCH(A113,Materials!$D:$D),MATCH("Truck (32+t)",Materials!$1:$1,0))*'Data Entry'!$C$72</f>
        <v>0</v>
      </c>
      <c r="Q113" s="1">
        <f ca="1">SUMPRODUCT(B113:L113,$B$4:$L$4)+INDEX(Indicators,MATCH(A113,Materials!$D:$D),MATCH("Truck (32+t)",Materials!$1:$1,0))*'Data Entry'!$C$66+$AQ$16</f>
        <v>1.2286007609406925E-4</v>
      </c>
      <c r="R113" s="1">
        <f ca="1">SUMPRODUCT(B113:L113,$B$5:$L$5)+INDEX(Indicators,MATCH(A113,Materials!$D:$D),MATCH("Truck (32+t)",Materials!$1:$1,0))*'Data Entry'!$C$68+$AQ$16</f>
        <v>1.2286007609406925E-4</v>
      </c>
      <c r="S113" s="1">
        <f ca="1">SUMPRODUCT(B113:L113,$B$6:$L$6)+INDEX(Indicators,MATCH(A113,Materials!$D:$D),MATCH("Truck (32+t)",Materials!$1:$1,0))*'Data Entry'!$C$70+$AQ$16</f>
        <v>1.2286007609406925E-4</v>
      </c>
      <c r="T113" s="1">
        <f ca="1">SUMPRODUCT(B113:L113,$B$7:$L$7)+INDEX(Indicators,MATCH(A113,Materials!$D:$D),MATCH("Truck (32+t)",Materials!$1:$1,0))*'Data Entry'!$C$68+$AQ$16</f>
        <v>1.2286007609406925E-4</v>
      </c>
      <c r="U113" s="1">
        <f ca="1">SUMPRODUCT(B113:L113,$B$8:$L$8)+INDEX(Indicators,MATCH(A113,Materials!$D:$D),MATCH("Truck (32+t)",Materials!$1:$1,0))*'Data Entry'!$C$69+$AQ$16</f>
        <v>1.2286007609406925E-4</v>
      </c>
      <c r="V113" s="1">
        <f ca="1">SUMPRODUCT(B113:L113,$B$9:$L$9)+INDEX(Indicators,MATCH(A113,Materials!$D:$D),MATCH("Truck (32+t)",Materials!$1:$1,0))*'Data Entry'!$C$71</f>
        <v>0</v>
      </c>
      <c r="W113" s="1">
        <f ca="1">SUMPRODUCT(B113:L113,$B$10:$L$10)+INDEX(Indicators,MATCH(A113,Materials!$D:$D),MATCH("Truck (32+t)",Materials!$1:$1,0))*'Data Entry'!$C$72</f>
        <v>0</v>
      </c>
      <c r="Z113">
        <v>0</v>
      </c>
      <c r="AA113">
        <v>0</v>
      </c>
      <c r="AB113">
        <v>0</v>
      </c>
      <c r="AC113" s="209">
        <v>0</v>
      </c>
      <c r="AD113" s="209"/>
      <c r="AF113" cm="1">
        <f t="array" ref="AF113">SUMPRODUCT($AF$2:$AF$5, TRANSPOSE($Z113:$AC113))</f>
        <v>0</v>
      </c>
      <c r="AG113" cm="1">
        <f t="array" ref="AG113">SUMPRODUCT($AG$2:$AG$5, TRANSPOSE($Z113:$AC113))</f>
        <v>0</v>
      </c>
      <c r="AH113" cm="1">
        <f t="array" ref="AH113">SUMPRODUCT($AH$2:$AH$5, TRANSPOSE($Z113:$AC113))</f>
        <v>0</v>
      </c>
      <c r="AK113" t="s">
        <v>518</v>
      </c>
      <c r="AL113" t="s">
        <v>485</v>
      </c>
      <c r="AM113" cm="1">
        <f t="array" aca="1" ref="AM113" ca="1">IFERROR(($AM$2*INDEX(Indicators,MATCH($A113,INDEX(Indicators,0,4),0),MATCH($AK$2,INDEX(Indicators,1,0),0)))+($AM$3*INDEX(Indicators,MATCH($A113,INDEX(Indicators,0,4),0),MATCH($AK$3,INDEX(Indicators,1,0),0)))+(INDEX(Electricity_projection,MATCH(AL113&amp;AK113,INDEX(Electricity_projection,0,3),0),MATCH(YEAR(TODAY()),Timeline_elec_projec,0)+3)*$AM$4), 0)</f>
        <v>0</v>
      </c>
      <c r="AN113" cm="1">
        <f t="array" aca="1" ref="AN113" ca="1">IFERROR(($AN$2*INDEX(Indicators,MATCH($A113,INDEX(Indicators,0,4),0),MATCH($AK$2,INDEX(Indicators,1,0),0)))+($AN$3*INDEX(Indicators,MATCH($A113,INDEX(Indicators,0,4),0),MATCH($AK$3,INDEX(Indicators,1,0),0)))+(INDEX(Electricity_projection,MATCH(AL113&amp;AK113,INDEX(Electricity_projection,0,3),0),MATCH(YEAR(TODAY()),Timeline_elec_projec,0)+3)*$AN$4), 0)</f>
        <v>0</v>
      </c>
      <c r="AO113" cm="1">
        <f t="array" aca="1" ref="AO113" ca="1">IFERROR(($AO$2*INDEX(Indicators,MATCH($A113,INDEX(Indicators,0,4),0),MATCH($AK$2,INDEX(Indicators,1,0),0)))+($AO$3*INDEX(Indicators,MATCH($A113,INDEX(Indicators,0,4),0),MATCH($AK$3,INDEX(Indicators,1,0),0)))+(INDEX(Electricity_projection,MATCH(AL113&amp;AK113,INDEX(Electricity_projection,0,3),0),MATCH(YEAR(TODAY()),Timeline_elec_projec,0)+3)*$AO$4), 0)</f>
        <v>0</v>
      </c>
      <c r="AP113" cm="1">
        <f t="array" aca="1" ref="AP113" ca="1">IFERROR(($AP$2*INDEX(Indicators,MATCH($A113,INDEX(Indicators,0,4),0),MATCH($AK$2,INDEX(Indicators,1,0),0)))+($AP$3*INDEX(Indicators,MATCH($A113,INDEX(Indicators,0,4),0),MATCH($AK$3,INDEX(Indicators,1,0),0)))+(INDEX(Electricity_projection,MATCH(AL113&amp;AK113,INDEX(Electricity_projection,0,3),0),MATCH(YEAR(TODAY()),Timeline_elec_projec,0)+3)*$AP$4), 0)</f>
        <v>0</v>
      </c>
      <c r="AQ113">
        <f ca="1"/>
        <v>0</v>
      </c>
    </row>
    <row r="114" spans="1:43" x14ac:dyDescent="0.35">
      <c r="A114" t="str" cm="1">
        <f t="array" ref="A114">INDEX(Indicators,ROW()-9,4)</f>
        <v>A2ConsequentialTox_fw</v>
      </c>
      <c r="B114" s="540" cm="1">
        <f t="array" aca="1" ref="B114:I114" ca="1">INDEX(Indicators,ROW()-9,MATCH(Handle_Wearing_Course,Materials!$1:$1,0))</f>
        <v>1.8978430163999998E-4</v>
      </c>
      <c r="C114" s="1">
        <f ca="1"/>
        <v>1.1702059055999999E-4</v>
      </c>
      <c r="D114" s="1">
        <f ca="1"/>
        <v>6.1154828399999996E-5</v>
      </c>
      <c r="E114" s="1">
        <f ca="1"/>
        <v>0.17089022989796029</v>
      </c>
      <c r="F114" s="1">
        <f ca="1"/>
        <v>0</v>
      </c>
      <c r="G114" s="1">
        <f ca="1"/>
        <v>1.17E-5</v>
      </c>
      <c r="H114" s="1">
        <f ca="1"/>
        <v>0</v>
      </c>
      <c r="I114" s="212">
        <f ca="1"/>
        <v>1.6314639999999998</v>
      </c>
      <c r="J114" s="1">
        <v>2.3546809999999998</v>
      </c>
      <c r="K114" s="1">
        <v>1.6314639999999998</v>
      </c>
      <c r="L114" s="1">
        <v>1.6314639999999998</v>
      </c>
      <c r="O114" s="1">
        <f ca="1">SUMPRODUCT(B114:L114,$B$2:$L$2)+INDEX(Indicators,MATCH(A114,Materials!$D:$D),MATCH("Truck (32+t)",Materials!$1:$1,0))*'Data Entry'!$C$64</f>
        <v>1.0431811037419218E-2</v>
      </c>
      <c r="P114" s="1">
        <f ca="1">SUMPRODUCT(B114:L114,$B$3:$L$3)+INDEX(Indicators,MATCH(A114,Materials!$D:$D),MATCH("Truck (32+t)",Materials!$1:$1,0))*'Data Entry'!$C$72</f>
        <v>0.14145925724354158</v>
      </c>
      <c r="Q114" s="1">
        <f ca="1">SUMPRODUCT(B114:L114,$B$4:$L$4)+INDEX(Indicators,MATCH(A114,Materials!$D:$D),MATCH("Truck (32+t)",Materials!$1:$1,0))*'Data Entry'!$C$66+$AQ$16</f>
        <v>1.2210223780180492E-2</v>
      </c>
      <c r="R114" s="1">
        <f ca="1">SUMPRODUCT(B114:L114,$B$5:$L$5)+INDEX(Indicators,MATCH(A114,Materials!$D:$D),MATCH("Truck (32+t)",Materials!$1:$1,0))*'Data Entry'!$C$68+$AQ$16</f>
        <v>3.7770264756966189E-2</v>
      </c>
      <c r="S114" s="1">
        <f ca="1">SUMPRODUCT(B114:L114,$B$6:$L$6)+INDEX(Indicators,MATCH(A114,Materials!$D:$D),MATCH("Truck (32+t)",Materials!$1:$1,0))*'Data Entry'!$C$70+$AQ$16</f>
        <v>1.0554671113513287E-2</v>
      </c>
      <c r="T114" s="1">
        <f ca="1">SUMPRODUCT(B114:L114,$B$7:$L$7)+INDEX(Indicators,MATCH(A114,Materials!$D:$D),MATCH("Truck (32+t)",Materials!$1:$1,0))*'Data Entry'!$C$68+$AQ$16</f>
        <v>3.246327766504388E-2</v>
      </c>
      <c r="U114" s="1">
        <f ca="1">SUMPRODUCT(B114:L114,$B$8:$L$8)+INDEX(Indicators,MATCH(A114,Materials!$D:$D),MATCH("Truck (32+t)",Materials!$1:$1,0))*'Data Entry'!$C$69+$AQ$16</f>
        <v>8.8476666575500844E-3</v>
      </c>
      <c r="V114" s="1">
        <f ca="1">SUMPRODUCT(B114:L114,$B$9:$L$9)+INDEX(Indicators,MATCH(A114,Materials!$D:$D),MATCH("Truck (32+t)",Materials!$1:$1,0))*'Data Entry'!$C$71</f>
        <v>1.0887811649999999E-4</v>
      </c>
      <c r="W114" s="1">
        <f ca="1">SUMPRODUCT(B114:L114,$B$10:$L$10)+INDEX(Indicators,MATCH(A114,Materials!$D:$D),MATCH("Truck (32+t)",Materials!$1:$1,0))*'Data Entry'!$C$72</f>
        <v>3.861E-6</v>
      </c>
      <c r="Z114">
        <v>24.195039999999999</v>
      </c>
      <c r="AA114">
        <v>-11.842790000000001</v>
      </c>
      <c r="AB114">
        <v>26.67719</v>
      </c>
      <c r="AC114" s="209">
        <v>0.18503</v>
      </c>
      <c r="AD114" s="209"/>
      <c r="AF114" cm="1">
        <f t="array" ref="AF114">SUMPRODUCT($AF$2:$AF$5, TRANSPOSE($Z114:$AC114))</f>
        <v>2.3546809999999998</v>
      </c>
      <c r="AG114" cm="1">
        <f t="array" ref="AG114">SUMPRODUCT($AG$2:$AG$5, TRANSPOSE($Z114:$AC114))</f>
        <v>1.6314639999999998</v>
      </c>
      <c r="AH114" cm="1">
        <f t="array" ref="AH114">SUMPRODUCT($AH$2:$AH$5, TRANSPOSE($Z114:$AC114))</f>
        <v>1.6314639999999998</v>
      </c>
      <c r="AK114" t="s">
        <v>416</v>
      </c>
      <c r="AL114" t="s">
        <v>485</v>
      </c>
      <c r="AM114" cm="1">
        <f t="array" aca="1" ref="AM114" ca="1">IFERROR(($AM$2*INDEX(Indicators,MATCH($A114,INDEX(Indicators,0,4),0),MATCH($AK$2,INDEX(Indicators,1,0),0)))+($AM$3*INDEX(Indicators,MATCH($A114,INDEX(Indicators,0,4),0),MATCH($AK$3,INDEX(Indicators,1,0),0)))+(INDEX(Electricity_projection,MATCH(AL114&amp;AK114,INDEX(Electricity_projection,0,3),0),MATCH(YEAR(TODAY()),Timeline_elec_projec,0)+3)*$AM$4), 0)</f>
        <v>0</v>
      </c>
      <c r="AN114" cm="1">
        <f t="array" aca="1" ref="AN114" ca="1">IFERROR(($AN$2*INDEX(Indicators,MATCH($A114,INDEX(Indicators,0,4),0),MATCH($AK$2,INDEX(Indicators,1,0),0)))+($AN$3*INDEX(Indicators,MATCH($A114,INDEX(Indicators,0,4),0),MATCH($AK$3,INDEX(Indicators,1,0),0)))+(INDEX(Electricity_projection,MATCH(AL114&amp;AK114,INDEX(Electricity_projection,0,3),0),MATCH(YEAR(TODAY()),Timeline_elec_projec,0)+3)*$AN$4), 0)</f>
        <v>0</v>
      </c>
      <c r="AO114" cm="1">
        <f t="array" aca="1" ref="AO114" ca="1">IFERROR(($AO$2*INDEX(Indicators,MATCH($A114,INDEX(Indicators,0,4),0),MATCH($AK$2,INDEX(Indicators,1,0),0)))+($AO$3*INDEX(Indicators,MATCH($A114,INDEX(Indicators,0,4),0),MATCH($AK$3,INDEX(Indicators,1,0),0)))+(INDEX(Electricity_projection,MATCH(AL114&amp;AK114,INDEX(Electricity_projection,0,3),0),MATCH(YEAR(TODAY()),Timeline_elec_projec,0)+3)*$AO$4), 0)</f>
        <v>0</v>
      </c>
      <c r="AP114" cm="1">
        <f t="array" aca="1" ref="AP114" ca="1">IFERROR(($AP$2*INDEX(Indicators,MATCH($A114,INDEX(Indicators,0,4),0),MATCH($AK$2,INDEX(Indicators,1,0),0)))+($AP$3*INDEX(Indicators,MATCH($A114,INDEX(Indicators,0,4),0),MATCH($AK$3,INDEX(Indicators,1,0),0)))+(INDEX(Electricity_projection,MATCH(AL114&amp;AK114,INDEX(Electricity_projection,0,3),0),MATCH(YEAR(TODAY()),Timeline_elec_projec,0)+3)*$AP$4), 0)</f>
        <v>0</v>
      </c>
      <c r="AQ114">
        <f ca="1"/>
        <v>0</v>
      </c>
    </row>
    <row r="115" spans="1:43" x14ac:dyDescent="0.35">
      <c r="A115" t="str" cm="1">
        <f t="array" ref="A115">INDEX(Indicators,ROW()-9,4)</f>
        <v>A2ConsequentialTox_canc</v>
      </c>
      <c r="B115" s="540" cm="1">
        <f t="array" aca="1" ref="B115:I115" ca="1">INDEX(Indicators,ROW()-9,MATCH(Handle_Wearing_Course,Materials!$1:$1,0))</f>
        <v>2.3693009071555097E-13</v>
      </c>
      <c r="C115" s="1">
        <f ca="1"/>
        <v>1.4060747491269753E-13</v>
      </c>
      <c r="D115" s="1">
        <f ca="1"/>
        <v>7.3481307510872991E-14</v>
      </c>
      <c r="E115" s="1">
        <f ca="1"/>
        <v>2.1092076027587436E-10</v>
      </c>
      <c r="F115" s="1">
        <f ca="1"/>
        <v>0</v>
      </c>
      <c r="G115" s="1">
        <f ca="1"/>
        <v>4.3699999999999999E-14</v>
      </c>
      <c r="H115" s="1">
        <f ca="1"/>
        <v>0</v>
      </c>
      <c r="I115" s="212">
        <f ca="1"/>
        <v>1.8675800000000002E-10</v>
      </c>
      <c r="J115" s="1">
        <v>1.5363699999999997E-10</v>
      </c>
      <c r="K115" s="1">
        <v>1.8675800000000002E-10</v>
      </c>
      <c r="L115" s="1">
        <v>1.8675800000000002E-10</v>
      </c>
      <c r="O115" s="1">
        <f ca="1">SUMPRODUCT(B115:L115,$B$2:$L$2)+INDEX(Indicators,MATCH(A115,Materials!$D:$D),MATCH("Truck (32+t)",Materials!$1:$1,0))*'Data Entry'!$C$64</f>
        <v>1.2877959901825079E-11</v>
      </c>
      <c r="P115" s="1">
        <f ca="1">SUMPRODUCT(B115:L115,$B$3:$L$3)+INDEX(Indicators,MATCH(A115,Materials!$D:$D),MATCH("Truck (32+t)",Materials!$1:$1,0))*'Data Entry'!$C$72</f>
        <v>9.4409342852726162E-12</v>
      </c>
      <c r="Q115" s="1">
        <f ca="1">SUMPRODUCT(B115:L115,$B$4:$L$4)+INDEX(Indicators,MATCH(A115,Materials!$D:$D),MATCH("Truck (32+t)",Materials!$1:$1,0))*'Data Entry'!$C$66+$AQ$16</f>
        <v>1.2286009101348795E-4</v>
      </c>
      <c r="R115" s="1">
        <f ca="1">SUMPRODUCT(B115:L115,$B$5:$L$5)+INDEX(Indicators,MATCH(A115,Materials!$D:$D),MATCH("Truck (32+t)",Materials!$1:$1,0))*'Data Entry'!$C$68+$AQ$16</f>
        <v>1.2286009059063964E-4</v>
      </c>
      <c r="S115" s="1">
        <f ca="1">SUMPRODUCT(B115:L115,$B$6:$L$6)+INDEX(Indicators,MATCH(A115,Materials!$D:$D),MATCH("Truck (32+t)",Materials!$1:$1,0))*'Data Entry'!$C$70+$AQ$16</f>
        <v>1.2286008897202915E-4</v>
      </c>
      <c r="T115" s="1">
        <f ca="1">SUMPRODUCT(B115:L115,$B$7:$L$7)+INDEX(Indicators,MATCH(A115,Materials!$D:$D),MATCH("Truck (32+t)",Materials!$1:$1,0))*'Data Entry'!$C$68+$AQ$16</f>
        <v>1.2286008860958774E-4</v>
      </c>
      <c r="U115" s="1">
        <f ca="1">SUMPRODUCT(B115:L115,$B$8:$L$8)+INDEX(Indicators,MATCH(A115,Materials!$D:$D),MATCH("Truck (32+t)",Materials!$1:$1,0))*'Data Entry'!$C$69+$AQ$16</f>
        <v>1.2286008686519085E-4</v>
      </c>
      <c r="V115" s="1">
        <f ca="1">SUMPRODUCT(B115:L115,$B$9:$L$9)+INDEX(Indicators,MATCH(A115,Materials!$D:$D),MATCH("Truck (32+t)",Materials!$1:$1,0))*'Data Entry'!$C$71</f>
        <v>1.3971630685995008E-13</v>
      </c>
      <c r="W115" s="1">
        <f ca="1">SUMPRODUCT(B115:L115,$B$10:$L$10)+INDEX(Indicators,MATCH(A115,Materials!$D:$D),MATCH("Truck (32+t)",Materials!$1:$1,0))*'Data Entry'!$C$72</f>
        <v>1.4421E-14</v>
      </c>
      <c r="Z115" s="1">
        <v>1.0339000000000001E-8</v>
      </c>
      <c r="AA115" s="1">
        <v>-2.16711E-9</v>
      </c>
      <c r="AB115" s="1">
        <v>2.0106899999999998E-9</v>
      </c>
      <c r="AC115" s="209">
        <v>2.5300000000000001E-10</v>
      </c>
      <c r="AD115" s="209"/>
      <c r="AF115" cm="1">
        <f t="array" ref="AF115">SUMPRODUCT($AF$2:$AF$5, TRANSPOSE($Z115:$AC115))</f>
        <v>1.5363699999999997E-10</v>
      </c>
      <c r="AG115" cm="1">
        <f t="array" ref="AG115">SUMPRODUCT($AG$2:$AG$5, TRANSPOSE($Z115:$AC115))</f>
        <v>1.8675800000000002E-10</v>
      </c>
      <c r="AH115" cm="1">
        <f t="array" ref="AH115">SUMPRODUCT($AH$2:$AH$5, TRANSPOSE($Z115:$AC115))</f>
        <v>1.8675800000000002E-10</v>
      </c>
      <c r="AK115" t="s">
        <v>419</v>
      </c>
      <c r="AL115" t="s">
        <v>485</v>
      </c>
      <c r="AM115" cm="1">
        <f t="array" aca="1" ref="AM115" ca="1">IFERROR(($AM$2*INDEX(Indicators,MATCH($A115,INDEX(Indicators,0,4),0),MATCH($AK$2,INDEX(Indicators,1,0),0)))+($AM$3*INDEX(Indicators,MATCH($A115,INDEX(Indicators,0,4),0),MATCH($AK$3,INDEX(Indicators,1,0),0)))+(INDEX(Electricity_projection,MATCH(AL115&amp;AK115,INDEX(Electricity_projection,0,3),0),MATCH(YEAR(TODAY()),Timeline_elec_projec,0)+3)*$AM$4), 0)</f>
        <v>0</v>
      </c>
      <c r="AN115" cm="1">
        <f t="array" aca="1" ref="AN115" ca="1">IFERROR(($AN$2*INDEX(Indicators,MATCH($A115,INDEX(Indicators,0,4),0),MATCH($AK$2,INDEX(Indicators,1,0),0)))+($AN$3*INDEX(Indicators,MATCH($A115,INDEX(Indicators,0,4),0),MATCH($AK$3,INDEX(Indicators,1,0),0)))+(INDEX(Electricity_projection,MATCH(AL115&amp;AK115,INDEX(Electricity_projection,0,3),0),MATCH(YEAR(TODAY()),Timeline_elec_projec,0)+3)*$AN$4), 0)</f>
        <v>0</v>
      </c>
      <c r="AO115" cm="1">
        <f t="array" aca="1" ref="AO115" ca="1">IFERROR(($AO$2*INDEX(Indicators,MATCH($A115,INDEX(Indicators,0,4),0),MATCH($AK$2,INDEX(Indicators,1,0),0)))+($AO$3*INDEX(Indicators,MATCH($A115,INDEX(Indicators,0,4),0),MATCH($AK$3,INDEX(Indicators,1,0),0)))+(INDEX(Electricity_projection,MATCH(AL115&amp;AK115,INDEX(Electricity_projection,0,3),0),MATCH(YEAR(TODAY()),Timeline_elec_projec,0)+3)*$AO$4), 0)</f>
        <v>0</v>
      </c>
      <c r="AP115" cm="1">
        <f t="array" aca="1" ref="AP115" ca="1">IFERROR(($AP$2*INDEX(Indicators,MATCH($A115,INDEX(Indicators,0,4),0),MATCH($AK$2,INDEX(Indicators,1,0),0)))+($AP$3*INDEX(Indicators,MATCH($A115,INDEX(Indicators,0,4),0),MATCH($AK$3,INDEX(Indicators,1,0),0)))+(INDEX(Electricity_projection,MATCH(AL115&amp;AK115,INDEX(Electricity_projection,0,3),0),MATCH(YEAR(TODAY()),Timeline_elec_projec,0)+3)*$AP$4), 0)</f>
        <v>0</v>
      </c>
      <c r="AQ115">
        <f ca="1"/>
        <v>0</v>
      </c>
    </row>
    <row r="116" spans="1:43" x14ac:dyDescent="0.35">
      <c r="A116" t="str" cm="1">
        <f t="array" ref="A116">INDEX(Indicators,ROW()-9,4)</f>
        <v>A2ConsequentialTox_non_canc</v>
      </c>
      <c r="B116" s="540" cm="1">
        <f t="array" aca="1" ref="B116:I116" ca="1">INDEX(Indicators,ROW()-9,MATCH(Handle_Wearing_Course,Materials!$1:$1,0))</f>
        <v>7.3602197755354098E-12</v>
      </c>
      <c r="C116" s="1">
        <f ca="1"/>
        <v>4.3467680577454036E-12</v>
      </c>
      <c r="D116" s="1">
        <f ca="1"/>
        <v>2.2716160753754226E-12</v>
      </c>
      <c r="E116" s="1">
        <f ca="1"/>
        <v>4.9474489924801676E-9</v>
      </c>
      <c r="F116" s="1">
        <f ca="1"/>
        <v>0</v>
      </c>
      <c r="G116" s="1">
        <f ca="1"/>
        <v>1.47E-12</v>
      </c>
      <c r="H116" s="1">
        <f ca="1"/>
        <v>0</v>
      </c>
      <c r="I116" s="212">
        <f ca="1"/>
        <v>3.5656000000000151E-10</v>
      </c>
      <c r="J116" s="1">
        <v>-1.5751600000000002E-9</v>
      </c>
      <c r="K116" s="1">
        <v>3.5656000000000151E-10</v>
      </c>
      <c r="L116" s="1">
        <v>3.5656000000000151E-10</v>
      </c>
      <c r="O116" s="1">
        <f ca="1">SUMPRODUCT(B116:L116,$B$2:$L$2)+INDEX(Indicators,MATCH(A116,Materials!$D:$D),MATCH("Truck (32+t)",Materials!$1:$1,0))*'Data Entry'!$C$64</f>
        <v>3.0376554613781333E-10</v>
      </c>
      <c r="P116" s="1">
        <f ca="1">SUMPRODUCT(B116:L116,$B$3:$L$3)+INDEX(Indicators,MATCH(A116,Materials!$D:$D),MATCH("Truck (32+t)",Materials!$1:$1,0))*'Data Entry'!$C$72</f>
        <v>-8.7590993410996723E-11</v>
      </c>
      <c r="Q116" s="1">
        <f ca="1">SUMPRODUCT(B116:L116,$B$4:$L$4)+INDEX(Indicators,MATCH(A116,Materials!$D:$D),MATCH("Truck (32+t)",Materials!$1:$1,0))*'Data Entry'!$C$66+$AQ$16</f>
        <v>1.2286042722506164E-4</v>
      </c>
      <c r="R116" s="1">
        <f ca="1">SUMPRODUCT(B116:L116,$B$5:$L$5)+INDEX(Indicators,MATCH(A116,Materials!$D:$D),MATCH("Truck (32+t)",Materials!$1:$1,0))*'Data Entry'!$C$68+$AQ$16</f>
        <v>1.2286034688450427E-4</v>
      </c>
      <c r="S116" s="1">
        <f ca="1">SUMPRODUCT(B116:L116,$B$6:$L$6)+INDEX(Indicators,MATCH(A116,Materials!$D:$D),MATCH("Truck (32+t)",Materials!$1:$1,0))*'Data Entry'!$C$70+$AQ$16</f>
        <v>1.2286037985961539E-4</v>
      </c>
      <c r="T116" s="1">
        <f ca="1">SUMPRODUCT(B116:L116,$B$7:$L$7)+INDEX(Indicators,MATCH(A116,Materials!$D:$D),MATCH("Truck (32+t)",Materials!$1:$1,0))*'Data Entry'!$C$68+$AQ$16</f>
        <v>1.2286031099628051E-4</v>
      </c>
      <c r="U116" s="1">
        <f ca="1">SUMPRODUCT(B116:L116,$B$8:$L$8)+INDEX(Indicators,MATCH(A116,Materials!$D:$D),MATCH("Truck (32+t)",Materials!$1:$1,0))*'Data Entry'!$C$69+$AQ$16</f>
        <v>1.2286033045872766E-4</v>
      </c>
      <c r="V116" s="1">
        <f ca="1">SUMPRODUCT(B116:L116,$B$9:$L$9)+INDEX(Indicators,MATCH(A116,Materials!$D:$D),MATCH("Truck (32+t)",Materials!$1:$1,0))*'Data Entry'!$C$71</f>
        <v>4.3549331028427888E-12</v>
      </c>
      <c r="W116" s="1">
        <f ca="1">SUMPRODUCT(B116:L116,$B$10:$L$10)+INDEX(Indicators,MATCH(A116,Materials!$D:$D),MATCH("Truck (32+t)",Materials!$1:$1,0))*'Data Entry'!$C$72</f>
        <v>4.8510000000000002E-13</v>
      </c>
      <c r="Z116" s="1">
        <v>8.7079100000000001E-8</v>
      </c>
      <c r="AA116" s="1">
        <v>-1.08162E-7</v>
      </c>
      <c r="AB116" s="1">
        <v>7.7967600000000005E-8</v>
      </c>
      <c r="AC116" s="209">
        <v>4.2199999999999999E-9</v>
      </c>
      <c r="AD116" s="209"/>
      <c r="AF116" cm="1">
        <f t="array" ref="AF116">SUMPRODUCT($AF$2:$AF$5, TRANSPOSE($Z116:$AC116))</f>
        <v>-1.5751600000000002E-9</v>
      </c>
      <c r="AG116" cm="1">
        <f t="array" ref="AG116">SUMPRODUCT($AG$2:$AG$5, TRANSPOSE($Z116:$AC116))</f>
        <v>3.5656000000000151E-10</v>
      </c>
      <c r="AH116" cm="1">
        <f t="array" ref="AH116">SUMPRODUCT($AH$2:$AH$5, TRANSPOSE($Z116:$AC116))</f>
        <v>3.5656000000000151E-10</v>
      </c>
      <c r="AK116" t="s">
        <v>421</v>
      </c>
      <c r="AL116" t="s">
        <v>485</v>
      </c>
      <c r="AM116" cm="1">
        <f t="array" aca="1" ref="AM116" ca="1">IFERROR(($AM$2*INDEX(Indicators,MATCH($A116,INDEX(Indicators,0,4),0),MATCH($AK$2,INDEX(Indicators,1,0),0)))+($AM$3*INDEX(Indicators,MATCH($A116,INDEX(Indicators,0,4),0),MATCH($AK$3,INDEX(Indicators,1,0),0)))+(INDEX(Electricity_projection,MATCH(AL116&amp;AK116,INDEX(Electricity_projection,0,3),0),MATCH(YEAR(TODAY()),Timeline_elec_projec,0)+3)*$AM$4), 0)</f>
        <v>0</v>
      </c>
      <c r="AN116" cm="1">
        <f t="array" aca="1" ref="AN116" ca="1">IFERROR(($AN$2*INDEX(Indicators,MATCH($A116,INDEX(Indicators,0,4),0),MATCH($AK$2,INDEX(Indicators,1,0),0)))+($AN$3*INDEX(Indicators,MATCH($A116,INDEX(Indicators,0,4),0),MATCH($AK$3,INDEX(Indicators,1,0),0)))+(INDEX(Electricity_projection,MATCH(AL116&amp;AK116,INDEX(Electricity_projection,0,3),0),MATCH(YEAR(TODAY()),Timeline_elec_projec,0)+3)*$AN$4), 0)</f>
        <v>0</v>
      </c>
      <c r="AO116" cm="1">
        <f t="array" aca="1" ref="AO116" ca="1">IFERROR(($AO$2*INDEX(Indicators,MATCH($A116,INDEX(Indicators,0,4),0),MATCH($AK$2,INDEX(Indicators,1,0),0)))+($AO$3*INDEX(Indicators,MATCH($A116,INDEX(Indicators,0,4),0),MATCH($AK$3,INDEX(Indicators,1,0),0)))+(INDEX(Electricity_projection,MATCH(AL116&amp;AK116,INDEX(Electricity_projection,0,3),0),MATCH(YEAR(TODAY()),Timeline_elec_projec,0)+3)*$AO$4), 0)</f>
        <v>0</v>
      </c>
      <c r="AP116" cm="1">
        <f t="array" aca="1" ref="AP116" ca="1">IFERROR(($AP$2*INDEX(Indicators,MATCH($A116,INDEX(Indicators,0,4),0),MATCH($AK$2,INDEX(Indicators,1,0),0)))+($AP$3*INDEX(Indicators,MATCH($A116,INDEX(Indicators,0,4),0),MATCH($AK$3,INDEX(Indicators,1,0),0)))+(INDEX(Electricity_projection,MATCH(AL116&amp;AK116,INDEX(Electricity_projection,0,3),0),MATCH(YEAR(TODAY()),Timeline_elec_projec,0)+3)*$AP$4), 0)</f>
        <v>0</v>
      </c>
      <c r="AQ116">
        <f ca="1"/>
        <v>0</v>
      </c>
    </row>
    <row r="117" spans="1:43" x14ac:dyDescent="0.35">
      <c r="A117" t="str" cm="1">
        <f t="array" ref="A117">INDEX(Indicators,ROW()-9,4)</f>
        <v>A2ConsequentialIR</v>
      </c>
      <c r="B117" s="540" cm="1">
        <f t="array" aca="1" ref="B117:I117" ca="1">INDEX(Indicators,ROW()-9,MATCH(Handle_Wearing_Course,Materials!$1:$1,0))</f>
        <v>2.0754646754999999E-4</v>
      </c>
      <c r="C117" s="1">
        <f ca="1"/>
        <v>1.303468002E-4</v>
      </c>
      <c r="D117" s="1">
        <f ca="1"/>
        <v>6.8119090499999994E-5</v>
      </c>
      <c r="E117" s="1">
        <f ca="1"/>
        <v>0.20202027118025831</v>
      </c>
      <c r="F117" s="1">
        <f ca="1"/>
        <v>0</v>
      </c>
      <c r="G117" s="1">
        <f ca="1"/>
        <v>1.98E-7</v>
      </c>
      <c r="H117" s="1">
        <f ca="1"/>
        <v>0</v>
      </c>
      <c r="I117" s="212">
        <f ca="1"/>
        <v>0.20824400000000001</v>
      </c>
      <c r="J117" s="1">
        <v>0.22126099999999999</v>
      </c>
      <c r="K117" s="1">
        <v>0.20824400000000001</v>
      </c>
      <c r="L117" s="1">
        <v>0.20824400000000001</v>
      </c>
      <c r="O117" s="1">
        <f ca="1">SUMPRODUCT(B117:L117,$B$2:$L$2)+INDEX(Indicators,MATCH(A117,Materials!$D:$D),MATCH("Truck (32+t)",Materials!$1:$1,0))*'Data Entry'!$C$64</f>
        <v>1.2316309950312498E-2</v>
      </c>
      <c r="P117" s="1">
        <f ca="1">SUMPRODUCT(B117:L117,$B$3:$L$3)+INDEX(Indicators,MATCH(A117,Materials!$D:$D),MATCH("Truck (32+t)",Materials!$1:$1,0))*'Data Entry'!$C$72</f>
        <v>1.3470753679496999E-2</v>
      </c>
      <c r="Q117" s="1">
        <f ca="1">SUMPRODUCT(B117:L117,$B$4:$L$4)+INDEX(Indicators,MATCH(A117,Materials!$D:$D),MATCH("Truck (32+t)",Materials!$1:$1,0))*'Data Entry'!$C$66+$AQ$16</f>
        <v>1.4401526322713652E-2</v>
      </c>
      <c r="R117" s="1">
        <f ca="1">SUMPRODUCT(B117:L117,$B$5:$L$5)+INDEX(Indicators,MATCH(A117,Materials!$D:$D),MATCH("Truck (32+t)",Materials!$1:$1,0))*'Data Entry'!$C$68+$AQ$16</f>
        <v>1.451044157705913E-2</v>
      </c>
      <c r="S117" s="1">
        <f ca="1">SUMPRODUCT(B117:L117,$B$6:$L$6)+INDEX(Indicators,MATCH(A117,Materials!$D:$D),MATCH("Truck (32+t)",Materials!$1:$1,0))*'Data Entry'!$C$70+$AQ$16</f>
        <v>1.2439170026406567E-2</v>
      </c>
      <c r="T117" s="1">
        <f ca="1">SUMPRODUCT(B117:L117,$B$7:$L$7)+INDEX(Indicators,MATCH(A117,Materials!$D:$D),MATCH("Truck (32+t)",Materials!$1:$1,0))*'Data Entry'!$C$68+$AQ$16</f>
        <v>1.2532525958702695E-2</v>
      </c>
      <c r="U117" s="1">
        <f ca="1">SUMPRODUCT(B117:L117,$B$8:$L$8)+INDEX(Indicators,MATCH(A117,Materials!$D:$D),MATCH("Truck (32+t)",Materials!$1:$1,0))*'Data Entry'!$C$69+$AQ$16</f>
        <v>1.0421042779279485E-2</v>
      </c>
      <c r="V117" s="1">
        <f ca="1">SUMPRODUCT(B117:L117,$B$9:$L$9)+INDEX(Indicators,MATCH(A117,Materials!$D:$D),MATCH("Truck (32+t)",Materials!$1:$1,0))*'Data Entry'!$C$71</f>
        <v>1.17426751875E-4</v>
      </c>
      <c r="W117" s="1">
        <f ca="1">SUMPRODUCT(B117:L117,$B$10:$L$10)+INDEX(Indicators,MATCH(A117,Materials!$D:$D),MATCH("Truck (32+t)",Materials!$1:$1,0))*'Data Entry'!$C$72</f>
        <v>6.5340000000000001E-8</v>
      </c>
      <c r="Z117">
        <v>5.0500000000000003E-2</v>
      </c>
      <c r="AA117">
        <v>0.48553000000000002</v>
      </c>
      <c r="AB117">
        <v>0.13922999999999999</v>
      </c>
      <c r="AC117" s="209">
        <v>0.18221000000000001</v>
      </c>
      <c r="AD117" s="209"/>
      <c r="AF117" cm="1">
        <f t="array" ref="AF117">SUMPRODUCT($AF$2:$AF$5, TRANSPOSE($Z117:$AC117))</f>
        <v>0.22126099999999999</v>
      </c>
      <c r="AG117" cm="1">
        <f t="array" ref="AG117">SUMPRODUCT($AG$2:$AG$5, TRANSPOSE($Z117:$AC117))</f>
        <v>0.20824400000000001</v>
      </c>
      <c r="AH117" cm="1">
        <f t="array" ref="AH117">SUMPRODUCT($AH$2:$AH$5, TRANSPOSE($Z117:$AC117))</f>
        <v>0.20824400000000001</v>
      </c>
      <c r="AK117" t="s">
        <v>553</v>
      </c>
      <c r="AL117" t="s">
        <v>485</v>
      </c>
      <c r="AM117" cm="1">
        <f t="array" aca="1" ref="AM117" ca="1">IFERROR(($AM$2*INDEX(Indicators,MATCH($A117,INDEX(Indicators,0,4),0),MATCH($AK$2,INDEX(Indicators,1,0),0)))+($AM$3*INDEX(Indicators,MATCH($A117,INDEX(Indicators,0,4),0),MATCH($AK$3,INDEX(Indicators,1,0),0)))+(INDEX(Electricity_projection,MATCH(AL117&amp;AK117,INDEX(Electricity_projection,0,3),0),MATCH(YEAR(TODAY()),Timeline_elec_projec,0)+3)*$AM$4), 0)</f>
        <v>0</v>
      </c>
      <c r="AN117" cm="1">
        <f t="array" aca="1" ref="AN117" ca="1">IFERROR(($AN$2*INDEX(Indicators,MATCH($A117,INDEX(Indicators,0,4),0),MATCH($AK$2,INDEX(Indicators,1,0),0)))+($AN$3*INDEX(Indicators,MATCH($A117,INDEX(Indicators,0,4),0),MATCH($AK$3,INDEX(Indicators,1,0),0)))+(INDEX(Electricity_projection,MATCH(AL117&amp;AK117,INDEX(Electricity_projection,0,3),0),MATCH(YEAR(TODAY()),Timeline_elec_projec,0)+3)*$AN$4), 0)</f>
        <v>0</v>
      </c>
      <c r="AO117" cm="1">
        <f t="array" aca="1" ref="AO117" ca="1">IFERROR(($AO$2*INDEX(Indicators,MATCH($A117,INDEX(Indicators,0,4),0),MATCH($AK$2,INDEX(Indicators,1,0),0)))+($AO$3*INDEX(Indicators,MATCH($A117,INDEX(Indicators,0,4),0),MATCH($AK$3,INDEX(Indicators,1,0),0)))+(INDEX(Electricity_projection,MATCH(AL117&amp;AK117,INDEX(Electricity_projection,0,3),0),MATCH(YEAR(TODAY()),Timeline_elec_projec,0)+3)*$AO$4), 0)</f>
        <v>0</v>
      </c>
      <c r="AP117" cm="1">
        <f t="array" aca="1" ref="AP117" ca="1">IFERROR(($AP$2*INDEX(Indicators,MATCH($A117,INDEX(Indicators,0,4),0),MATCH($AK$2,INDEX(Indicators,1,0),0)))+($AP$3*INDEX(Indicators,MATCH($A117,INDEX(Indicators,0,4),0),MATCH($AK$3,INDEX(Indicators,1,0),0)))+(INDEX(Electricity_projection,MATCH(AL117&amp;AK117,INDEX(Electricity_projection,0,3),0),MATCH(YEAR(TODAY()),Timeline_elec_projec,0)+3)*$AP$4), 0)</f>
        <v>0</v>
      </c>
      <c r="AQ117">
        <f ca="1"/>
        <v>0</v>
      </c>
    </row>
    <row r="118" spans="1:43" x14ac:dyDescent="0.35">
      <c r="A118" t="str" cm="1">
        <f t="array" ref="A118">INDEX(Indicators,ROW()-9,4)</f>
        <v>A2ConsequentialLU</v>
      </c>
      <c r="B118" s="540" cm="1">
        <f t="array" aca="1" ref="B118:I118" ca="1">INDEX(Indicators,ROW()-9,MATCH(Handle_Wearing_Course,Materials!$1:$1,0))</f>
        <v>5.2052150981999994E-4</v>
      </c>
      <c r="C118" s="1">
        <f ca="1"/>
        <v>3.1878313128E-4</v>
      </c>
      <c r="D118" s="1">
        <f ca="1"/>
        <v>1.665957042E-4</v>
      </c>
      <c r="E118" s="1">
        <f ca="1"/>
        <v>0.47443830593838227</v>
      </c>
      <c r="F118" s="1">
        <f ca="1"/>
        <v>0</v>
      </c>
      <c r="G118" s="1">
        <f ca="1"/>
        <v>4.3600000000000003E-5</v>
      </c>
      <c r="H118" s="1">
        <f ca="1"/>
        <v>0</v>
      </c>
      <c r="I118" s="212">
        <f ca="1"/>
        <v>-0.51170900000000008</v>
      </c>
      <c r="J118" s="1">
        <v>-1.0933184999999999</v>
      </c>
      <c r="K118" s="1">
        <v>-0.51170900000000008</v>
      </c>
      <c r="L118" s="1">
        <v>-0.51170900000000008</v>
      </c>
      <c r="O118" s="1">
        <f ca="1">SUMPRODUCT(B118:L118,$B$2:$L$2)+INDEX(Indicators,MATCH(A118,Materials!$D:$D),MATCH("Truck (32+t)",Materials!$1:$1,0))*'Data Entry'!$C$64</f>
        <v>2.8955588575533736E-2</v>
      </c>
      <c r="P118" s="1">
        <f ca="1">SUMPRODUCT(B118:L118,$B$3:$L$3)+INDEX(Indicators,MATCH(A118,Materials!$D:$D),MATCH("Truck (32+t)",Materials!$1:$1,0))*'Data Entry'!$C$72</f>
        <v>-6.5109819780769185E-2</v>
      </c>
      <c r="Q118" s="1">
        <f ca="1">SUMPRODUCT(B118:L118,$B$4:$L$4)+INDEX(Indicators,MATCH(A118,Materials!$D:$D),MATCH("Truck (32+t)",Materials!$1:$1,0))*'Data Entry'!$C$66+$AQ$16</f>
        <v>3.3676056173665432E-2</v>
      </c>
      <c r="R118" s="1">
        <f ca="1">SUMPRODUCT(B118:L118,$B$5:$L$5)+INDEX(Indicators,MATCH(A118,Materials!$D:$D),MATCH("Truck (32+t)",Materials!$1:$1,0))*'Data Entry'!$C$68+$AQ$16</f>
        <v>1.6418478319743739E-2</v>
      </c>
      <c r="S118" s="1">
        <f ca="1">SUMPRODUCT(B118:L118,$B$6:$L$6)+INDEX(Indicators,MATCH(A118,Materials!$D:$D),MATCH("Truck (32+t)",Materials!$1:$1,0))*'Data Entry'!$C$70+$AQ$16</f>
        <v>2.9078448651627807E-2</v>
      </c>
      <c r="T118" s="1">
        <f ca="1">SUMPRODUCT(B118:L118,$B$7:$L$7)+INDEX(Indicators,MATCH(A118,Materials!$D:$D),MATCH("Truck (32+t)",Materials!$1:$1,0))*'Data Entry'!$C$68+$AQ$16</f>
        <v>1.4286239062552069E-2</v>
      </c>
      <c r="U118" s="1">
        <f ca="1">SUMPRODUCT(B118:L118,$B$8:$L$8)+INDEX(Indicators,MATCH(A118,Materials!$D:$D),MATCH("Truck (32+t)",Materials!$1:$1,0))*'Data Entry'!$C$69+$AQ$16</f>
        <v>2.4339270807342186E-2</v>
      </c>
      <c r="V118" s="1">
        <f ca="1">SUMPRODUCT(B118:L118,$B$9:$L$9)+INDEX(Indicators,MATCH(A118,Materials!$D:$D),MATCH("Truck (32+t)",Materials!$1:$1,0))*'Data Entry'!$C$71</f>
        <v>3.0011989574999995E-4</v>
      </c>
      <c r="W118" s="1">
        <f ca="1">SUMPRODUCT(B118:L118,$B$10:$L$10)+INDEX(Indicators,MATCH(A118,Materials!$D:$D),MATCH("Truck (32+t)",Materials!$1:$1,0))*'Data Entry'!$C$72</f>
        <v>1.4388000000000002E-5</v>
      </c>
      <c r="Z118">
        <v>2.5734300000000001</v>
      </c>
      <c r="AA118">
        <v>-12.116429999999999</v>
      </c>
      <c r="AB118">
        <v>1.7872600000000001</v>
      </c>
      <c r="AC118" s="209">
        <v>0.65151000000000003</v>
      </c>
      <c r="AD118" s="209"/>
      <c r="AF118" cm="1">
        <f t="array" ref="AF118">SUMPRODUCT($AF$2:$AF$5, TRANSPOSE($Z118:$AC118))</f>
        <v>-1.0933184999999999</v>
      </c>
      <c r="AG118" cm="1">
        <f t="array" ref="AG118">SUMPRODUCT($AG$2:$AG$5, TRANSPOSE($Z118:$AC118))</f>
        <v>-0.51170900000000008</v>
      </c>
      <c r="AH118" cm="1">
        <f t="array" ref="AH118">SUMPRODUCT($AH$2:$AH$5, TRANSPOSE($Z118:$AC118))</f>
        <v>-0.51170900000000008</v>
      </c>
      <c r="AK118" t="s">
        <v>424</v>
      </c>
      <c r="AL118" t="s">
        <v>485</v>
      </c>
      <c r="AM118" cm="1">
        <f t="array" aca="1" ref="AM118" ca="1">IFERROR(($AM$2*INDEX(Indicators,MATCH($A118,INDEX(Indicators,0,4),0),MATCH($AK$2,INDEX(Indicators,1,0),0)))+($AM$3*INDEX(Indicators,MATCH($A118,INDEX(Indicators,0,4),0),MATCH($AK$3,INDEX(Indicators,1,0),0)))+(INDEX(Electricity_projection,MATCH(AL118&amp;AK118,INDEX(Electricity_projection,0,3),0),MATCH(YEAR(TODAY()),Timeline_elec_projec,0)+3)*$AM$4), 0)</f>
        <v>0</v>
      </c>
      <c r="AN118" cm="1">
        <f t="array" aca="1" ref="AN118" ca="1">IFERROR(($AN$2*INDEX(Indicators,MATCH($A118,INDEX(Indicators,0,4),0),MATCH($AK$2,INDEX(Indicators,1,0),0)))+($AN$3*INDEX(Indicators,MATCH($A118,INDEX(Indicators,0,4),0),MATCH($AK$3,INDEX(Indicators,1,0),0)))+(INDEX(Electricity_projection,MATCH(AL118&amp;AK118,INDEX(Electricity_projection,0,3),0),MATCH(YEAR(TODAY()),Timeline_elec_projec,0)+3)*$AN$4), 0)</f>
        <v>0</v>
      </c>
      <c r="AO118" cm="1">
        <f t="array" aca="1" ref="AO118" ca="1">IFERROR(($AO$2*INDEX(Indicators,MATCH($A118,INDEX(Indicators,0,4),0),MATCH($AK$2,INDEX(Indicators,1,0),0)))+($AO$3*INDEX(Indicators,MATCH($A118,INDEX(Indicators,0,4),0),MATCH($AK$3,INDEX(Indicators,1,0),0)))+(INDEX(Electricity_projection,MATCH(AL118&amp;AK118,INDEX(Electricity_projection,0,3),0),MATCH(YEAR(TODAY()),Timeline_elec_projec,0)+3)*$AO$4), 0)</f>
        <v>0</v>
      </c>
      <c r="AP118" cm="1">
        <f t="array" aca="1" ref="AP118" ca="1">IFERROR(($AP$2*INDEX(Indicators,MATCH($A118,INDEX(Indicators,0,4),0),MATCH($AK$2,INDEX(Indicators,1,0),0)))+($AP$3*INDEX(Indicators,MATCH($A118,INDEX(Indicators,0,4),0),MATCH($AK$3,INDEX(Indicators,1,0),0)))+(INDEX(Electricity_projection,MATCH(AL118&amp;AK118,INDEX(Electricity_projection,0,3),0),MATCH(YEAR(TODAY()),Timeline_elec_projec,0)+3)*$AP$4), 0)</f>
        <v>0</v>
      </c>
      <c r="AQ118">
        <f ca="1"/>
        <v>0</v>
      </c>
    </row>
    <row r="119" spans="1:43" x14ac:dyDescent="0.35">
      <c r="A119" t="str" cm="1">
        <f t="array" ref="A119">INDEX(Indicators,ROW()-9,4)</f>
        <v>A2ConsequentialPM</v>
      </c>
      <c r="B119" s="540" cm="1">
        <f t="array" aca="1" ref="B119:I119" ca="1">INDEX(Indicators,ROW()-9,MATCH(Handle_Wearing_Course,Materials!$1:$1,0))</f>
        <v>4.8498675925395112E-11</v>
      </c>
      <c r="C119" s="1">
        <f ca="1"/>
        <v>3.0166124716219823E-11</v>
      </c>
      <c r="D119" s="1">
        <f ca="1"/>
        <v>1.576478269067985E-11</v>
      </c>
      <c r="E119" s="1">
        <f ca="1"/>
        <v>2.4928911609297552E-8</v>
      </c>
      <c r="F119" s="1">
        <f ca="1"/>
        <v>0</v>
      </c>
      <c r="G119" s="1">
        <f ca="1"/>
        <v>1.6E-12</v>
      </c>
      <c r="H119" s="1">
        <f ca="1"/>
        <v>0</v>
      </c>
      <c r="I119" s="212">
        <f ca="1"/>
        <v>1.38887E-8</v>
      </c>
      <c r="J119" s="1">
        <v>9.183049999999998E-9</v>
      </c>
      <c r="K119" s="1">
        <v>1.38887E-8</v>
      </c>
      <c r="L119" s="1">
        <v>1.38887E-8</v>
      </c>
      <c r="O119" s="1">
        <f ca="1">SUMPRODUCT(B119:L119,$B$2:$L$2)+INDEX(Indicators,MATCH(A119,Materials!$D:$D),MATCH("Truck (32+t)",Materials!$1:$1,0))*'Data Entry'!$C$64</f>
        <v>1.5413234519277244E-9</v>
      </c>
      <c r="P119" s="1">
        <f ca="1">SUMPRODUCT(B119:L119,$B$3:$L$3)+INDEX(Indicators,MATCH(A119,Materials!$D:$D),MATCH("Truck (32+t)",Materials!$1:$1,0))*'Data Entry'!$C$72</f>
        <v>5.9657175536987123E-10</v>
      </c>
      <c r="Q119" s="1">
        <f ca="1">SUMPRODUCT(B119:L119,$B$4:$L$4)+INDEX(Indicators,MATCH(A119,Materials!$D:$D),MATCH("Truck (32+t)",Materials!$1:$1,0))*'Data Entry'!$C$66+$AQ$16</f>
        <v>1.2286185312809322E-4</v>
      </c>
      <c r="R119" s="1">
        <f ca="1">SUMPRODUCT(B119:L119,$B$5:$L$5)+INDEX(Indicators,MATCH(A119,Materials!$D:$D),MATCH("Truck (32+t)",Materials!$1:$1,0))*'Data Entry'!$C$68+$AQ$16</f>
        <v>1.2286165992439005E-4</v>
      </c>
      <c r="S119" s="1">
        <f ca="1">SUMPRODUCT(B119:L119,$B$6:$L$6)+INDEX(Indicators,MATCH(A119,Materials!$D:$D),MATCH("Truck (32+t)",Materials!$1:$1,0))*'Data Entry'!$C$70+$AQ$16</f>
        <v>1.2286161741752118E-4</v>
      </c>
      <c r="T119" s="1">
        <f ca="1">SUMPRODUCT(B119:L119,$B$7:$L$7)+INDEX(Indicators,MATCH(A119,Materials!$D:$D),MATCH("Truck (32+t)",Materials!$1:$1,0))*'Data Entry'!$C$68+$AQ$16</f>
        <v>1.2286145181434705E-4</v>
      </c>
      <c r="U119" s="1">
        <f ca="1">SUMPRODUCT(B119:L119,$B$8:$L$8)+INDEX(Indicators,MATCH(A119,Materials!$D:$D),MATCH("Truck (32+t)",Materials!$1:$1,0))*'Data Entry'!$C$69+$AQ$16</f>
        <v>1.2286136861339183E-4</v>
      </c>
      <c r="V119" s="1">
        <f ca="1">SUMPRODUCT(B119:L119,$B$9:$L$9)+INDEX(Indicators,MATCH(A119,Materials!$D:$D),MATCH("Truck (32+t)",Materials!$1:$1,0))*'Data Entry'!$C$71</f>
        <v>2.7642294500833527E-11</v>
      </c>
      <c r="W119" s="1">
        <f ca="1">SUMPRODUCT(B119:L119,$B$10:$L$10)+INDEX(Indicators,MATCH(A119,Materials!$D:$D),MATCH("Truck (32+t)",Materials!$1:$1,0))*'Data Entry'!$C$72</f>
        <v>5.2800000000000007E-13</v>
      </c>
      <c r="Z119" s="1">
        <v>6.8121099999999997E-8</v>
      </c>
      <c r="AA119" s="1">
        <v>-1.4178099999999999E-7</v>
      </c>
      <c r="AB119" s="1">
        <v>9.4267999999999994E-8</v>
      </c>
      <c r="AC119" s="209">
        <v>2.33E-8</v>
      </c>
      <c r="AD119" s="209"/>
      <c r="AF119" cm="1">
        <f t="array" ref="AF119">SUMPRODUCT($AF$2:$AF$5, TRANSPOSE($Z119:$AC119))</f>
        <v>9.183049999999998E-9</v>
      </c>
      <c r="AG119" cm="1">
        <f t="array" ref="AG119">SUMPRODUCT($AG$2:$AG$5, TRANSPOSE($Z119:$AC119))</f>
        <v>1.38887E-8</v>
      </c>
      <c r="AH119" cm="1">
        <f t="array" ref="AH119">SUMPRODUCT($AH$2:$AH$5, TRANSPOSE($Z119:$AC119))</f>
        <v>1.38887E-8</v>
      </c>
      <c r="AK119" t="s">
        <v>556</v>
      </c>
      <c r="AL119" t="s">
        <v>485</v>
      </c>
      <c r="AM119" cm="1">
        <f t="array" aca="1" ref="AM119" ca="1">IFERROR(($AM$2*INDEX(Indicators,MATCH($A119,INDEX(Indicators,0,4),0),MATCH($AK$2,INDEX(Indicators,1,0),0)))+($AM$3*INDEX(Indicators,MATCH($A119,INDEX(Indicators,0,4),0),MATCH($AK$3,INDEX(Indicators,1,0),0)))+(INDEX(Electricity_projection,MATCH(AL119&amp;AK119,INDEX(Electricity_projection,0,3),0),MATCH(YEAR(TODAY()),Timeline_elec_projec,0)+3)*$AM$4), 0)</f>
        <v>0</v>
      </c>
      <c r="AN119" cm="1">
        <f t="array" aca="1" ref="AN119" ca="1">IFERROR(($AN$2*INDEX(Indicators,MATCH($A119,INDEX(Indicators,0,4),0),MATCH($AK$2,INDEX(Indicators,1,0),0)))+($AN$3*INDEX(Indicators,MATCH($A119,INDEX(Indicators,0,4),0),MATCH($AK$3,INDEX(Indicators,1,0),0)))+(INDEX(Electricity_projection,MATCH(AL119&amp;AK119,INDEX(Electricity_projection,0,3),0),MATCH(YEAR(TODAY()),Timeline_elec_projec,0)+3)*$AN$4), 0)</f>
        <v>0</v>
      </c>
      <c r="AO119" cm="1">
        <f t="array" aca="1" ref="AO119" ca="1">IFERROR(($AO$2*INDEX(Indicators,MATCH($A119,INDEX(Indicators,0,4),0),MATCH($AK$2,INDEX(Indicators,1,0),0)))+($AO$3*INDEX(Indicators,MATCH($A119,INDEX(Indicators,0,4),0),MATCH($AK$3,INDEX(Indicators,1,0),0)))+(INDEX(Electricity_projection,MATCH(AL119&amp;AK119,INDEX(Electricity_projection,0,3),0),MATCH(YEAR(TODAY()),Timeline_elec_projec,0)+3)*$AO$4), 0)</f>
        <v>0</v>
      </c>
      <c r="AP119" cm="1">
        <f t="array" aca="1" ref="AP119" ca="1">IFERROR(($AP$2*INDEX(Indicators,MATCH($A119,INDEX(Indicators,0,4),0),MATCH($AK$2,INDEX(Indicators,1,0),0)))+($AP$3*INDEX(Indicators,MATCH($A119,INDEX(Indicators,0,4),0),MATCH($AK$3,INDEX(Indicators,1,0),0)))+(INDEX(Electricity_projection,MATCH(AL119&amp;AK119,INDEX(Electricity_projection,0,3),0),MATCH(YEAR(TODAY()),Timeline_elec_projec,0)+3)*$AP$4), 0)</f>
        <v>0</v>
      </c>
      <c r="AQ119">
        <f ca="1"/>
        <v>0</v>
      </c>
    </row>
    <row r="120" spans="1:43" x14ac:dyDescent="0.35">
      <c r="B120" s="8"/>
      <c r="I120" s="7"/>
      <c r="S120" s="4"/>
      <c r="T120" s="4"/>
      <c r="V120" s="4"/>
      <c r="Z120" s="1"/>
      <c r="AA120" s="1"/>
      <c r="AB120" s="1"/>
      <c r="AC120" s="209"/>
      <c r="AD120" s="209"/>
    </row>
    <row r="121" spans="1:43" x14ac:dyDescent="0.35">
      <c r="B121" s="8"/>
      <c r="I121" s="7"/>
      <c r="S121" s="4"/>
      <c r="T121" s="4"/>
      <c r="V121" s="4"/>
      <c r="Z121" s="1"/>
      <c r="AA121" s="1"/>
      <c r="AB121" s="1"/>
      <c r="AC121" s="209"/>
      <c r="AD121" s="209"/>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CA9CA-BEFA-489B-855A-87CC4F05523C}">
  <sheetPr codeName="Sheet6">
    <tabColor theme="0" tint="-0.499984740745262"/>
  </sheetPr>
  <dimension ref="A1:L72"/>
  <sheetViews>
    <sheetView topLeftCell="A62" workbookViewId="0">
      <selection activeCell="D15" sqref="D15"/>
    </sheetView>
  </sheetViews>
  <sheetFormatPr defaultRowHeight="14.5" x14ac:dyDescent="0.35"/>
  <cols>
    <col min="1" max="1" width="19.54296875" customWidth="1"/>
    <col min="2" max="2" width="13.453125" customWidth="1"/>
    <col min="3" max="3" width="20.81640625" customWidth="1"/>
    <col min="4" max="4" width="30" customWidth="1"/>
    <col min="5" max="5" width="28.453125" customWidth="1"/>
    <col min="6" max="6" width="32" customWidth="1"/>
    <col min="7" max="7" width="29.26953125" customWidth="1"/>
    <col min="8" max="8" width="19.453125" customWidth="1"/>
    <col min="9" max="9" width="12.54296875" bestFit="1" customWidth="1"/>
    <col min="10" max="10" width="8.7265625" customWidth="1"/>
    <col min="11" max="25" width="12.54296875" bestFit="1" customWidth="1"/>
  </cols>
  <sheetData>
    <row r="1" spans="1:12" s="14" customFormat="1" ht="21" x14ac:dyDescent="0.5">
      <c r="A1" s="66" t="s">
        <v>811</v>
      </c>
    </row>
    <row r="3" spans="1:12" x14ac:dyDescent="0.35">
      <c r="D3" s="15"/>
    </row>
    <row r="4" spans="1:12" s="2" customFormat="1" ht="72.5" x14ac:dyDescent="0.35">
      <c r="A4" s="67" t="s">
        <v>812</v>
      </c>
      <c r="B4" s="68" t="s">
        <v>813</v>
      </c>
      <c r="C4" s="13" t="s">
        <v>814</v>
      </c>
      <c r="D4" s="33" t="s">
        <v>815</v>
      </c>
      <c r="E4" s="13" t="s">
        <v>816</v>
      </c>
      <c r="F4" s="13" t="s">
        <v>817</v>
      </c>
      <c r="G4" s="12" t="s">
        <v>818</v>
      </c>
      <c r="H4" s="12" t="s">
        <v>819</v>
      </c>
    </row>
    <row r="5" spans="1:12" x14ac:dyDescent="0.35">
      <c r="A5" t="s">
        <v>820</v>
      </c>
      <c r="B5" s="7" t="s">
        <v>132</v>
      </c>
      <c r="C5" s="57">
        <f>(9.81*800/145150)^2</f>
        <v>2.9233708248881714E-3</v>
      </c>
      <c r="D5" s="62">
        <f>0.2*Traffic_flow*((speed_limit/100)^2)*Table8[[#This Row],[Axle weight transformation]]</f>
        <v>0</v>
      </c>
      <c r="E5" s="54">
        <v>0.15</v>
      </c>
      <c r="F5" s="60">
        <f>Table8[[#This Row],[Excess energy due to pavement deflection, for each vehicle type (MJ/km)]]*P_Length/1000/Table8[[#This Row],[Driving efficiency of vehicle (electricity includes losses due to charging)]]</f>
        <v>0</v>
      </c>
      <c r="G5" s="20">
        <f>Table8[[#This Row],[Daily excess energy required due to pavement deflection, for each vehicle type across the project accounting for operating efficiciencies (MJ/day)]]*365</f>
        <v>0</v>
      </c>
      <c r="H5" s="16">
        <v>45.8</v>
      </c>
      <c r="L5" s="2"/>
    </row>
    <row r="6" spans="1:12" x14ac:dyDescent="0.35">
      <c r="B6" s="7" t="s">
        <v>821</v>
      </c>
      <c r="C6" s="58">
        <f>(9.81*800/145150)^2</f>
        <v>2.9233708248881714E-3</v>
      </c>
      <c r="D6" s="63">
        <f>0.2*Traffic_flow*((speed_limit/100)^2)*Table8[[#This Row],[Axle weight transformation]]</f>
        <v>0</v>
      </c>
      <c r="E6" s="55">
        <v>0.15</v>
      </c>
      <c r="F6" s="61">
        <f>Table8[[#This Row],[Excess energy due to pavement deflection, for each vehicle type (MJ/km)]]*P_Length/1000/Table8[[#This Row],[Driving efficiency of vehicle (electricity includes losses due to charging)]]</f>
        <v>0</v>
      </c>
      <c r="G6" s="20">
        <f>Table8[[#This Row],[Daily excess energy required due to pavement deflection, for each vehicle type across the project accounting for operating efficiciencies (MJ/day)]]*365</f>
        <v>0</v>
      </c>
      <c r="H6" s="8">
        <v>46.5</v>
      </c>
      <c r="L6" s="2"/>
    </row>
    <row r="7" spans="1:12" x14ac:dyDescent="0.35">
      <c r="A7" s="9"/>
      <c r="B7" s="18" t="s">
        <v>822</v>
      </c>
      <c r="C7" s="59">
        <f>(9.81*800/145150)^2</f>
        <v>2.9233708248881714E-3</v>
      </c>
      <c r="D7" s="64">
        <f>0.2*Traffic_flow*((speed_limit/100)^2)*Table8[[#This Row],[Axle weight transformation]]</f>
        <v>0</v>
      </c>
      <c r="E7" s="56">
        <v>0.8</v>
      </c>
      <c r="F7" s="61">
        <f>Table8[[#This Row],[Excess energy due to pavement deflection, for each vehicle type (MJ/km)]]*P_Length/1000/Table8[[#This Row],[Driving efficiency of vehicle (electricity includes losses due to charging)]]</f>
        <v>0</v>
      </c>
      <c r="G7" s="20">
        <f>Table8[[#This Row],[Daily excess energy required due to pavement deflection, for each vehicle type across the project accounting for operating efficiciencies (MJ/day)]]*365</f>
        <v>0</v>
      </c>
      <c r="H7" s="17">
        <v>1</v>
      </c>
      <c r="L7" s="2"/>
    </row>
    <row r="8" spans="1:12" x14ac:dyDescent="0.35">
      <c r="A8" s="5" t="s">
        <v>823</v>
      </c>
      <c r="B8" s="6" t="s">
        <v>132</v>
      </c>
      <c r="C8" s="11">
        <v>1</v>
      </c>
      <c r="D8" s="62">
        <f>0.2*Traffic_flow*((speed_limit/100)^2)*Table8[[#This Row],[Axle weight transformation]]</f>
        <v>0</v>
      </c>
      <c r="E8" s="55">
        <v>0.15</v>
      </c>
      <c r="F8" s="60">
        <f>Table8[[#This Row],[Excess energy due to pavement deflection, for each vehicle type (MJ/km)]]*P_Length/1000/Table8[[#This Row],[Driving efficiency of vehicle (electricity includes losses due to charging)]]</f>
        <v>0</v>
      </c>
      <c r="G8" s="60">
        <f>Table8[[#This Row],[Daily excess energy required due to pavement deflection, for each vehicle type across the project accounting for operating efficiciencies (MJ/day)]]*365</f>
        <v>0</v>
      </c>
      <c r="H8" s="8">
        <v>45.8</v>
      </c>
      <c r="L8" s="2"/>
    </row>
    <row r="9" spans="1:12" x14ac:dyDescent="0.35">
      <c r="B9" s="7" t="s">
        <v>821</v>
      </c>
      <c r="C9" s="11">
        <v>1</v>
      </c>
      <c r="D9" s="63">
        <f>0.2*Traffic_flow*((speed_limit/100)^2)*Table8[[#This Row],[Axle weight transformation]]</f>
        <v>0</v>
      </c>
      <c r="E9" s="55">
        <v>0.15</v>
      </c>
      <c r="F9" s="61">
        <f>Table8[[#This Row],[Excess energy due to pavement deflection, for each vehicle type (MJ/km)]]*P_Length/1000/Table8[[#This Row],[Driving efficiency of vehicle (electricity includes losses due to charging)]]</f>
        <v>0</v>
      </c>
      <c r="G9" s="61">
        <f>Table8[[#This Row],[Daily excess energy required due to pavement deflection, for each vehicle type across the project accounting for operating efficiciencies (MJ/day)]]*365</f>
        <v>0</v>
      </c>
      <c r="H9" s="8">
        <v>46.5</v>
      </c>
      <c r="L9" s="2"/>
    </row>
    <row r="10" spans="1:12" x14ac:dyDescent="0.35">
      <c r="B10" s="7" t="s">
        <v>822</v>
      </c>
      <c r="C10" s="11">
        <v>1</v>
      </c>
      <c r="D10" s="63">
        <f>0.2*Traffic_flow*((speed_limit/100)^2)*Table8[[#This Row],[Axle weight transformation]]</f>
        <v>0</v>
      </c>
      <c r="E10" s="55">
        <v>0.8</v>
      </c>
      <c r="F10" s="61">
        <f>Table8[[#This Row],[Excess energy due to pavement deflection, for each vehicle type (MJ/km)]]*P_Length/1000/Table8[[#This Row],[Driving efficiency of vehicle (electricity includes losses due to charging)]]</f>
        <v>0</v>
      </c>
      <c r="G10" s="61">
        <f>Table8[[#This Row],[Daily excess energy required due to pavement deflection, for each vehicle type across the project accounting for operating efficiciencies (MJ/day)]]*365</f>
        <v>0</v>
      </c>
      <c r="H10" s="8">
        <v>1</v>
      </c>
      <c r="L10" s="2"/>
    </row>
    <row r="11" spans="1:12" x14ac:dyDescent="0.35">
      <c r="B11" s="7" t="s">
        <v>824</v>
      </c>
      <c r="C11" s="11">
        <v>1</v>
      </c>
      <c r="D11" s="63">
        <f>0.2*Traffic_flow*((speed_limit/100)^2)*Table8[[#This Row],[Axle weight transformation]]</f>
        <v>0</v>
      </c>
      <c r="E11" s="55">
        <v>0.15</v>
      </c>
      <c r="F11" s="61">
        <f>Table8[[#This Row],[Excess energy due to pavement deflection, for each vehicle type (MJ/km)]]*P_Length/1000/Table8[[#This Row],[Driving efficiency of vehicle (electricity includes losses due to charging)]]</f>
        <v>0</v>
      </c>
      <c r="G11" s="61">
        <f>Table8[[#This Row],[Daily excess energy required due to pavement deflection, for each vehicle type across the project accounting for operating efficiciencies (MJ/day)]]*365</f>
        <v>0</v>
      </c>
      <c r="H11" s="8">
        <v>40.200000000000003</v>
      </c>
    </row>
    <row r="12" spans="1:12" x14ac:dyDescent="0.35">
      <c r="D12" s="19" t="s">
        <v>825</v>
      </c>
    </row>
    <row r="13" spans="1:12" x14ac:dyDescent="0.35">
      <c r="D13" s="19"/>
    </row>
    <row r="14" spans="1:12" x14ac:dyDescent="0.35">
      <c r="D14" s="19"/>
    </row>
    <row r="15" spans="1:12" ht="43.5" x14ac:dyDescent="0.35">
      <c r="A15" s="53" t="s">
        <v>826</v>
      </c>
      <c r="B15" s="3" t="s">
        <v>827</v>
      </c>
      <c r="D15" s="19"/>
    </row>
    <row r="16" spans="1:12" x14ac:dyDescent="0.35">
      <c r="A16" s="72" cm="1">
        <f t="array" aca="1" ref="A16:J16" ca="1">(INDEX(Indicators,MATCH(EPD_version&amp;"GWP",Materials!$D:$D,0),MATCH("diesel combustion (vehicle)",Materials!$1:$1,0))*((1-enviro_disc)^Handle_years)*Handle_electricity_emissions:OFFSET(Handle_electricity_emissions,0,Results_timespan-1)^0)</f>
        <v>3.1292742206632127</v>
      </c>
      <c r="B16">
        <f ca="1"/>
        <v>3.09798147845658</v>
      </c>
      <c r="C16">
        <f ca="1"/>
        <v>3.0670016636720145</v>
      </c>
      <c r="D16" s="19">
        <f ca="1"/>
        <v>3.0363316470352943</v>
      </c>
      <c r="E16">
        <f ca="1"/>
        <v>3.0059683305649414</v>
      </c>
      <c r="F16">
        <f ca="1"/>
        <v>2.9759086472592919</v>
      </c>
      <c r="G16">
        <f ca="1"/>
        <v>2.946149560786699</v>
      </c>
      <c r="H16">
        <f ca="1"/>
        <v>2.9166880651788318</v>
      </c>
      <c r="I16">
        <f ca="1"/>
        <v>2.8875211845270434</v>
      </c>
      <c r="J16">
        <f ca="1"/>
        <v>2.858645972681773</v>
      </c>
    </row>
    <row r="17" spans="1:10" x14ac:dyDescent="0.35">
      <c r="A17" s="73" cm="1">
        <f t="array" aca="1" ref="A17:J17" ca="1">(INDEX(Indicators,MATCH(EPD_version&amp;"GWP",Materials!$D:$D,0),MATCH("petrol combustion",Materials!$1:$1,0))*((1-enviro_disc)^Handle_years)*Handle_electricity_emissions:OFFSET(Handle_electricity_emissions,0,Results_timespan-1)^0)</f>
        <v>3.2037300692492829</v>
      </c>
      <c r="B17">
        <f ca="1"/>
        <v>3.1716927685567899</v>
      </c>
      <c r="C17">
        <f ca="1"/>
        <v>3.1399758408712222</v>
      </c>
      <c r="D17" s="19">
        <f ca="1"/>
        <v>3.1085760824625099</v>
      </c>
      <c r="E17">
        <f ca="1"/>
        <v>3.0774903216378848</v>
      </c>
      <c r="F17">
        <f ca="1"/>
        <v>3.0467154184215057</v>
      </c>
      <c r="G17">
        <f ca="1"/>
        <v>3.0162482642372908</v>
      </c>
      <c r="H17">
        <f ca="1"/>
        <v>2.9860857815949178</v>
      </c>
      <c r="I17">
        <f ca="1"/>
        <v>2.9562249237789686</v>
      </c>
      <c r="J17">
        <f ca="1"/>
        <v>2.9266626745411788</v>
      </c>
    </row>
    <row r="18" spans="1:10" x14ac:dyDescent="0.35">
      <c r="A18" s="74" cm="1">
        <f t="array" aca="1" ref="A18:J18" ca="1">(Handle_electricity_emissions:OFFSET(Handle_electricity_emissions,0,Results_timespan-1)*((1-enviro_disc)^Handle_years))</f>
        <v>5.238934939985853E-2</v>
      </c>
      <c r="B18" s="65">
        <f ca="1"/>
        <v>5.0164949154848142E-2</v>
      </c>
      <c r="C18">
        <f ca="1"/>
        <v>4.4612794612794618E-2</v>
      </c>
      <c r="D18" s="19">
        <f ca="1"/>
        <v>4.4722222222222226E-2</v>
      </c>
      <c r="E18">
        <f ca="1"/>
        <v>4.4275000000000002E-2</v>
      </c>
      <c r="F18">
        <f ca="1"/>
        <v>4.2471000000000002E-2</v>
      </c>
      <c r="G18">
        <f ca="1"/>
        <v>4.1507234999999996E-2</v>
      </c>
      <c r="H18">
        <f ca="1"/>
        <v>4.0825330424999993E-2</v>
      </c>
      <c r="I18">
        <f ca="1"/>
        <v>4.0182997268507499E-2</v>
      </c>
      <c r="J18">
        <f ca="1"/>
        <v>3.4775765971427744E-2</v>
      </c>
    </row>
    <row r="19" spans="1:10" x14ac:dyDescent="0.35">
      <c r="A19" s="72" cm="1">
        <f t="array" aca="1" ref="A19:J19" ca="1">(INDEX(Indicators,MATCH(EPD_version&amp;"GWP",Materials!$D:$D,0),MATCH("diesel combustion (vehicle)",Materials!$1:$1,0))*((1-enviro_disc)^Handle_years)*Handle_electricity_emissions:OFFSET(Handle_electricity_emissions,0,Results_timespan-1)^0)</f>
        <v>3.1292742206632127</v>
      </c>
      <c r="B19">
        <f ca="1"/>
        <v>3.09798147845658</v>
      </c>
      <c r="C19">
        <f ca="1"/>
        <v>3.0670016636720145</v>
      </c>
      <c r="D19" s="19">
        <f ca="1"/>
        <v>3.0363316470352943</v>
      </c>
      <c r="E19">
        <f ca="1"/>
        <v>3.0059683305649414</v>
      </c>
      <c r="F19">
        <f ca="1"/>
        <v>2.9759086472592919</v>
      </c>
      <c r="G19">
        <f ca="1"/>
        <v>2.946149560786699</v>
      </c>
      <c r="H19">
        <f ca="1"/>
        <v>2.9166880651788318</v>
      </c>
      <c r="I19">
        <f ca="1"/>
        <v>2.8875211845270434</v>
      </c>
      <c r="J19">
        <f ca="1"/>
        <v>2.858645972681773</v>
      </c>
    </row>
    <row r="20" spans="1:10" x14ac:dyDescent="0.35">
      <c r="A20" s="73" cm="1">
        <f t="array" aca="1" ref="A20:J20" ca="1">(INDEX(Indicators,MATCH(EPD_version&amp;"GWP",Materials!$D:$D,0),MATCH("petrol combustion",Materials!$1:$1,0))*((1-enviro_disc)^Handle_years)*Handle_electricity_emissions:OFFSET(Handle_electricity_emissions,0,Results_timespan-1)^0)</f>
        <v>3.2037300692492829</v>
      </c>
      <c r="B20">
        <f ca="1"/>
        <v>3.1716927685567899</v>
      </c>
      <c r="C20">
        <f ca="1"/>
        <v>3.1399758408712222</v>
      </c>
      <c r="D20" s="19">
        <f ca="1"/>
        <v>3.1085760824625099</v>
      </c>
      <c r="E20">
        <f ca="1"/>
        <v>3.0774903216378848</v>
      </c>
      <c r="F20">
        <f ca="1"/>
        <v>3.0467154184215057</v>
      </c>
      <c r="G20">
        <f ca="1"/>
        <v>3.0162482642372908</v>
      </c>
      <c r="H20">
        <f ca="1"/>
        <v>2.9860857815949178</v>
      </c>
      <c r="I20">
        <f ca="1"/>
        <v>2.9562249237789686</v>
      </c>
      <c r="J20">
        <f ca="1"/>
        <v>2.9266626745411788</v>
      </c>
    </row>
    <row r="21" spans="1:10" x14ac:dyDescent="0.35">
      <c r="A21" s="74" cm="1">
        <f t="array" aca="1" ref="A21:J21" ca="1">(Handle_electricity_emissions:OFFSET(Handle_electricity_emissions,0,Results_timespan-1)*((1-enviro_disc)^Handle_years))</f>
        <v>5.238934939985853E-2</v>
      </c>
      <c r="B21">
        <f ca="1"/>
        <v>5.0164949154848142E-2</v>
      </c>
      <c r="C21">
        <f ca="1"/>
        <v>4.4612794612794618E-2</v>
      </c>
      <c r="D21" s="19">
        <f ca="1"/>
        <v>4.4722222222222226E-2</v>
      </c>
      <c r="E21">
        <f ca="1"/>
        <v>4.4275000000000002E-2</v>
      </c>
      <c r="F21">
        <f ca="1"/>
        <v>4.2471000000000002E-2</v>
      </c>
      <c r="G21">
        <f ca="1"/>
        <v>4.1507234999999996E-2</v>
      </c>
      <c r="H21">
        <f ca="1"/>
        <v>4.0825330424999993E-2</v>
      </c>
      <c r="I21">
        <f ca="1"/>
        <v>4.0182997268507499E-2</v>
      </c>
      <c r="J21">
        <f ca="1"/>
        <v>3.4775765971427744E-2</v>
      </c>
    </row>
    <row r="22" spans="1:10" x14ac:dyDescent="0.35">
      <c r="A22" s="75" cm="1">
        <f t="array" aca="1" ref="A22:J22" ca="1">(INDEX(Indicators,MATCH(EPD_version&amp;"GWP",Materials!$D:$D,0),MATCH("bio-diesel combustion",Materials!$1:$1,0))*((1-enviro_disc)^Handle_years)*Handle_electricity_emissions:OFFSET(Handle_electricity_emissions,0,Results_timespan-1)^0)</f>
        <v>4.1066851558127955E-2</v>
      </c>
      <c r="B22">
        <f ca="1"/>
        <v>4.0656183042546673E-2</v>
      </c>
      <c r="C22">
        <f ca="1"/>
        <v>4.0249621212121209E-2</v>
      </c>
      <c r="D22" s="19">
        <f ca="1"/>
        <v>3.9847124999999997E-2</v>
      </c>
      <c r="E22">
        <f ca="1"/>
        <v>3.944865375E-2</v>
      </c>
      <c r="F22">
        <f ca="1"/>
        <v>3.9054167212499998E-2</v>
      </c>
      <c r="G22">
        <f ca="1"/>
        <v>3.8663625540374995E-2</v>
      </c>
      <c r="H22">
        <f ca="1"/>
        <v>3.8276989284971245E-2</v>
      </c>
      <c r="I22">
        <f ca="1"/>
        <v>3.789421939212153E-2</v>
      </c>
      <c r="J22">
        <f ca="1"/>
        <v>3.7515277198200317E-2</v>
      </c>
    </row>
    <row r="23" spans="1:10" x14ac:dyDescent="0.35">
      <c r="A23" s="76"/>
      <c r="D23" s="19"/>
    </row>
    <row r="24" spans="1:10" x14ac:dyDescent="0.35">
      <c r="A24" s="77" t="s">
        <v>828</v>
      </c>
      <c r="D24" s="19"/>
    </row>
    <row r="25" spans="1:10" x14ac:dyDescent="0.35">
      <c r="A25" s="78" cm="1">
        <f t="array" aca="1" ref="A25:J25" ca="1">OFFSET(Handle_traffic_fleet,0,0):OFFSET(Handle_traffic_fleet,0,Results_timespan-1)</f>
        <v>0.24939661568799687</v>
      </c>
      <c r="B25">
        <f ca="1"/>
        <v>0.25898365302801185</v>
      </c>
      <c r="C25">
        <f ca="1"/>
        <v>0.25843180042816538</v>
      </c>
      <c r="D25" s="19">
        <f ca="1"/>
        <v>0.25891640101376545</v>
      </c>
      <c r="E25">
        <f ca="1"/>
        <v>0.25909406292157239</v>
      </c>
      <c r="F25">
        <f ca="1"/>
        <v>0.25918410048734458</v>
      </c>
      <c r="G25">
        <f ca="1"/>
        <v>0.25920924303651627</v>
      </c>
      <c r="H25">
        <f ca="1"/>
        <v>0.25889068303055884</v>
      </c>
      <c r="I25">
        <f ca="1"/>
        <v>0.25832362430362688</v>
      </c>
      <c r="J25">
        <f ca="1"/>
        <v>0.25736937153593759</v>
      </c>
    </row>
    <row r="26" spans="1:10" x14ac:dyDescent="0.35">
      <c r="A26" s="78" cm="1">
        <f t="array" aca="1" ref="A26:J26" ca="1">OFFSET(Handle_traffic_fleet,1,0):OFFSET(Handle_traffic_fleet,1,Results_timespan-1)</f>
        <v>0.74884640882496578</v>
      </c>
      <c r="B26">
        <f ca="1"/>
        <v>0.73800243009741406</v>
      </c>
      <c r="C26">
        <f ca="1"/>
        <v>0.73806941341284482</v>
      </c>
      <c r="D26" s="19">
        <f ca="1"/>
        <v>0.7365746050721752</v>
      </c>
      <c r="E26">
        <f ca="1"/>
        <v>0.73505659675888058</v>
      </c>
      <c r="F26">
        <f ca="1"/>
        <v>0.73350359458088199</v>
      </c>
      <c r="G26">
        <f ca="1"/>
        <v>0.73181861531573</v>
      </c>
      <c r="H26">
        <f ca="1"/>
        <v>0.73015545207461019</v>
      </c>
      <c r="I26">
        <f ca="1"/>
        <v>0.72827883042334896</v>
      </c>
      <c r="J26">
        <f ca="1"/>
        <v>0.72614629855755886</v>
      </c>
    </row>
    <row r="27" spans="1:10" x14ac:dyDescent="0.35">
      <c r="A27" s="78" cm="1">
        <f t="array" aca="1" ref="A27:J27" ca="1">OFFSET(Handle_traffic_fleet,2,0):OFFSET(Handle_traffic_fleet,2,Results_timespan-1)</f>
        <v>1.7050765530849644E-3</v>
      </c>
      <c r="B27">
        <f ca="1"/>
        <v>2.9486693287532804E-3</v>
      </c>
      <c r="C27">
        <f ca="1"/>
        <v>3.3483586502423362E-3</v>
      </c>
      <c r="D27" s="19">
        <f ca="1"/>
        <v>4.4783489773012209E-3</v>
      </c>
      <c r="E27">
        <f ca="1"/>
        <v>5.8221046613402289E-3</v>
      </c>
      <c r="F27">
        <f ca="1"/>
        <v>7.2876357505062333E-3</v>
      </c>
      <c r="G27">
        <f ca="1"/>
        <v>8.9488601300723274E-3</v>
      </c>
      <c r="H27">
        <f ca="1"/>
        <v>1.0932125980896839E-2</v>
      </c>
      <c r="I27">
        <f ca="1"/>
        <v>1.3377588713284986E-2</v>
      </c>
      <c r="J27">
        <f ca="1"/>
        <v>1.6466155900707571E-2</v>
      </c>
    </row>
    <row r="28" spans="1:10" x14ac:dyDescent="0.35">
      <c r="A28" s="78" cm="1">
        <f t="array" aca="1" ref="A28:J28" ca="1">OFFSET(Handle_traffic_fleet,3,0):OFFSET(Handle_traffic_fleet,3,Results_timespan-1)</f>
        <v>0</v>
      </c>
      <c r="B28">
        <f ca="1"/>
        <v>0</v>
      </c>
      <c r="C28">
        <f ca="1"/>
        <v>0</v>
      </c>
      <c r="D28" s="19">
        <f ca="1"/>
        <v>0</v>
      </c>
      <c r="E28">
        <f ca="1"/>
        <v>0</v>
      </c>
      <c r="F28">
        <f ca="1"/>
        <v>0</v>
      </c>
      <c r="G28">
        <f ca="1"/>
        <v>0</v>
      </c>
      <c r="H28">
        <f ca="1"/>
        <v>0</v>
      </c>
      <c r="I28">
        <f ca="1"/>
        <v>0</v>
      </c>
      <c r="J28">
        <f ca="1"/>
        <v>0</v>
      </c>
    </row>
    <row r="29" spans="1:10" x14ac:dyDescent="0.35">
      <c r="A29" s="78" cm="1">
        <f t="array" aca="1" ref="A29:J29" ca="1">OFFSET(Handle_traffic_fleet,4,0):OFFSET(Handle_traffic_fleet,4,Results_timespan-1)</f>
        <v>0</v>
      </c>
      <c r="B29">
        <f ca="1"/>
        <v>0</v>
      </c>
      <c r="C29">
        <f ca="1"/>
        <v>0</v>
      </c>
      <c r="D29" s="19">
        <f ca="1"/>
        <v>0</v>
      </c>
      <c r="E29">
        <f ca="1"/>
        <v>0</v>
      </c>
      <c r="F29">
        <f ca="1"/>
        <v>0</v>
      </c>
      <c r="G29">
        <f ca="1"/>
        <v>0</v>
      </c>
      <c r="H29">
        <f ca="1"/>
        <v>0</v>
      </c>
      <c r="I29">
        <f ca="1"/>
        <v>0</v>
      </c>
      <c r="J29">
        <f ca="1"/>
        <v>0</v>
      </c>
    </row>
    <row r="30" spans="1:10" x14ac:dyDescent="0.35">
      <c r="A30" s="78" cm="1">
        <f t="array" aca="1" ref="A30:J30" ca="1">OFFSET(Handle_traffic_fleet,5,0):OFFSET(Handle_traffic_fleet,5,Results_timespan-1)</f>
        <v>0</v>
      </c>
      <c r="B30">
        <f ca="1"/>
        <v>0</v>
      </c>
      <c r="C30">
        <f ca="1"/>
        <v>0</v>
      </c>
      <c r="D30" s="19">
        <f ca="1"/>
        <v>0</v>
      </c>
      <c r="E30">
        <f ca="1"/>
        <v>0</v>
      </c>
      <c r="F30">
        <f ca="1"/>
        <v>0</v>
      </c>
      <c r="G30">
        <f ca="1"/>
        <v>0</v>
      </c>
      <c r="H30">
        <f ca="1"/>
        <v>0</v>
      </c>
      <c r="I30">
        <f ca="1"/>
        <v>0</v>
      </c>
      <c r="J30">
        <f ca="1"/>
        <v>0</v>
      </c>
    </row>
    <row r="31" spans="1:10" x14ac:dyDescent="0.35">
      <c r="A31" s="78" cm="1">
        <f t="array" aca="1" ref="A31:J31" ca="1">OFFSET(Handle_traffic_fleet,6,0):OFFSET(Handle_traffic_fleet,6,Results_timespan-1)</f>
        <v>0</v>
      </c>
      <c r="B31">
        <f ca="1"/>
        <v>0</v>
      </c>
      <c r="C31">
        <f ca="1"/>
        <v>0</v>
      </c>
      <c r="D31" s="19">
        <f ca="1"/>
        <v>0</v>
      </c>
      <c r="E31">
        <f ca="1"/>
        <v>0</v>
      </c>
      <c r="F31">
        <f ca="1"/>
        <v>0</v>
      </c>
      <c r="G31">
        <f ca="1"/>
        <v>0</v>
      </c>
      <c r="H31">
        <f ca="1"/>
        <v>0</v>
      </c>
      <c r="I31">
        <f ca="1"/>
        <v>0</v>
      </c>
      <c r="J31">
        <f ca="1"/>
        <v>0</v>
      </c>
    </row>
    <row r="32" spans="1:10" x14ac:dyDescent="0.35">
      <c r="A32" s="91"/>
      <c r="D32" s="19"/>
    </row>
    <row r="33" spans="1:10" x14ac:dyDescent="0.35">
      <c r="A33" s="91"/>
      <c r="D33" s="19"/>
    </row>
    <row r="34" spans="1:10" x14ac:dyDescent="0.35">
      <c r="A34" s="94" t="s">
        <v>829</v>
      </c>
      <c r="D34" s="19"/>
    </row>
    <row r="35" spans="1:10" x14ac:dyDescent="0.35">
      <c r="A35" s="92" cm="1">
        <f t="array" aca="1" ref="A35:J35" ca="1">(INDEX(PVI_vehicle_EFC,1,1)/INDEX(PVI_fuel_energy_density,1,1))*(INDEX(Indicators,MATCH(EPD_version&amp;"GWP",Materials!$D:$D,0),MATCH("diesel combustion (vehicle)",Materials!$1:$1,0))*((1-enviro_disc)^Handle_years)*Handle_electricity_emissions:OFFSET(Handle_electricity_emissions,0,Results_timespan-1)^0)*OFFSET(Handle_traffic_fleet,0,0):OFFSET(Handle_traffic_fleet,0,Results_timespan-1)</f>
        <v>0</v>
      </c>
      <c r="B35">
        <f ca="1"/>
        <v>0</v>
      </c>
      <c r="C35">
        <f ca="1"/>
        <v>0</v>
      </c>
      <c r="D35" s="19">
        <f ca="1"/>
        <v>0</v>
      </c>
      <c r="E35">
        <f ca="1"/>
        <v>0</v>
      </c>
      <c r="F35">
        <f ca="1"/>
        <v>0</v>
      </c>
      <c r="G35">
        <f ca="1"/>
        <v>0</v>
      </c>
      <c r="H35">
        <f ca="1"/>
        <v>0</v>
      </c>
      <c r="I35">
        <f ca="1"/>
        <v>0</v>
      </c>
      <c r="J35">
        <f ca="1"/>
        <v>0</v>
      </c>
    </row>
    <row r="36" spans="1:10" x14ac:dyDescent="0.35">
      <c r="A36" s="92" cm="1">
        <f t="array" aca="1" ref="A36:J36" ca="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f>
        <v>0</v>
      </c>
      <c r="B36">
        <f ca="1"/>
        <v>0</v>
      </c>
      <c r="C36">
        <f ca="1"/>
        <v>0</v>
      </c>
      <c r="D36" s="19">
        <f ca="1"/>
        <v>0</v>
      </c>
      <c r="E36">
        <f ca="1"/>
        <v>0</v>
      </c>
      <c r="F36">
        <f ca="1"/>
        <v>0</v>
      </c>
      <c r="G36">
        <f ca="1"/>
        <v>0</v>
      </c>
      <c r="H36">
        <f ca="1"/>
        <v>0</v>
      </c>
      <c r="I36">
        <f ca="1"/>
        <v>0</v>
      </c>
      <c r="J36">
        <f ca="1"/>
        <v>0</v>
      </c>
    </row>
    <row r="37" spans="1:10" x14ac:dyDescent="0.35">
      <c r="A37" s="92" cm="1">
        <f t="array" aca="1" ref="A37:J37" ca="1">(INDEX(PVI_vehicle_EFC,3,1)/INDEX(PVI_fuel_energy_density,3,1))*Handle_electricity_emissions:OFFSET(Handle_electricity_emissions,0,Results_timespan-1)*((1-enviro_disc)^Handle_years)*OFFSET(Handle_traffic_fleet,2,0):OFFSET(Handle_traffic_fleet,2,Results_timespan-1)</f>
        <v>0</v>
      </c>
      <c r="B37">
        <f ca="1"/>
        <v>0</v>
      </c>
      <c r="C37">
        <f ca="1"/>
        <v>0</v>
      </c>
      <c r="D37" s="19">
        <f ca="1"/>
        <v>0</v>
      </c>
      <c r="E37">
        <f ca="1"/>
        <v>0</v>
      </c>
      <c r="F37">
        <f ca="1"/>
        <v>0</v>
      </c>
      <c r="G37">
        <f ca="1"/>
        <v>0</v>
      </c>
      <c r="H37">
        <f ca="1"/>
        <v>0</v>
      </c>
      <c r="I37">
        <f ca="1"/>
        <v>0</v>
      </c>
      <c r="J37">
        <f ca="1"/>
        <v>0</v>
      </c>
    </row>
    <row r="38" spans="1:10" x14ac:dyDescent="0.35">
      <c r="A38" s="92" cm="1">
        <f t="array" aca="1" ref="A38:J38" ca="1">(INDEX(PVI_vehicle_EFC,4,1)/INDEX(PVI_fuel_energy_density,4,1))*(INDEX(Indicators,MATCH(EPD_version&amp;"GWP",Materials!$D:$D,0),MATCH("diesel combustion (vehicle)",Materials!$1:$1,0))*((1-enviro_disc)^Handle_years)*Handle_electricity_emissions:OFFSET(Handle_electricity_emissions,0,Results_timespan-1)^0)*OFFSET(Handle_traffic_fleet,3,0):OFFSET(Handle_traffic_fleet,3,Results_timespan-1)</f>
        <v>0</v>
      </c>
      <c r="B38">
        <f ca="1"/>
        <v>0</v>
      </c>
      <c r="C38">
        <f ca="1"/>
        <v>0</v>
      </c>
      <c r="D38" s="19">
        <f ca="1"/>
        <v>0</v>
      </c>
      <c r="E38">
        <f ca="1"/>
        <v>0</v>
      </c>
      <c r="F38">
        <f ca="1"/>
        <v>0</v>
      </c>
      <c r="G38">
        <f ca="1"/>
        <v>0</v>
      </c>
      <c r="H38">
        <f ca="1"/>
        <v>0</v>
      </c>
      <c r="I38">
        <f ca="1"/>
        <v>0</v>
      </c>
      <c r="J38">
        <f ca="1"/>
        <v>0</v>
      </c>
    </row>
    <row r="39" spans="1:10" x14ac:dyDescent="0.35">
      <c r="A39" s="92" cm="1">
        <f t="array" aca="1" ref="A39:J39" ca="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f>
        <v>0</v>
      </c>
      <c r="B39">
        <f ca="1"/>
        <v>0</v>
      </c>
      <c r="C39">
        <f ca="1"/>
        <v>0</v>
      </c>
      <c r="D39" s="19">
        <f ca="1"/>
        <v>0</v>
      </c>
      <c r="E39">
        <f ca="1"/>
        <v>0</v>
      </c>
      <c r="F39">
        <f ca="1"/>
        <v>0</v>
      </c>
      <c r="G39">
        <f ca="1"/>
        <v>0</v>
      </c>
      <c r="H39">
        <f ca="1"/>
        <v>0</v>
      </c>
      <c r="I39">
        <f ca="1"/>
        <v>0</v>
      </c>
      <c r="J39">
        <f ca="1"/>
        <v>0</v>
      </c>
    </row>
    <row r="40" spans="1:10" x14ac:dyDescent="0.35">
      <c r="A40" s="92" cm="1">
        <f t="array" aca="1" ref="A40:J40" ca="1">(INDEX(PVI_vehicle_EFC,6,1)/INDEX(PVI_fuel_energy_density,6,1))*Handle_electricity_emissions:OFFSET(Handle_electricity_emissions,0,Results_timespan-1)*((1-enviro_disc)^Handle_years)*OFFSET(Handle_traffic_fleet,5,0):OFFSET(Handle_traffic_fleet,5,Results_timespan-1)</f>
        <v>0</v>
      </c>
      <c r="B40">
        <f ca="1"/>
        <v>0</v>
      </c>
      <c r="C40">
        <f ca="1"/>
        <v>0</v>
      </c>
      <c r="D40" s="19">
        <f ca="1"/>
        <v>0</v>
      </c>
      <c r="E40">
        <f ca="1"/>
        <v>0</v>
      </c>
      <c r="F40">
        <f ca="1"/>
        <v>0</v>
      </c>
      <c r="G40">
        <f ca="1"/>
        <v>0</v>
      </c>
      <c r="H40">
        <f ca="1"/>
        <v>0</v>
      </c>
      <c r="I40">
        <f ca="1"/>
        <v>0</v>
      </c>
      <c r="J40">
        <f ca="1"/>
        <v>0</v>
      </c>
    </row>
    <row r="41" spans="1:10" x14ac:dyDescent="0.35">
      <c r="A41" s="93" cm="1">
        <f t="array" aca="1" ref="A41:J41" ca="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B41">
        <f ca="1"/>
        <v>0</v>
      </c>
      <c r="C41">
        <f ca="1"/>
        <v>0</v>
      </c>
      <c r="D41" s="19">
        <f ca="1"/>
        <v>0</v>
      </c>
      <c r="E41">
        <f ca="1"/>
        <v>0</v>
      </c>
      <c r="F41">
        <f ca="1"/>
        <v>0</v>
      </c>
      <c r="G41">
        <f ca="1"/>
        <v>0</v>
      </c>
      <c r="H41">
        <f ca="1"/>
        <v>0</v>
      </c>
      <c r="I41">
        <f ca="1"/>
        <v>0</v>
      </c>
      <c r="J41">
        <f ca="1"/>
        <v>0</v>
      </c>
    </row>
    <row r="42" spans="1:10" x14ac:dyDescent="0.35">
      <c r="A42" s="92"/>
      <c r="D42" s="19"/>
    </row>
    <row r="43" spans="1:10" x14ac:dyDescent="0.35">
      <c r="D43" s="19"/>
    </row>
    <row r="44" spans="1:10" x14ac:dyDescent="0.35">
      <c r="A44" t="s">
        <v>830</v>
      </c>
    </row>
    <row r="45" spans="1:10" s="361" customFormat="1" x14ac:dyDescent="0.35">
      <c r="A45" s="361" cm="1">
        <f t="array" aca="1" ref="A45:J45" ca="1">(G5/H5)*(INDEX(Indicators,MATCH(EPD_version&amp;"GWP",Materials!$D:$D,0),MATCH("diesel combustion (vehicle)",Materials!$1:$1,0))*((1-enviro_disc)^Handle_years)*Handle_electricity_emissions:OFFSET(Handle_electricity_emissions,0,Results_timespan-1)^0)*OFFSET(Handle_traffic_fleet,0,0):OFFSET(Handle_traffic_fleet,0,Results_timespan-1)</f>
        <v>0</v>
      </c>
      <c r="B45" s="361">
        <f ca="1"/>
        <v>0</v>
      </c>
      <c r="C45" s="361">
        <f ca="1"/>
        <v>0</v>
      </c>
      <c r="D45" s="361">
        <f ca="1"/>
        <v>0</v>
      </c>
      <c r="E45" s="361">
        <f ca="1"/>
        <v>0</v>
      </c>
      <c r="F45" s="361">
        <f ca="1"/>
        <v>0</v>
      </c>
      <c r="G45" s="361">
        <f ca="1"/>
        <v>0</v>
      </c>
      <c r="H45" s="361">
        <f ca="1"/>
        <v>0</v>
      </c>
      <c r="I45" s="361">
        <f ca="1"/>
        <v>0</v>
      </c>
      <c r="J45" s="361">
        <f ca="1"/>
        <v>0</v>
      </c>
    </row>
    <row r="46" spans="1:10" s="361" customFormat="1" x14ac:dyDescent="0.35">
      <c r="A46" s="361" cm="1">
        <f t="array" aca="1" ref="A46:J46" ca="1">(G6/H6)*(INDEX(Indicators,MATCH(EPD_version&amp;"GWP",Materials!$D:$D,0),MATCH("petrol combustion",Materials!$1:$1,0))*((1-enviro_disc)^Handle_years)*Handle_electricity_emissions:OFFSET(Handle_electricity_emissions,0,Results_timespan-1)^0)*OFFSET(Handle_traffic_fleet,1,0):OFFSET(Handle_traffic_fleet,1,Results_timespan-1)</f>
        <v>0</v>
      </c>
      <c r="B46" s="361">
        <f ca="1"/>
        <v>0</v>
      </c>
      <c r="C46" s="361">
        <f ca="1"/>
        <v>0</v>
      </c>
      <c r="D46" s="452">
        <f ca="1"/>
        <v>0</v>
      </c>
      <c r="E46" s="452">
        <f ca="1"/>
        <v>0</v>
      </c>
      <c r="F46" s="452">
        <f ca="1"/>
        <v>0</v>
      </c>
      <c r="G46" s="361">
        <f ca="1"/>
        <v>0</v>
      </c>
      <c r="H46" s="361">
        <f ca="1"/>
        <v>0</v>
      </c>
      <c r="I46" s="361">
        <f ca="1"/>
        <v>0</v>
      </c>
      <c r="J46" s="361">
        <f ca="1"/>
        <v>0</v>
      </c>
    </row>
    <row r="47" spans="1:10" s="361" customFormat="1" x14ac:dyDescent="0.35">
      <c r="A47" s="361" cm="1">
        <f t="array" aca="1" ref="A47:J47" ca="1">(G7/H7)*(Handle_electricity_emissions:OFFSET(Handle_electricity_emissions,0,Results_timespan-1)*((1-enviro_disc)^Handle_years))*OFFSET(Handle_traffic_fleet,2,0):OFFSET(Handle_traffic_fleet,2,Results_timespan-1)</f>
        <v>0</v>
      </c>
      <c r="B47" s="361">
        <f ca="1"/>
        <v>0</v>
      </c>
      <c r="C47" s="361">
        <f ca="1"/>
        <v>0</v>
      </c>
      <c r="D47" s="452">
        <f ca="1"/>
        <v>0</v>
      </c>
      <c r="E47" s="452">
        <f ca="1"/>
        <v>0</v>
      </c>
      <c r="F47" s="452">
        <f ca="1"/>
        <v>0</v>
      </c>
      <c r="G47" s="361">
        <f ca="1"/>
        <v>0</v>
      </c>
      <c r="H47" s="361">
        <f ca="1"/>
        <v>0</v>
      </c>
      <c r="I47" s="361">
        <f ca="1"/>
        <v>0</v>
      </c>
      <c r="J47" s="361">
        <f ca="1"/>
        <v>0</v>
      </c>
    </row>
    <row r="48" spans="1:10" s="361" customFormat="1" x14ac:dyDescent="0.35">
      <c r="A48" s="361" cm="1">
        <f t="array" aca="1" ref="A48:J48" ca="1">(G8/H8)*(INDEX(Indicators,MATCH(EPD_version&amp;"GWP",Materials!$D:$D,0),MATCH("diesel combustion (vehicle)",Materials!$1:$1,0))*((1-enviro_disc)^Handle_years)*Handle_electricity_emissions:OFFSET(Handle_electricity_emissions,0,Results_timespan-1)^0)*OFFSET(Handle_traffic_fleet,3,0):OFFSET(Handle_traffic_fleet,3,Results_timespan-1)</f>
        <v>0</v>
      </c>
      <c r="B48" s="361">
        <f ca="1"/>
        <v>0</v>
      </c>
      <c r="C48" s="361">
        <f ca="1"/>
        <v>0</v>
      </c>
      <c r="D48" s="452">
        <f ca="1"/>
        <v>0</v>
      </c>
      <c r="E48" s="452">
        <f ca="1"/>
        <v>0</v>
      </c>
      <c r="F48" s="452">
        <f ca="1"/>
        <v>0</v>
      </c>
      <c r="G48" s="361">
        <f ca="1"/>
        <v>0</v>
      </c>
      <c r="H48" s="361">
        <f ca="1"/>
        <v>0</v>
      </c>
      <c r="I48" s="361">
        <f ca="1"/>
        <v>0</v>
      </c>
      <c r="J48" s="361">
        <f ca="1"/>
        <v>0</v>
      </c>
    </row>
    <row r="49" spans="1:10" s="361" customFormat="1" x14ac:dyDescent="0.35">
      <c r="A49" s="361" cm="1">
        <f t="array" aca="1" ref="A49:J49" ca="1">(G9/H9)*(INDEX(Indicators,MATCH(EPD_version&amp;"GWP",Materials!$D:$D,0),MATCH("petrol combustion",Materials!$1:$1,0))*((1-enviro_disc)^Handle_years)*Handle_electricity_emissions:OFFSET(Handle_electricity_emissions,0,Results_timespan-1)^0)*OFFSET(Handle_traffic_fleet,4,0):OFFSET(Handle_traffic_fleet,4,Results_timespan-1)</f>
        <v>0</v>
      </c>
      <c r="B49" s="361">
        <f ca="1"/>
        <v>0</v>
      </c>
      <c r="C49" s="361">
        <f ca="1"/>
        <v>0</v>
      </c>
      <c r="D49" s="361">
        <f ca="1"/>
        <v>0</v>
      </c>
      <c r="E49" s="361">
        <f ca="1"/>
        <v>0</v>
      </c>
      <c r="F49" s="452">
        <f ca="1"/>
        <v>0</v>
      </c>
      <c r="G49" s="361">
        <f ca="1"/>
        <v>0</v>
      </c>
      <c r="H49" s="361">
        <f ca="1"/>
        <v>0</v>
      </c>
      <c r="I49" s="361">
        <f ca="1"/>
        <v>0</v>
      </c>
      <c r="J49" s="361">
        <f ca="1"/>
        <v>0</v>
      </c>
    </row>
    <row r="50" spans="1:10" s="361" customFormat="1" x14ac:dyDescent="0.35">
      <c r="A50" s="361" cm="1">
        <f t="array" aca="1" ref="A50:J50" ca="1">(G10/H10)*(Handle_electricity_emissions:OFFSET(Handle_electricity_emissions,0,Results_timespan-1)*((1-enviro_disc)^Handle_years))*OFFSET(Handle_traffic_fleet,5,0):OFFSET(Handle_traffic_fleet,5,Results_timespan-1)</f>
        <v>0</v>
      </c>
      <c r="B50" s="361">
        <f ca="1"/>
        <v>0</v>
      </c>
      <c r="C50" s="361">
        <f ca="1"/>
        <v>0</v>
      </c>
      <c r="D50" s="361">
        <f ca="1"/>
        <v>0</v>
      </c>
      <c r="E50" s="361">
        <f ca="1"/>
        <v>0</v>
      </c>
      <c r="F50" s="452">
        <f ca="1"/>
        <v>0</v>
      </c>
      <c r="G50" s="361">
        <f ca="1"/>
        <v>0</v>
      </c>
      <c r="H50" s="361">
        <f ca="1"/>
        <v>0</v>
      </c>
      <c r="I50" s="361">
        <f ca="1"/>
        <v>0</v>
      </c>
      <c r="J50" s="361">
        <f ca="1"/>
        <v>0</v>
      </c>
    </row>
    <row r="51" spans="1:10" s="361" customFormat="1" x14ac:dyDescent="0.35">
      <c r="A51" s="361" cm="1">
        <f t="array" aca="1" ref="A51:J51" ca="1">(G11/H11)*(INDEX(Indicators,MATCH(EPD_version&amp;"GWP",Materials!$D:$D,0),MATCH("bio-diesel combustion",Materials!$1:$1,0))*((1-enviro_disc)^Handle_years)*Handle_electricity_emissions:OFFSET(Handle_electricity_emissions,0,Results_timespan-1)^0)*OFFSET(Handle_traffic_fleet,6,0):OFFSET(Handle_traffic_fleet,6,Results_timespan-1)</f>
        <v>0</v>
      </c>
      <c r="B51" s="361">
        <f ca="1"/>
        <v>0</v>
      </c>
      <c r="C51" s="361">
        <f ca="1"/>
        <v>0</v>
      </c>
      <c r="D51" s="361">
        <f ca="1"/>
        <v>0</v>
      </c>
      <c r="E51" s="361">
        <f ca="1"/>
        <v>0</v>
      </c>
      <c r="F51" s="452">
        <f ca="1"/>
        <v>0</v>
      </c>
      <c r="G51" s="361">
        <f ca="1"/>
        <v>0</v>
      </c>
      <c r="H51" s="361">
        <f ca="1"/>
        <v>0</v>
      </c>
      <c r="I51" s="361">
        <f ca="1"/>
        <v>0</v>
      </c>
      <c r="J51" s="361">
        <f ca="1"/>
        <v>0</v>
      </c>
    </row>
    <row r="52" spans="1:10" x14ac:dyDescent="0.35">
      <c r="A52" s="65"/>
      <c r="F52" s="37"/>
    </row>
    <row r="53" spans="1:10" x14ac:dyDescent="0.35">
      <c r="A53" s="65"/>
      <c r="F53" s="37"/>
    </row>
    <row r="54" spans="1:10" x14ac:dyDescent="0.35">
      <c r="A54" s="65"/>
      <c r="F54" s="37"/>
    </row>
    <row r="55" spans="1:10" x14ac:dyDescent="0.35">
      <c r="A55" s="65"/>
      <c r="F55" s="37"/>
    </row>
    <row r="56" spans="1:10" x14ac:dyDescent="0.35">
      <c r="F56" s="37"/>
    </row>
    <row r="57" spans="1:10" x14ac:dyDescent="0.35">
      <c r="A57" s="16" t="s">
        <v>831</v>
      </c>
      <c r="B57" s="6"/>
      <c r="F57" s="37"/>
      <c r="G57" s="65"/>
      <c r="I57" s="65"/>
    </row>
    <row r="58" spans="1:10" x14ac:dyDescent="0.35">
      <c r="A58" s="8" cm="1">
        <f t="array" aca="1" ref="A58" ca="1">SUM((INDEX(PVI_vehicle_EFC,1,1)/INDEX(PVI_fuel_energy_density,1,1))*(INDEX(Indicators,MATCH(EPD_version&amp;"GWP",Materials!$D:$D,0),MATCH("diesel combustion (vehicle)",Materials!$1:$1,0))*((1-enviro_disc)^Handle_years)*Handle_electricity_emissions:OFFSET(Handle_electricity_emissions,0,Results_timespan-1)^0)*OFFSET(Handle_traffic_fleet,0,0):OFFSET(Handle_traffic_fleet,0,Results_timespan-1),(INDEX(PVI_vehicle_EFC,2,1)/INDEX(PVI_fuel_energy_density,2,1))*(INDEX(Indicators,MATCH(EPD_version&amp;"GWP",Materials!$D:$D,0),MATCH("petrol combustion",Materials!$1:$1,0))*((1-enviro_disc)^Handle_years)*Handle_electricity_emissions:OFFSET(Handle_electricity_emissions,0,Results_timespan-1)^0)*OFFSET(Handle_traffic_fleet,1,0):OFFSET(Handle_traffic_fleet,1,Results_timespan-1),(INDEX(PVI_vehicle_EFC,3,1)/INDEX(PVI_fuel_energy_density,3,1))*Handle_electricity_emissions:OFFSET(Handle_electricity_emissions,0,Results_timespan-1)*((1-enviro_disc)^Handle_years)*OFFSET(Handle_traffic_fleet,2,0):OFFSET(Handle_traffic_fleet,2,Results_timespan-1),(INDEX(PVI_vehicle_EFC,4,1)/INDEX(PVI_fuel_energy_density,4,1))*(INDEX(Indicators,MATCH(EPD_version&amp;"GWP",Materials!$D:$D,0),MATCH("diesel combustion (vehicle)",Materials!$1:$1,0))*((1-enviro_disc)^Handle_years)*Handle_electricity_emissions:OFFSET(Handle_electricity_emissions,0,Results_timespan-1)^0)*OFFSET(Handle_traffic_fleet,3,0):OFFSET(Handle_traffic_fleet,3,Results_timespan-1),(INDEX(PVI_vehicle_EFC,5,1)/INDEX(PVI_fuel_energy_density,5,1))*(INDEX(Indicators,MATCH(EPD_version&amp;"GWP",Materials!$D:$D,0),MATCH("petrol combustion",Materials!$1:$1,0))*((1-enviro_disc)^Handle_years)*Handle_electricity_emissions:OFFSET(Handle_electricity_emissions,0,Results_timespan-1)^0)*OFFSET(Handle_traffic_fleet,4,0):OFFSET(Handle_traffic_fleet,4,Results_timespan-1),(INDEX(PVI_vehicle_EFC,6,1)/INDEX(PVI_fuel_energy_density,6,1))*Handle_electricity_emissions:OFFSET(Handle_electricity_emissions,0,Results_timespan-1)*((1-enviro_disc)^Handle_years)*OFFSET(Handle_traffic_fleet,5,0):OFFSET(Handle_traffic_fleet,5,Results_timespan-1),(INDEX(PVI_vehicle_EFC,7,1)/INDEX(PVI_fuel_energy_density,7,1))*(INDEX(Indicators,MATCH(EPD_version&amp;"GWP",Materials!$D:$D,0),MATCH("bio-diesel combustion",Materials!$1:$1,0))*((1-enviro_disc)^Handle_years)*Handle_electricity_emissions:OFFSET(Handle_electricity_emissions,0,Results_timespan-1)^0)*OFFSET(Handle_traffic_fleet,6,0):OFFSET(Handle_traffic_fleet,6,Results_timespan-1))</f>
        <v>0</v>
      </c>
      <c r="B58" s="7"/>
      <c r="F58" s="37"/>
      <c r="G58" s="65"/>
      <c r="I58" s="65"/>
    </row>
    <row r="59" spans="1:10" x14ac:dyDescent="0.35">
      <c r="A59" s="8"/>
      <c r="B59" s="7"/>
      <c r="F59" s="37"/>
      <c r="G59" s="65"/>
      <c r="I59" s="65"/>
    </row>
    <row r="60" spans="1:10" x14ac:dyDescent="0.35">
      <c r="A60" s="69">
        <f ca="1">SUM(45:51)</f>
        <v>0</v>
      </c>
      <c r="B60" s="7" t="s">
        <v>832</v>
      </c>
    </row>
    <row r="61" spans="1:10" x14ac:dyDescent="0.35">
      <c r="A61" s="8"/>
      <c r="B61" s="7"/>
      <c r="G61" s="65"/>
    </row>
    <row r="62" spans="1:10" x14ac:dyDescent="0.35">
      <c r="A62" s="8" t="s">
        <v>833</v>
      </c>
      <c r="B62" s="7" t="s">
        <v>473</v>
      </c>
      <c r="D62" s="36"/>
      <c r="E62" s="37"/>
    </row>
    <row r="63" spans="1:10" x14ac:dyDescent="0.35">
      <c r="A63" s="70">
        <f ca="1">((E_modulus_Prim/40114)^-0.25)*E40_PVI_deflec</f>
        <v>0</v>
      </c>
      <c r="B63" s="71">
        <f ca="1">((E_modulus_Sec/40114)^-0.25)*E40_PVI_deflec</f>
        <v>0</v>
      </c>
      <c r="D63" s="36"/>
      <c r="E63" s="37"/>
    </row>
    <row r="64" spans="1:10" x14ac:dyDescent="0.35">
      <c r="D64" s="37"/>
      <c r="E64" s="37"/>
    </row>
    <row r="65" spans="1:9" x14ac:dyDescent="0.35">
      <c r="D65" s="36"/>
      <c r="E65" s="37"/>
    </row>
    <row r="67" spans="1:9" x14ac:dyDescent="0.35">
      <c r="I67" s="65"/>
    </row>
    <row r="68" spans="1:9" x14ac:dyDescent="0.35">
      <c r="A68" t="s">
        <v>834</v>
      </c>
      <c r="B68">
        <v>10</v>
      </c>
      <c r="C68" t="s">
        <v>835</v>
      </c>
    </row>
    <row r="69" spans="1:9" x14ac:dyDescent="0.35">
      <c r="B69">
        <f>B68/100</f>
        <v>0.1</v>
      </c>
      <c r="C69" t="s">
        <v>836</v>
      </c>
    </row>
    <row r="70" spans="1:9" x14ac:dyDescent="0.35">
      <c r="B70">
        <f>B69*Diesel_density*3.61*P_Length/1000</f>
        <v>0</v>
      </c>
      <c r="C70" t="s">
        <v>837</v>
      </c>
    </row>
    <row r="71" spans="1:9" x14ac:dyDescent="0.35">
      <c r="B71">
        <f>B70*Traffic_flow</f>
        <v>0</v>
      </c>
      <c r="C71" t="s">
        <v>838</v>
      </c>
    </row>
    <row r="72" spans="1:9" x14ac:dyDescent="0.35">
      <c r="B72" s="36" t="e">
        <f>F5/B71</f>
        <v>#DIV/0!</v>
      </c>
      <c r="C72" t="s">
        <v>839</v>
      </c>
    </row>
  </sheetData>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8866D-5EDC-4BA7-8D60-A9820F33F88F}">
  <sheetPr codeName="Sheet8">
    <tabColor theme="0" tint="-0.499984740745262"/>
  </sheetPr>
  <dimension ref="A1:AB94"/>
  <sheetViews>
    <sheetView topLeftCell="B1" workbookViewId="0">
      <selection activeCell="B9" sqref="B9"/>
    </sheetView>
  </sheetViews>
  <sheetFormatPr defaultRowHeight="14.5" x14ac:dyDescent="0.35"/>
  <cols>
    <col min="1" max="1" width="35.1796875" customWidth="1"/>
    <col min="2" max="2" width="16.453125" customWidth="1"/>
    <col min="3" max="3" width="14.26953125" customWidth="1"/>
    <col min="4" max="4" width="24.7265625" style="2" customWidth="1"/>
    <col min="5" max="5" width="22.26953125" style="2" customWidth="1"/>
    <col min="6" max="6" width="12.453125" customWidth="1"/>
    <col min="7" max="7" width="14.7265625" bestFit="1" customWidth="1"/>
    <col min="8" max="8" width="15.7265625" customWidth="1"/>
    <col min="9" max="10" width="14.7265625" bestFit="1" customWidth="1"/>
    <col min="11" max="11" width="16.7265625" customWidth="1"/>
    <col min="12" max="14" width="14.7265625" bestFit="1" customWidth="1"/>
    <col min="17" max="17" width="18.54296875" customWidth="1"/>
    <col min="18" max="18" width="14.453125" customWidth="1"/>
    <col min="19" max="19" width="12.1796875" customWidth="1"/>
    <col min="20" max="21" width="13.26953125" customWidth="1"/>
    <col min="22" max="22" width="12.453125" customWidth="1"/>
    <col min="23" max="23" width="16.26953125" customWidth="1"/>
    <col min="24" max="24" width="13.81640625" customWidth="1"/>
    <col min="25" max="25" width="14" customWidth="1"/>
    <col min="26" max="26" width="13.54296875" customWidth="1"/>
    <col min="27" max="27" width="12.81640625" customWidth="1"/>
    <col min="28" max="28" width="13.453125" customWidth="1"/>
  </cols>
  <sheetData>
    <row r="1" spans="1:28" x14ac:dyDescent="0.35">
      <c r="A1" s="4" t="s">
        <v>840</v>
      </c>
    </row>
    <row r="2" spans="1:28" x14ac:dyDescent="0.35">
      <c r="A2" t="s">
        <v>841</v>
      </c>
      <c r="O2" t="s">
        <v>842</v>
      </c>
    </row>
    <row r="3" spans="1:28" x14ac:dyDescent="0.35">
      <c r="A3" t="s">
        <v>843</v>
      </c>
      <c r="P3" t="s">
        <v>844</v>
      </c>
      <c r="Q3">
        <v>10</v>
      </c>
      <c r="R3">
        <v>20</v>
      </c>
      <c r="S3">
        <v>30</v>
      </c>
      <c r="T3">
        <v>40</v>
      </c>
      <c r="U3">
        <v>50</v>
      </c>
      <c r="V3">
        <v>60</v>
      </c>
      <c r="W3">
        <v>70</v>
      </c>
      <c r="X3">
        <v>80</v>
      </c>
      <c r="Y3">
        <v>90</v>
      </c>
      <c r="Z3">
        <v>100</v>
      </c>
      <c r="AA3">
        <v>110</v>
      </c>
      <c r="AB3">
        <v>120</v>
      </c>
    </row>
    <row r="4" spans="1:28" x14ac:dyDescent="0.35">
      <c r="O4" t="s">
        <v>845</v>
      </c>
      <c r="P4" t="s">
        <v>846</v>
      </c>
      <c r="Q4" s="346">
        <f t="shared" ref="Q4:AB4" si="0">Q3/3.6</f>
        <v>2.7777777777777777</v>
      </c>
      <c r="R4" s="346">
        <f t="shared" si="0"/>
        <v>5.5555555555555554</v>
      </c>
      <c r="S4" s="346">
        <f t="shared" si="0"/>
        <v>8.3333333333333339</v>
      </c>
      <c r="T4" s="346">
        <f t="shared" si="0"/>
        <v>11.111111111111111</v>
      </c>
      <c r="U4" s="346">
        <f t="shared" si="0"/>
        <v>13.888888888888889</v>
      </c>
      <c r="V4" s="346">
        <f t="shared" si="0"/>
        <v>16.666666666666668</v>
      </c>
      <c r="W4" s="346">
        <f t="shared" si="0"/>
        <v>19.444444444444443</v>
      </c>
      <c r="X4" s="346">
        <f t="shared" si="0"/>
        <v>22.222222222222221</v>
      </c>
      <c r="Y4" s="346">
        <f t="shared" si="0"/>
        <v>25</v>
      </c>
      <c r="Z4" s="346">
        <f t="shared" si="0"/>
        <v>27.777777777777779</v>
      </c>
      <c r="AA4" s="346">
        <f t="shared" si="0"/>
        <v>30.555555555555554</v>
      </c>
      <c r="AB4" s="346">
        <f t="shared" si="0"/>
        <v>33.333333333333336</v>
      </c>
    </row>
    <row r="5" spans="1:28" x14ac:dyDescent="0.35">
      <c r="A5" s="4" t="s">
        <v>847</v>
      </c>
      <c r="O5">
        <v>0.5</v>
      </c>
      <c r="Q5" s="347">
        <f t="shared" ref="Q5:AB14" si="1">PI()*0.5*$B$30*$B$15*((Q$4/$B$15)^($B$14-2))*($O5*10^-3)^2*10^-3</f>
        <v>1.7784056865809095E-6</v>
      </c>
      <c r="R5" s="347">
        <f t="shared" si="1"/>
        <v>2.3657284222716698E-6</v>
      </c>
      <c r="S5" s="347">
        <f t="shared" si="1"/>
        <v>2.795513918844367E-6</v>
      </c>
      <c r="T5" s="347">
        <f t="shared" si="1"/>
        <v>3.1470158975390692E-6</v>
      </c>
      <c r="U5" s="347">
        <f t="shared" si="1"/>
        <v>3.4498228082420606E-6</v>
      </c>
      <c r="V5" s="347">
        <f t="shared" si="1"/>
        <v>3.7187390833083112E-6</v>
      </c>
      <c r="W5" s="347">
        <f t="shared" si="1"/>
        <v>3.9623944023988468E-6</v>
      </c>
      <c r="X5" s="347">
        <f t="shared" si="1"/>
        <v>4.1863254320010605E-6</v>
      </c>
      <c r="Y5" s="347">
        <f t="shared" si="1"/>
        <v>4.3943280936517899E-6</v>
      </c>
      <c r="Z5" s="347">
        <f t="shared" si="1"/>
        <v>4.5891350499165238E-6</v>
      </c>
      <c r="AA5" s="347">
        <f t="shared" si="1"/>
        <v>4.772788689804657E-6</v>
      </c>
      <c r="AB5" s="347">
        <f t="shared" si="1"/>
        <v>4.9468615686383329E-6</v>
      </c>
    </row>
    <row r="6" spans="1:28" x14ac:dyDescent="0.35">
      <c r="A6" s="4" t="s">
        <v>848</v>
      </c>
      <c r="B6" s="4" t="s">
        <v>849</v>
      </c>
      <c r="C6" s="4" t="s">
        <v>88</v>
      </c>
      <c r="D6" s="10" t="s">
        <v>850</v>
      </c>
      <c r="E6" s="10" t="s">
        <v>851</v>
      </c>
      <c r="O6">
        <v>1</v>
      </c>
      <c r="Q6" s="347">
        <f t="shared" si="1"/>
        <v>7.1136227463236378E-6</v>
      </c>
      <c r="R6" s="347">
        <f t="shared" si="1"/>
        <v>9.4629136890866791E-6</v>
      </c>
      <c r="S6" s="347">
        <f t="shared" si="1"/>
        <v>1.1182055675377468E-5</v>
      </c>
      <c r="T6" s="347">
        <f t="shared" si="1"/>
        <v>1.2588063590156277E-5</v>
      </c>
      <c r="U6" s="347">
        <f t="shared" si="1"/>
        <v>1.3799291232968242E-5</v>
      </c>
      <c r="V6" s="347">
        <f t="shared" si="1"/>
        <v>1.4874956333233245E-5</v>
      </c>
      <c r="W6" s="347">
        <f t="shared" si="1"/>
        <v>1.5849577609595387E-5</v>
      </c>
      <c r="X6" s="347">
        <f t="shared" si="1"/>
        <v>1.6745301728004242E-5</v>
      </c>
      <c r="Y6" s="347">
        <f t="shared" si="1"/>
        <v>1.757731237460716E-5</v>
      </c>
      <c r="Z6" s="347">
        <f t="shared" si="1"/>
        <v>1.8356540199666095E-5</v>
      </c>
      <c r="AA6" s="347">
        <f t="shared" si="1"/>
        <v>1.9091154759218628E-5</v>
      </c>
      <c r="AB6" s="347">
        <f t="shared" si="1"/>
        <v>1.9787446274553331E-5</v>
      </c>
    </row>
    <row r="7" spans="1:28" x14ac:dyDescent="0.35">
      <c r="A7" s="4"/>
      <c r="B7" s="4"/>
      <c r="C7" s="4"/>
      <c r="D7" s="10"/>
      <c r="E7" s="10"/>
      <c r="O7">
        <v>1.5</v>
      </c>
      <c r="Q7" s="347">
        <f t="shared" si="1"/>
        <v>1.6005651179228185E-5</v>
      </c>
      <c r="R7" s="347">
        <f t="shared" si="1"/>
        <v>2.1291555800445029E-5</v>
      </c>
      <c r="S7" s="347">
        <f t="shared" si="1"/>
        <v>2.5159625269599302E-5</v>
      </c>
      <c r="T7" s="347">
        <f t="shared" si="1"/>
        <v>2.8323143077851622E-5</v>
      </c>
      <c r="U7" s="347">
        <f t="shared" si="1"/>
        <v>3.1048405274178547E-5</v>
      </c>
      <c r="V7" s="347">
        <f t="shared" si="1"/>
        <v>3.3468651749774801E-5</v>
      </c>
      <c r="W7" s="347">
        <f t="shared" si="1"/>
        <v>3.5661549621589631E-5</v>
      </c>
      <c r="X7" s="347">
        <f t="shared" si="1"/>
        <v>3.7676928888009543E-5</v>
      </c>
      <c r="Y7" s="347">
        <f t="shared" si="1"/>
        <v>3.9548952842866113E-5</v>
      </c>
      <c r="Z7" s="347">
        <f t="shared" si="1"/>
        <v>4.1302215449248718E-5</v>
      </c>
      <c r="AA7" s="347">
        <f t="shared" si="1"/>
        <v>4.2955098208241918E-5</v>
      </c>
      <c r="AB7" s="347">
        <f t="shared" si="1"/>
        <v>4.4521754117744998E-5</v>
      </c>
    </row>
    <row r="8" spans="1:28" x14ac:dyDescent="0.35">
      <c r="A8" s="348" t="s">
        <v>852</v>
      </c>
      <c r="B8" s="349"/>
      <c r="C8" s="349"/>
      <c r="D8" s="472"/>
      <c r="E8" s="462"/>
      <c r="O8">
        <v>2</v>
      </c>
      <c r="Q8" s="347">
        <f t="shared" si="1"/>
        <v>2.8454490985294551E-5</v>
      </c>
      <c r="R8" s="347">
        <f t="shared" si="1"/>
        <v>3.7851654756346716E-5</v>
      </c>
      <c r="S8" s="347">
        <f t="shared" si="1"/>
        <v>4.4728222701509871E-5</v>
      </c>
      <c r="T8" s="347">
        <f t="shared" si="1"/>
        <v>5.0352254360625107E-5</v>
      </c>
      <c r="U8" s="347">
        <f t="shared" si="1"/>
        <v>5.5197164931872969E-5</v>
      </c>
      <c r="V8" s="347">
        <f t="shared" si="1"/>
        <v>5.9499825332932979E-5</v>
      </c>
      <c r="W8" s="347">
        <f t="shared" si="1"/>
        <v>6.3398310438381549E-5</v>
      </c>
      <c r="X8" s="347">
        <f t="shared" si="1"/>
        <v>6.6981206912016967E-5</v>
      </c>
      <c r="Y8" s="347">
        <f t="shared" si="1"/>
        <v>7.0309249498428638E-5</v>
      </c>
      <c r="Z8" s="347">
        <f t="shared" si="1"/>
        <v>7.342616079866438E-5</v>
      </c>
      <c r="AA8" s="347">
        <f t="shared" si="1"/>
        <v>7.6364619036874511E-5</v>
      </c>
      <c r="AB8" s="347">
        <f t="shared" si="1"/>
        <v>7.9149785098213326E-5</v>
      </c>
    </row>
    <row r="9" spans="1:28" ht="29" x14ac:dyDescent="0.35">
      <c r="A9" s="350" t="s">
        <v>853</v>
      </c>
      <c r="B9" s="351">
        <f>IRI_Prim</f>
        <v>2.4</v>
      </c>
      <c r="C9" s="351" t="s">
        <v>854</v>
      </c>
      <c r="D9" s="473" t="s">
        <v>855</v>
      </c>
      <c r="E9" s="463"/>
      <c r="O9">
        <v>2.5</v>
      </c>
      <c r="Q9" s="347">
        <f t="shared" si="1"/>
        <v>4.4460142164522739E-5</v>
      </c>
      <c r="R9" s="347">
        <f t="shared" si="1"/>
        <v>5.9143210556791748E-5</v>
      </c>
      <c r="S9" s="347">
        <f t="shared" si="1"/>
        <v>6.9887847971109173E-5</v>
      </c>
      <c r="T9" s="347">
        <f t="shared" si="1"/>
        <v>7.8675397438476743E-5</v>
      </c>
      <c r="U9" s="347">
        <f t="shared" si="1"/>
        <v>8.6245570206051523E-5</v>
      </c>
      <c r="V9" s="347">
        <f t="shared" si="1"/>
        <v>9.2968477082707793E-5</v>
      </c>
      <c r="W9" s="347">
        <f t="shared" si="1"/>
        <v>9.90598600599712E-5</v>
      </c>
      <c r="X9" s="347">
        <f t="shared" si="1"/>
        <v>1.0465813580002651E-4</v>
      </c>
      <c r="Y9" s="347">
        <f t="shared" si="1"/>
        <v>1.0985820234129477E-4</v>
      </c>
      <c r="Z9" s="347">
        <f t="shared" si="1"/>
        <v>1.147283762479131E-4</v>
      </c>
      <c r="AA9" s="347">
        <f t="shared" si="1"/>
        <v>1.1931971724511644E-4</v>
      </c>
      <c r="AB9" s="347">
        <f t="shared" si="1"/>
        <v>1.2367153921595834E-4</v>
      </c>
    </row>
    <row r="10" spans="1:28" x14ac:dyDescent="0.35">
      <c r="A10" s="350" t="s">
        <v>856</v>
      </c>
      <c r="B10" s="351">
        <f>IRI_Sec</f>
        <v>2.1</v>
      </c>
      <c r="C10" s="351"/>
      <c r="D10" s="473"/>
      <c r="E10" s="463"/>
      <c r="O10">
        <v>3</v>
      </c>
      <c r="Q10" s="347">
        <f t="shared" si="1"/>
        <v>6.4022604716912739E-5</v>
      </c>
      <c r="R10" s="347">
        <f t="shared" si="1"/>
        <v>8.5166223201780115E-5</v>
      </c>
      <c r="S10" s="347">
        <f t="shared" si="1"/>
        <v>1.0063850107839721E-4</v>
      </c>
      <c r="T10" s="347">
        <f t="shared" si="1"/>
        <v>1.1329257231140649E-4</v>
      </c>
      <c r="U10" s="347">
        <f t="shared" si="1"/>
        <v>1.2419362109671419E-4</v>
      </c>
      <c r="V10" s="347">
        <f t="shared" si="1"/>
        <v>1.338746069990992E-4</v>
      </c>
      <c r="W10" s="347">
        <f t="shared" si="1"/>
        <v>1.4264619848635852E-4</v>
      </c>
      <c r="X10" s="347">
        <f t="shared" si="1"/>
        <v>1.5070771555203817E-4</v>
      </c>
      <c r="Y10" s="347">
        <f t="shared" si="1"/>
        <v>1.5819581137146445E-4</v>
      </c>
      <c r="Z10" s="347">
        <f t="shared" si="1"/>
        <v>1.6520886179699487E-4</v>
      </c>
      <c r="AA10" s="347">
        <f t="shared" si="1"/>
        <v>1.7182039283296767E-4</v>
      </c>
      <c r="AB10" s="347">
        <f t="shared" si="1"/>
        <v>1.7808701647097999E-4</v>
      </c>
    </row>
    <row r="11" spans="1:28" x14ac:dyDescent="0.35">
      <c r="A11" s="350" t="s">
        <v>857</v>
      </c>
      <c r="B11" s="351">
        <f>IRI_Tert</f>
        <v>2.1</v>
      </c>
      <c r="C11" s="351"/>
      <c r="D11" s="473"/>
      <c r="E11" s="463"/>
      <c r="O11">
        <v>3.5</v>
      </c>
      <c r="Q11" s="347">
        <f t="shared" si="1"/>
        <v>8.7141878642464556E-5</v>
      </c>
      <c r="R11" s="347">
        <f t="shared" si="1"/>
        <v>1.1592069269131184E-4</v>
      </c>
      <c r="S11" s="347">
        <f t="shared" si="1"/>
        <v>1.3698018202337397E-4</v>
      </c>
      <c r="T11" s="347">
        <f t="shared" si="1"/>
        <v>1.5420377897941439E-4</v>
      </c>
      <c r="U11" s="347">
        <f t="shared" si="1"/>
        <v>1.69041317603861E-4</v>
      </c>
      <c r="V11" s="347">
        <f t="shared" si="1"/>
        <v>1.8221821508210729E-4</v>
      </c>
      <c r="W11" s="347">
        <f t="shared" si="1"/>
        <v>1.9415732571754354E-4</v>
      </c>
      <c r="X11" s="347">
        <f t="shared" si="1"/>
        <v>2.0512994616805197E-4</v>
      </c>
      <c r="Y11" s="347">
        <f t="shared" si="1"/>
        <v>2.1532207658893777E-4</v>
      </c>
      <c r="Z11" s="347">
        <f t="shared" si="1"/>
        <v>2.2486761744590968E-4</v>
      </c>
      <c r="AA11" s="347">
        <f t="shared" si="1"/>
        <v>2.3386664580042824E-4</v>
      </c>
      <c r="AB11" s="347">
        <f t="shared" si="1"/>
        <v>2.4239621686327834E-4</v>
      </c>
    </row>
    <row r="12" spans="1:28" ht="43.5" x14ac:dyDescent="0.35">
      <c r="A12" s="352" t="s">
        <v>858</v>
      </c>
      <c r="B12" s="370">
        <f>speed_limit/3.6</f>
        <v>0</v>
      </c>
      <c r="C12" s="353" t="s">
        <v>859</v>
      </c>
      <c r="D12" s="474" t="s">
        <v>860</v>
      </c>
      <c r="E12" s="464" t="s">
        <v>861</v>
      </c>
      <c r="O12">
        <v>4</v>
      </c>
      <c r="Q12" s="347">
        <f t="shared" si="1"/>
        <v>1.1381796394117821E-4</v>
      </c>
      <c r="R12" s="347">
        <f t="shared" si="1"/>
        <v>1.5140661902538687E-4</v>
      </c>
      <c r="S12" s="347">
        <f t="shared" si="1"/>
        <v>1.7891289080603949E-4</v>
      </c>
      <c r="T12" s="347">
        <f t="shared" si="1"/>
        <v>2.0140901744250043E-4</v>
      </c>
      <c r="U12" s="347">
        <f t="shared" si="1"/>
        <v>2.2078865972749188E-4</v>
      </c>
      <c r="V12" s="347">
        <f t="shared" si="1"/>
        <v>2.3799930133173192E-4</v>
      </c>
      <c r="W12" s="347">
        <f t="shared" si="1"/>
        <v>2.535932417535262E-4</v>
      </c>
      <c r="X12" s="347">
        <f t="shared" si="1"/>
        <v>2.6792482764806787E-4</v>
      </c>
      <c r="Y12" s="347">
        <f t="shared" si="1"/>
        <v>2.8123699799371455E-4</v>
      </c>
      <c r="Z12" s="347">
        <f t="shared" si="1"/>
        <v>2.9370464319465752E-4</v>
      </c>
      <c r="AA12" s="347">
        <f t="shared" si="1"/>
        <v>3.0545847614749805E-4</v>
      </c>
      <c r="AB12" s="347">
        <f t="shared" si="1"/>
        <v>3.165991403928533E-4</v>
      </c>
    </row>
    <row r="13" spans="1:28" x14ac:dyDescent="0.35">
      <c r="A13" s="98" t="s">
        <v>862</v>
      </c>
      <c r="B13" s="50"/>
      <c r="C13" s="50"/>
      <c r="D13" s="333"/>
      <c r="E13" s="333"/>
      <c r="O13">
        <v>4.5</v>
      </c>
      <c r="Q13" s="347">
        <f t="shared" si="1"/>
        <v>1.440508606130537E-4</v>
      </c>
      <c r="R13" s="347">
        <f t="shared" si="1"/>
        <v>1.9162400220400531E-4</v>
      </c>
      <c r="S13" s="347">
        <f t="shared" si="1"/>
        <v>2.2643662742639377E-4</v>
      </c>
      <c r="T13" s="347">
        <f t="shared" si="1"/>
        <v>2.5490828770066465E-4</v>
      </c>
      <c r="U13" s="347">
        <f t="shared" si="1"/>
        <v>2.7943564746760695E-4</v>
      </c>
      <c r="V13" s="347">
        <f t="shared" si="1"/>
        <v>3.0121786574797326E-4</v>
      </c>
      <c r="W13" s="347">
        <f t="shared" si="1"/>
        <v>3.209539465943067E-4</v>
      </c>
      <c r="X13" s="347">
        <f t="shared" si="1"/>
        <v>3.3909235999208593E-4</v>
      </c>
      <c r="Y13" s="347">
        <f t="shared" si="1"/>
        <v>3.5594057558579513E-4</v>
      </c>
      <c r="Z13" s="347">
        <f t="shared" si="1"/>
        <v>3.7171993904323852E-4</v>
      </c>
      <c r="AA13" s="347">
        <f t="shared" si="1"/>
        <v>3.8659588387417735E-4</v>
      </c>
      <c r="AB13" s="347">
        <f t="shared" si="1"/>
        <v>4.0069578705970507E-4</v>
      </c>
    </row>
    <row r="14" spans="1:28" ht="58" x14ac:dyDescent="0.35">
      <c r="A14" s="50" t="s">
        <v>863</v>
      </c>
      <c r="B14" s="50">
        <v>2.4117000000000002</v>
      </c>
      <c r="C14" s="50"/>
      <c r="D14" s="333" t="s">
        <v>864</v>
      </c>
      <c r="E14" s="333" t="s">
        <v>865</v>
      </c>
      <c r="O14">
        <v>5</v>
      </c>
      <c r="Q14" s="347">
        <f t="shared" si="1"/>
        <v>1.7784056865809096E-4</v>
      </c>
      <c r="R14" s="347">
        <f t="shared" si="1"/>
        <v>2.3657284222716699E-4</v>
      </c>
      <c r="S14" s="347">
        <f t="shared" si="1"/>
        <v>2.7955139188443669E-4</v>
      </c>
      <c r="T14" s="347">
        <f t="shared" si="1"/>
        <v>3.1470158975390697E-4</v>
      </c>
      <c r="U14" s="347">
        <f t="shared" si="1"/>
        <v>3.4498228082420609E-4</v>
      </c>
      <c r="V14" s="347">
        <f t="shared" si="1"/>
        <v>3.7187390833083117E-4</v>
      </c>
      <c r="W14" s="347">
        <f t="shared" si="1"/>
        <v>3.962394402398848E-4</v>
      </c>
      <c r="X14" s="347">
        <f t="shared" si="1"/>
        <v>4.1863254320010604E-4</v>
      </c>
      <c r="Y14" s="347">
        <f t="shared" si="1"/>
        <v>4.3943280936517906E-4</v>
      </c>
      <c r="Z14" s="347">
        <f t="shared" si="1"/>
        <v>4.5891350499165242E-4</v>
      </c>
      <c r="AA14" s="347">
        <f t="shared" si="1"/>
        <v>4.7727886898046574E-4</v>
      </c>
      <c r="AB14" s="347">
        <f t="shared" si="1"/>
        <v>4.9468615686383338E-4</v>
      </c>
    </row>
    <row r="15" spans="1:28" ht="16.5" x14ac:dyDescent="0.45">
      <c r="A15" s="50" t="s">
        <v>866</v>
      </c>
      <c r="B15" s="50">
        <v>22.2</v>
      </c>
      <c r="C15" s="50" t="s">
        <v>859</v>
      </c>
      <c r="D15" s="333" t="s">
        <v>867</v>
      </c>
      <c r="E15" s="333" t="s">
        <v>868</v>
      </c>
      <c r="O15">
        <v>5.5</v>
      </c>
      <c r="Q15" s="347">
        <f t="shared" ref="Q15:AB20" si="2">PI()*0.5*$B$30*$B$15*((Q$4/$B$15)^($B$14-2))*($O15*10^-3)^2*10^-3</f>
        <v>2.1518708807629001E-4</v>
      </c>
      <c r="R15" s="347">
        <f t="shared" si="2"/>
        <v>2.8625313909487205E-4</v>
      </c>
      <c r="S15" s="347">
        <f t="shared" si="2"/>
        <v>3.3825718418016836E-4</v>
      </c>
      <c r="T15" s="347">
        <f t="shared" si="2"/>
        <v>3.8078892360222732E-4</v>
      </c>
      <c r="U15" s="347">
        <f t="shared" si="2"/>
        <v>4.1742855979728927E-4</v>
      </c>
      <c r="V15" s="347">
        <f t="shared" si="2"/>
        <v>4.4996742908030564E-4</v>
      </c>
      <c r="W15" s="347">
        <f t="shared" si="2"/>
        <v>4.7944972269026051E-4</v>
      </c>
      <c r="X15" s="347">
        <f t="shared" si="2"/>
        <v>5.0654537727212821E-4</v>
      </c>
      <c r="Y15" s="347">
        <f t="shared" si="2"/>
        <v>5.3171369933186668E-4</v>
      </c>
      <c r="Z15" s="347">
        <f t="shared" si="2"/>
        <v>5.5528534103989932E-4</v>
      </c>
      <c r="AA15" s="347">
        <f t="shared" si="2"/>
        <v>5.775074314663634E-4</v>
      </c>
      <c r="AB15" s="347">
        <f t="shared" si="2"/>
        <v>5.9857024980523822E-4</v>
      </c>
    </row>
    <row r="16" spans="1:28" x14ac:dyDescent="0.35">
      <c r="A16" s="354" t="s">
        <v>869</v>
      </c>
      <c r="B16" s="354" t="s">
        <v>870</v>
      </c>
      <c r="C16" s="355"/>
      <c r="D16" s="465"/>
      <c r="E16" s="465"/>
      <c r="G16" s="4" t="s">
        <v>870</v>
      </c>
      <c r="H16" s="4" t="s">
        <v>871</v>
      </c>
      <c r="I16" s="4" t="s">
        <v>872</v>
      </c>
      <c r="J16" s="4" t="s">
        <v>873</v>
      </c>
      <c r="K16" s="4" t="s">
        <v>874</v>
      </c>
      <c r="L16" s="4"/>
      <c r="O16">
        <v>6</v>
      </c>
      <c r="Q16" s="347">
        <f t="shared" si="2"/>
        <v>2.5609041886765096E-4</v>
      </c>
      <c r="R16" s="347">
        <f t="shared" si="2"/>
        <v>3.4066489280712046E-4</v>
      </c>
      <c r="S16" s="347">
        <f t="shared" si="2"/>
        <v>4.0255400431358883E-4</v>
      </c>
      <c r="T16" s="347">
        <f t="shared" si="2"/>
        <v>4.5317028924562596E-4</v>
      </c>
      <c r="U16" s="347">
        <f t="shared" si="2"/>
        <v>4.9677448438685675E-4</v>
      </c>
      <c r="V16" s="347">
        <f t="shared" si="2"/>
        <v>5.3549842799639682E-4</v>
      </c>
      <c r="W16" s="347">
        <f t="shared" si="2"/>
        <v>5.7058479394543409E-4</v>
      </c>
      <c r="X16" s="347">
        <f t="shared" si="2"/>
        <v>6.0283086220815269E-4</v>
      </c>
      <c r="Y16" s="347">
        <f t="shared" si="2"/>
        <v>6.3278324548585781E-4</v>
      </c>
      <c r="Z16" s="347">
        <f t="shared" si="2"/>
        <v>6.6083544718797949E-4</v>
      </c>
      <c r="AA16" s="347">
        <f t="shared" si="2"/>
        <v>6.8728157133187068E-4</v>
      </c>
      <c r="AB16" s="347">
        <f t="shared" si="2"/>
        <v>7.1234806588391997E-4</v>
      </c>
    </row>
    <row r="17" spans="1:28" ht="30" x14ac:dyDescent="0.45">
      <c r="A17" s="355" t="s">
        <v>875</v>
      </c>
      <c r="B17" s="355">
        <f>INDEX($G$17:$K$18,1, MATCH($B$16,$G$16:$K$16,0))</f>
        <v>1460</v>
      </c>
      <c r="C17" s="355" t="s">
        <v>662</v>
      </c>
      <c r="D17" s="465" t="s">
        <v>876</v>
      </c>
      <c r="E17" s="465"/>
      <c r="G17">
        <v>1460</v>
      </c>
      <c r="H17">
        <v>2500</v>
      </c>
      <c r="I17">
        <v>2540</v>
      </c>
      <c r="J17">
        <v>6500</v>
      </c>
      <c r="K17">
        <v>34900</v>
      </c>
      <c r="O17">
        <v>6.5</v>
      </c>
      <c r="Q17" s="347">
        <f t="shared" si="2"/>
        <v>3.0055056103217375E-4</v>
      </c>
      <c r="R17" s="347">
        <f t="shared" si="2"/>
        <v>3.998081033639123E-4</v>
      </c>
      <c r="S17" s="347">
        <f t="shared" si="2"/>
        <v>4.724418522846981E-4</v>
      </c>
      <c r="T17" s="347">
        <f t="shared" si="2"/>
        <v>5.3184568668410278E-4</v>
      </c>
      <c r="U17" s="347">
        <f t="shared" si="2"/>
        <v>5.8302005459290838E-4</v>
      </c>
      <c r="V17" s="347">
        <f t="shared" si="2"/>
        <v>6.284669050791047E-4</v>
      </c>
      <c r="W17" s="347">
        <f t="shared" si="2"/>
        <v>6.6964465400540544E-4</v>
      </c>
      <c r="X17" s="347">
        <f t="shared" si="2"/>
        <v>7.0748899800817939E-4</v>
      </c>
      <c r="Y17" s="347">
        <f t="shared" si="2"/>
        <v>7.426414478271528E-4</v>
      </c>
      <c r="Z17" s="347">
        <f t="shared" si="2"/>
        <v>7.7556382343589266E-4</v>
      </c>
      <c r="AA17" s="347">
        <f t="shared" si="2"/>
        <v>8.0660128857698728E-4</v>
      </c>
      <c r="AB17" s="347">
        <f t="shared" si="2"/>
        <v>8.3601960509987853E-4</v>
      </c>
    </row>
    <row r="18" spans="1:28" ht="16.5" x14ac:dyDescent="0.45">
      <c r="A18" s="355" t="s">
        <v>877</v>
      </c>
      <c r="B18" s="355">
        <f>INDEX($G$17:$K$18,2, MATCH($B$16,$G$16:$K$16,0))</f>
        <v>80</v>
      </c>
      <c r="C18" s="355" t="s">
        <v>662</v>
      </c>
      <c r="D18" s="465"/>
      <c r="E18" s="465" t="s">
        <v>878</v>
      </c>
      <c r="G18">
        <v>80</v>
      </c>
      <c r="H18">
        <v>125</v>
      </c>
      <c r="I18">
        <v>134</v>
      </c>
      <c r="J18">
        <v>395</v>
      </c>
      <c r="K18">
        <v>544</v>
      </c>
      <c r="O18">
        <v>7</v>
      </c>
      <c r="Q18" s="347">
        <f t="shared" si="2"/>
        <v>3.4856751456985823E-4</v>
      </c>
      <c r="R18" s="347">
        <f t="shared" si="2"/>
        <v>4.6368277076524735E-4</v>
      </c>
      <c r="S18" s="347">
        <f t="shared" si="2"/>
        <v>5.4792072809349589E-4</v>
      </c>
      <c r="T18" s="347">
        <f t="shared" si="2"/>
        <v>6.1681511591765758E-4</v>
      </c>
      <c r="U18" s="347">
        <f t="shared" si="2"/>
        <v>6.76165270415444E-4</v>
      </c>
      <c r="V18" s="347">
        <f t="shared" si="2"/>
        <v>7.2887286032842914E-4</v>
      </c>
      <c r="W18" s="347">
        <f t="shared" si="2"/>
        <v>7.7662930287017418E-4</v>
      </c>
      <c r="X18" s="347">
        <f t="shared" si="2"/>
        <v>8.2051978467220787E-4</v>
      </c>
      <c r="Y18" s="347">
        <f t="shared" si="2"/>
        <v>8.6128830635575108E-4</v>
      </c>
      <c r="Z18" s="347">
        <f t="shared" si="2"/>
        <v>8.9947046978363873E-4</v>
      </c>
      <c r="AA18" s="347">
        <f t="shared" si="2"/>
        <v>9.3546658320171297E-4</v>
      </c>
      <c r="AB18" s="347">
        <f t="shared" si="2"/>
        <v>9.6958486745311336E-4</v>
      </c>
    </row>
    <row r="19" spans="1:28" x14ac:dyDescent="0.35">
      <c r="A19" s="354" t="s">
        <v>869</v>
      </c>
      <c r="B19" s="354" t="s">
        <v>874</v>
      </c>
      <c r="C19" s="355"/>
      <c r="D19" s="465"/>
      <c r="E19" s="465"/>
      <c r="O19">
        <v>7.5</v>
      </c>
      <c r="Q19" s="347">
        <f t="shared" si="2"/>
        <v>4.001412794807046E-4</v>
      </c>
      <c r="R19" s="347">
        <f t="shared" si="2"/>
        <v>5.3228889501112577E-4</v>
      </c>
      <c r="S19" s="347">
        <f t="shared" si="2"/>
        <v>6.2899063173998254E-4</v>
      </c>
      <c r="T19" s="347">
        <f t="shared" si="2"/>
        <v>7.0807857694629055E-4</v>
      </c>
      <c r="U19" s="347">
        <f t="shared" si="2"/>
        <v>7.762101318544637E-4</v>
      </c>
      <c r="V19" s="347">
        <f t="shared" si="2"/>
        <v>8.3671629374437013E-4</v>
      </c>
      <c r="W19" s="347">
        <f t="shared" si="2"/>
        <v>8.9153874053974074E-4</v>
      </c>
      <c r="X19" s="347">
        <f t="shared" si="2"/>
        <v>9.4192322220023857E-4</v>
      </c>
      <c r="Y19" s="347">
        <f t="shared" si="2"/>
        <v>9.8872382107165289E-4</v>
      </c>
      <c r="Z19" s="347">
        <f t="shared" si="2"/>
        <v>1.0325553862312179E-3</v>
      </c>
      <c r="AA19" s="347">
        <f t="shared" si="2"/>
        <v>1.073877455206048E-3</v>
      </c>
      <c r="AB19" s="347">
        <f t="shared" si="2"/>
        <v>1.1130438529436248E-3</v>
      </c>
    </row>
    <row r="20" spans="1:28" ht="16.5" x14ac:dyDescent="0.45">
      <c r="A20" s="355" t="s">
        <v>875</v>
      </c>
      <c r="B20" s="355">
        <f>INDEX($G$17:$K$18,1, MATCH($B$19,$G$16:$K$16,0))</f>
        <v>34900</v>
      </c>
      <c r="C20" s="355" t="s">
        <v>662</v>
      </c>
      <c r="D20" s="465" t="s">
        <v>879</v>
      </c>
      <c r="E20" s="465"/>
      <c r="O20">
        <v>8</v>
      </c>
      <c r="Q20" s="347">
        <f t="shared" si="2"/>
        <v>4.5527185576471282E-4</v>
      </c>
      <c r="R20" s="347">
        <f t="shared" si="2"/>
        <v>6.0562647610154746E-4</v>
      </c>
      <c r="S20" s="347">
        <f t="shared" si="2"/>
        <v>7.1565156322415794E-4</v>
      </c>
      <c r="T20" s="347">
        <f t="shared" si="2"/>
        <v>8.0563606977000172E-4</v>
      </c>
      <c r="U20" s="347">
        <f t="shared" si="2"/>
        <v>8.831546389099675E-4</v>
      </c>
      <c r="V20" s="347">
        <f t="shared" si="2"/>
        <v>9.5199720532692766E-4</v>
      </c>
      <c r="W20" s="347">
        <f t="shared" si="2"/>
        <v>1.0143729670141048E-3</v>
      </c>
      <c r="X20" s="347">
        <f t="shared" si="2"/>
        <v>1.0716993105922715E-3</v>
      </c>
      <c r="Y20" s="347">
        <f t="shared" si="2"/>
        <v>1.1249479919748582E-3</v>
      </c>
      <c r="Z20" s="347">
        <f t="shared" si="2"/>
        <v>1.1748185727786301E-3</v>
      </c>
      <c r="AA20" s="347">
        <f t="shared" si="2"/>
        <v>1.2218339045899922E-3</v>
      </c>
      <c r="AB20" s="347">
        <f t="shared" si="2"/>
        <v>1.2663965615714132E-3</v>
      </c>
    </row>
    <row r="21" spans="1:28" ht="16.5" x14ac:dyDescent="0.45">
      <c r="A21" s="355" t="s">
        <v>877</v>
      </c>
      <c r="B21" s="355">
        <f>INDEX($G$17:$K$18,2, MATCH($B$19,$G$16:$K$16,0))</f>
        <v>544</v>
      </c>
      <c r="C21" s="355" t="s">
        <v>662</v>
      </c>
      <c r="D21" s="465"/>
      <c r="E21" s="465" t="s">
        <v>878</v>
      </c>
      <c r="Q21" s="347"/>
      <c r="R21" s="347"/>
      <c r="S21" s="347"/>
      <c r="T21" s="347"/>
      <c r="U21" s="347"/>
      <c r="V21" s="347"/>
      <c r="W21" s="347"/>
      <c r="X21" s="347"/>
      <c r="Y21" s="347"/>
      <c r="Z21" s="347"/>
      <c r="AA21" s="347"/>
      <c r="AB21" s="347"/>
    </row>
    <row r="22" spans="1:28" x14ac:dyDescent="0.35">
      <c r="A22" s="356" t="s">
        <v>880</v>
      </c>
      <c r="B22" s="357"/>
      <c r="C22" s="357"/>
      <c r="D22" s="466"/>
      <c r="E22" s="466"/>
    </row>
    <row r="23" spans="1:28" ht="17.5" x14ac:dyDescent="0.45">
      <c r="A23" s="357" t="s">
        <v>881</v>
      </c>
      <c r="B23" s="357">
        <v>653</v>
      </c>
      <c r="C23" s="357" t="s">
        <v>882</v>
      </c>
      <c r="D23" s="466"/>
      <c r="E23" s="466" t="s">
        <v>883</v>
      </c>
    </row>
    <row r="24" spans="1:28" ht="17.5" x14ac:dyDescent="0.45">
      <c r="A24" s="357" t="s">
        <v>884</v>
      </c>
      <c r="B24" s="357">
        <v>63.3</v>
      </c>
      <c r="C24" s="357" t="s">
        <v>882</v>
      </c>
      <c r="D24" s="466"/>
      <c r="E24" s="466" t="s">
        <v>883</v>
      </c>
    </row>
    <row r="25" spans="1:28" ht="16.5" x14ac:dyDescent="0.45">
      <c r="A25" s="357" t="s">
        <v>885</v>
      </c>
      <c r="B25" s="357">
        <v>6</v>
      </c>
      <c r="C25" s="357" t="s">
        <v>886</v>
      </c>
      <c r="D25" s="466"/>
      <c r="E25" s="466" t="s">
        <v>883</v>
      </c>
    </row>
    <row r="26" spans="1:28" ht="16.5" x14ac:dyDescent="0.45">
      <c r="A26" s="357" t="s">
        <v>887</v>
      </c>
      <c r="B26" s="357">
        <v>0.15</v>
      </c>
      <c r="C26" s="357" t="s">
        <v>888</v>
      </c>
      <c r="D26" s="466"/>
      <c r="E26" s="466" t="s">
        <v>883</v>
      </c>
    </row>
    <row r="27" spans="1:28" x14ac:dyDescent="0.35">
      <c r="A27" s="358" t="s">
        <v>889</v>
      </c>
      <c r="B27" s="359" t="str">
        <f>B16</f>
        <v>Medium car</v>
      </c>
      <c r="C27" s="359"/>
      <c r="D27" s="467"/>
      <c r="E27" s="467"/>
    </row>
    <row r="28" spans="1:28" ht="44.5" x14ac:dyDescent="0.45">
      <c r="A28" s="359" t="s">
        <v>890</v>
      </c>
      <c r="B28" s="359">
        <f>653*B$18</f>
        <v>52240</v>
      </c>
      <c r="C28" s="359" t="s">
        <v>891</v>
      </c>
      <c r="D28" s="467"/>
      <c r="E28" s="467" t="s">
        <v>892</v>
      </c>
    </row>
    <row r="29" spans="1:28" ht="44.5" x14ac:dyDescent="0.45">
      <c r="A29" s="359" t="s">
        <v>893</v>
      </c>
      <c r="B29" s="359">
        <f>63.3*B$18</f>
        <v>5064</v>
      </c>
      <c r="C29" s="359" t="s">
        <v>891</v>
      </c>
      <c r="D29" s="467"/>
      <c r="E29" s="467" t="s">
        <v>892</v>
      </c>
    </row>
    <row r="30" spans="1:28" ht="44.5" x14ac:dyDescent="0.45">
      <c r="A30" s="359" t="s">
        <v>894</v>
      </c>
      <c r="B30" s="359">
        <f>6*B$18</f>
        <v>480</v>
      </c>
      <c r="C30" s="359" t="s">
        <v>895</v>
      </c>
      <c r="D30" s="467"/>
      <c r="E30" s="467" t="s">
        <v>892</v>
      </c>
      <c r="N30" s="360"/>
    </row>
    <row r="31" spans="1:28" ht="44.5" x14ac:dyDescent="0.45">
      <c r="A31" s="359" t="s">
        <v>896</v>
      </c>
      <c r="B31" s="359">
        <f>0.15*B$18</f>
        <v>12</v>
      </c>
      <c r="C31" s="359" t="s">
        <v>662</v>
      </c>
      <c r="D31" s="467"/>
      <c r="E31" s="467" t="s">
        <v>892</v>
      </c>
      <c r="N31" s="361"/>
    </row>
    <row r="32" spans="1:28" x14ac:dyDescent="0.35">
      <c r="A32" s="358" t="s">
        <v>889</v>
      </c>
      <c r="B32" s="359" t="str">
        <f>B19</f>
        <v>Articulated truck</v>
      </c>
      <c r="C32" s="359"/>
      <c r="D32" s="467"/>
      <c r="E32" s="467"/>
    </row>
    <row r="33" spans="1:14" ht="44.5" x14ac:dyDescent="0.45">
      <c r="A33" s="359" t="s">
        <v>890</v>
      </c>
      <c r="B33" s="359">
        <f>653*B$21</f>
        <v>355232</v>
      </c>
      <c r="C33" s="359" t="s">
        <v>891</v>
      </c>
      <c r="D33" s="467"/>
      <c r="E33" s="467" t="s">
        <v>892</v>
      </c>
    </row>
    <row r="34" spans="1:14" ht="44.5" x14ac:dyDescent="0.45">
      <c r="A34" s="359" t="s">
        <v>893</v>
      </c>
      <c r="B34" s="359">
        <f>63.3*B$21</f>
        <v>34435.199999999997</v>
      </c>
      <c r="C34" s="359" t="s">
        <v>891</v>
      </c>
      <c r="D34" s="467"/>
      <c r="E34" s="467" t="s">
        <v>892</v>
      </c>
    </row>
    <row r="35" spans="1:14" ht="44.5" x14ac:dyDescent="0.45">
      <c r="A35" s="359" t="s">
        <v>894</v>
      </c>
      <c r="B35" s="359">
        <f>6*B$21</f>
        <v>3264</v>
      </c>
      <c r="C35" s="359" t="s">
        <v>895</v>
      </c>
      <c r="D35" s="467"/>
      <c r="E35" s="467" t="s">
        <v>892</v>
      </c>
      <c r="N35" s="360"/>
    </row>
    <row r="36" spans="1:14" ht="44.5" x14ac:dyDescent="0.45">
      <c r="A36" s="359" t="s">
        <v>896</v>
      </c>
      <c r="B36" s="359">
        <f>0.15*B$21</f>
        <v>81.599999999999994</v>
      </c>
      <c r="C36" s="359" t="s">
        <v>662</v>
      </c>
      <c r="D36" s="467"/>
      <c r="E36" s="467" t="s">
        <v>892</v>
      </c>
      <c r="N36" s="361"/>
    </row>
    <row r="37" spans="1:14" x14ac:dyDescent="0.35">
      <c r="N37" s="361"/>
    </row>
    <row r="38" spans="1:14" x14ac:dyDescent="0.35">
      <c r="A38" s="359" t="s">
        <v>897</v>
      </c>
      <c r="B38" s="65"/>
      <c r="N38" s="361"/>
    </row>
    <row r="39" spans="1:14" x14ac:dyDescent="0.35">
      <c r="A39" s="362" t="s">
        <v>898</v>
      </c>
      <c r="B39" s="193"/>
      <c r="C39" s="193"/>
      <c r="D39" s="468"/>
      <c r="E39" s="468"/>
    </row>
    <row r="40" spans="1:14" x14ac:dyDescent="0.35">
      <c r="A40" s="362" t="s">
        <v>899</v>
      </c>
      <c r="B40" s="362"/>
      <c r="C40" s="362"/>
      <c r="D40" s="468"/>
      <c r="E40" s="468"/>
    </row>
    <row r="41" spans="1:14" x14ac:dyDescent="0.35">
      <c r="A41" s="193" t="s">
        <v>900</v>
      </c>
      <c r="B41" s="363">
        <f>1/1000</f>
        <v>1E-3</v>
      </c>
      <c r="C41" s="363">
        <f>1/1000</f>
        <v>1E-3</v>
      </c>
      <c r="D41" s="468" t="s">
        <v>901</v>
      </c>
      <c r="E41" s="468"/>
    </row>
    <row r="42" spans="1:14" x14ac:dyDescent="0.35">
      <c r="A42" s="193" t="s">
        <v>902</v>
      </c>
      <c r="B42" s="363">
        <f>PI()*0.5*$B$30*$B$15*(($B$12/$B$15)^($B$14-2))*$B$41^2</f>
        <v>0</v>
      </c>
      <c r="C42" s="363">
        <f>PI()*0.5*$B$35*$B$15*(($B$12/$B$15)^($B$14-2))*$C$41^2</f>
        <v>0</v>
      </c>
      <c r="D42" s="468" t="s">
        <v>903</v>
      </c>
      <c r="E42" s="468"/>
    </row>
    <row r="43" spans="1:14" x14ac:dyDescent="0.35">
      <c r="A43" s="193" t="s">
        <v>902</v>
      </c>
      <c r="B43" s="363">
        <f>B42*1000</f>
        <v>0</v>
      </c>
      <c r="C43" s="363">
        <f>C42*1000</f>
        <v>0</v>
      </c>
      <c r="D43" s="468" t="s">
        <v>904</v>
      </c>
      <c r="E43" s="468"/>
    </row>
    <row r="44" spans="1:14" x14ac:dyDescent="0.35">
      <c r="A44" s="362" t="s">
        <v>902</v>
      </c>
      <c r="B44" s="365">
        <f>B43*10^-6</f>
        <v>0</v>
      </c>
      <c r="C44" s="365">
        <f>C43*10^-6</f>
        <v>0</v>
      </c>
      <c r="D44" s="475" t="s">
        <v>905</v>
      </c>
      <c r="E44" s="468"/>
    </row>
    <row r="45" spans="1:14" x14ac:dyDescent="0.35">
      <c r="A45" s="362" t="s">
        <v>906</v>
      </c>
      <c r="B45" s="362" t="str">
        <f>B16</f>
        <v>Medium car</v>
      </c>
      <c r="C45" s="362" t="str">
        <f>B19</f>
        <v>Articulated truck</v>
      </c>
      <c r="D45" s="468"/>
      <c r="E45" s="468"/>
    </row>
    <row r="46" spans="1:14" ht="29" x14ac:dyDescent="0.35">
      <c r="A46" s="193" t="s">
        <v>900</v>
      </c>
      <c r="B46" s="363">
        <f>B9/1000</f>
        <v>2.3999999999999998E-3</v>
      </c>
      <c r="C46" s="363">
        <f>B9/1000</f>
        <v>2.3999999999999998E-3</v>
      </c>
      <c r="D46" s="468" t="s">
        <v>901</v>
      </c>
      <c r="E46" s="468" t="s">
        <v>855</v>
      </c>
    </row>
    <row r="47" spans="1:14" x14ac:dyDescent="0.35">
      <c r="A47" s="193" t="s">
        <v>902</v>
      </c>
      <c r="B47" s="363">
        <f>PI()*0.5*$B$30*$B$15*(($B$12/$B$15)^($B$14-2))*$B$46^2</f>
        <v>0</v>
      </c>
      <c r="C47" s="363">
        <f>PI()*0.5*$B$35*$B$15*(($B$12/$B$15)^($B$14-2))*$C$46^2</f>
        <v>0</v>
      </c>
      <c r="D47" s="468" t="s">
        <v>903</v>
      </c>
      <c r="E47" s="468"/>
      <c r="H47" s="364"/>
      <c r="J47" s="364"/>
    </row>
    <row r="48" spans="1:14" x14ac:dyDescent="0.35">
      <c r="A48" s="193" t="s">
        <v>902</v>
      </c>
      <c r="B48" s="363">
        <f>B47*1000</f>
        <v>0</v>
      </c>
      <c r="C48" s="363">
        <f>C47*1000</f>
        <v>0</v>
      </c>
      <c r="D48" s="468" t="s">
        <v>904</v>
      </c>
      <c r="E48" s="468"/>
      <c r="H48" s="364"/>
      <c r="J48" s="364"/>
    </row>
    <row r="49" spans="1:10" x14ac:dyDescent="0.35">
      <c r="A49" s="362" t="s">
        <v>902</v>
      </c>
      <c r="B49" s="365">
        <f>B48*10^-6</f>
        <v>0</v>
      </c>
      <c r="C49" s="365">
        <f>C48*10^-6</f>
        <v>0</v>
      </c>
      <c r="D49" s="475" t="s">
        <v>905</v>
      </c>
      <c r="E49" s="468"/>
      <c r="H49" s="364"/>
      <c r="J49" s="364"/>
    </row>
    <row r="50" spans="1:10" x14ac:dyDescent="0.35">
      <c r="A50" s="362" t="s">
        <v>907</v>
      </c>
      <c r="B50" s="362" t="str">
        <f>B16</f>
        <v>Medium car</v>
      </c>
      <c r="C50" s="362" t="str">
        <f>B19</f>
        <v>Articulated truck</v>
      </c>
      <c r="D50" s="468"/>
      <c r="E50" s="468"/>
      <c r="H50" s="364"/>
      <c r="J50" s="364"/>
    </row>
    <row r="51" spans="1:10" ht="29" x14ac:dyDescent="0.35">
      <c r="A51" s="193" t="s">
        <v>900</v>
      </c>
      <c r="B51" s="363">
        <f>B10/1000</f>
        <v>2.1000000000000003E-3</v>
      </c>
      <c r="C51" s="363">
        <f>B10/1000</f>
        <v>2.1000000000000003E-3</v>
      </c>
      <c r="D51" s="468" t="s">
        <v>901</v>
      </c>
      <c r="E51" s="468" t="s">
        <v>855</v>
      </c>
      <c r="H51" s="364"/>
      <c r="J51" s="364"/>
    </row>
    <row r="52" spans="1:10" x14ac:dyDescent="0.35">
      <c r="A52" s="193" t="s">
        <v>902</v>
      </c>
      <c r="B52" s="363">
        <f>PI()*0.5*$B$30*$B$15*(($B$12/$B$15)^($B$14-2))*$B$51^2</f>
        <v>0</v>
      </c>
      <c r="C52" s="363">
        <f>PI()*0.5*$B$35*$B$15*(($B$12/$B$15)^($B$14-2))*$C$51^2</f>
        <v>0</v>
      </c>
      <c r="D52" s="468" t="s">
        <v>903</v>
      </c>
      <c r="E52" s="468"/>
      <c r="H52" s="364"/>
      <c r="J52" s="364"/>
    </row>
    <row r="53" spans="1:10" x14ac:dyDescent="0.35">
      <c r="A53" s="193" t="s">
        <v>902</v>
      </c>
      <c r="B53" s="363">
        <f>B52*1000</f>
        <v>0</v>
      </c>
      <c r="C53" s="363">
        <f>C52*1000</f>
        <v>0</v>
      </c>
      <c r="D53" s="468" t="s">
        <v>904</v>
      </c>
      <c r="E53" s="468"/>
      <c r="H53" s="364"/>
      <c r="J53" s="364"/>
    </row>
    <row r="54" spans="1:10" x14ac:dyDescent="0.35">
      <c r="A54" s="362" t="s">
        <v>902</v>
      </c>
      <c r="B54" s="365">
        <f>B53*10^-6</f>
        <v>0</v>
      </c>
      <c r="C54" s="365">
        <f>C53*10^-6</f>
        <v>0</v>
      </c>
      <c r="D54" s="475" t="s">
        <v>905</v>
      </c>
      <c r="E54" s="468"/>
      <c r="H54" s="364"/>
      <c r="J54" s="364"/>
    </row>
    <row r="55" spans="1:10" x14ac:dyDescent="0.35">
      <c r="A55" s="362" t="s">
        <v>908</v>
      </c>
      <c r="B55" s="362" t="str">
        <f>B16</f>
        <v>Medium car</v>
      </c>
      <c r="C55" s="362" t="str">
        <f>B19</f>
        <v>Articulated truck</v>
      </c>
      <c r="D55" s="475"/>
      <c r="E55" s="468"/>
      <c r="H55" s="364"/>
      <c r="J55" s="364"/>
    </row>
    <row r="56" spans="1:10" ht="29" x14ac:dyDescent="0.35">
      <c r="A56" s="193" t="s">
        <v>900</v>
      </c>
      <c r="B56" s="363">
        <f>B11/1000</f>
        <v>2.1000000000000003E-3</v>
      </c>
      <c r="C56" s="363">
        <f>B11/1000</f>
        <v>2.1000000000000003E-3</v>
      </c>
      <c r="D56" s="468" t="s">
        <v>901</v>
      </c>
      <c r="E56" s="468" t="s">
        <v>855</v>
      </c>
      <c r="H56" s="364"/>
      <c r="J56" s="364"/>
    </row>
    <row r="57" spans="1:10" x14ac:dyDescent="0.35">
      <c r="A57" s="193" t="s">
        <v>902</v>
      </c>
      <c r="B57" s="363">
        <f>PI()*0.5*$B$30*$B$15*(($B$12/$B$15)^($B$14-2))*$B$56^2</f>
        <v>0</v>
      </c>
      <c r="C57" s="363">
        <f>PI()*0.5*$B$35*$B$15*(($B$12/$B$15)^($B$14-2))*$C$56^2</f>
        <v>0</v>
      </c>
      <c r="D57" s="468" t="s">
        <v>903</v>
      </c>
      <c r="E57" s="468"/>
      <c r="H57" s="364"/>
      <c r="J57" s="364"/>
    </row>
    <row r="58" spans="1:10" x14ac:dyDescent="0.35">
      <c r="A58" s="193" t="s">
        <v>902</v>
      </c>
      <c r="B58" s="363">
        <f>B57*1000</f>
        <v>0</v>
      </c>
      <c r="C58" s="363">
        <f>C57*1000</f>
        <v>0</v>
      </c>
      <c r="D58" s="468" t="s">
        <v>904</v>
      </c>
      <c r="E58" s="468"/>
      <c r="H58" s="364"/>
      <c r="J58" s="364"/>
    </row>
    <row r="59" spans="1:10" x14ac:dyDescent="0.35">
      <c r="A59" s="362" t="s">
        <v>902</v>
      </c>
      <c r="B59" s="365">
        <f>B58*10^-6</f>
        <v>0</v>
      </c>
      <c r="C59" s="365">
        <f>C58*10^-6</f>
        <v>0</v>
      </c>
      <c r="D59" s="475" t="s">
        <v>905</v>
      </c>
      <c r="E59" s="468"/>
      <c r="H59" s="364"/>
      <c r="J59" s="364"/>
    </row>
    <row r="60" spans="1:10" x14ac:dyDescent="0.35">
      <c r="A60" s="364"/>
      <c r="B60" s="364"/>
      <c r="C60" s="364"/>
      <c r="D60" s="469"/>
      <c r="E60" s="469"/>
      <c r="H60" s="364"/>
      <c r="J60" s="364"/>
    </row>
    <row r="61" spans="1:10" x14ac:dyDescent="0.35">
      <c r="A61" s="364"/>
      <c r="B61" s="364"/>
      <c r="C61" s="364"/>
      <c r="D61" s="469"/>
      <c r="E61" s="469"/>
      <c r="F61" s="364"/>
      <c r="H61" s="364"/>
      <c r="J61" s="364"/>
    </row>
    <row r="62" spans="1:10" x14ac:dyDescent="0.35">
      <c r="A62" s="371" t="s">
        <v>909</v>
      </c>
      <c r="B62" s="366"/>
      <c r="C62" s="366"/>
      <c r="D62" s="470"/>
      <c r="E62" s="470"/>
    </row>
    <row r="63" spans="1:10" ht="72.5" x14ac:dyDescent="0.35">
      <c r="A63" s="366" t="s">
        <v>910</v>
      </c>
      <c r="B63" s="366">
        <v>6.5000000000000002E-2</v>
      </c>
      <c r="C63" s="366" t="s">
        <v>911</v>
      </c>
      <c r="D63" s="470" t="s">
        <v>912</v>
      </c>
      <c r="E63" s="470" t="s">
        <v>913</v>
      </c>
    </row>
    <row r="64" spans="1:10" ht="29" x14ac:dyDescent="0.35">
      <c r="A64" s="366" t="s">
        <v>914</v>
      </c>
      <c r="B64" s="366">
        <v>34.200000000000003</v>
      </c>
      <c r="C64" s="366" t="s">
        <v>915</v>
      </c>
      <c r="D64" s="470" t="s">
        <v>916</v>
      </c>
      <c r="E64" s="470" t="s">
        <v>917</v>
      </c>
    </row>
    <row r="65" spans="1:11" x14ac:dyDescent="0.35">
      <c r="A65" s="366" t="s">
        <v>918</v>
      </c>
      <c r="B65" s="366">
        <v>0.3</v>
      </c>
      <c r="C65" s="366"/>
      <c r="D65" s="470"/>
      <c r="E65" s="470" t="s">
        <v>919</v>
      </c>
    </row>
    <row r="66" spans="1:11" x14ac:dyDescent="0.35">
      <c r="A66" s="366" t="s">
        <v>920</v>
      </c>
      <c r="B66" s="366">
        <f>B63*B64*B65</f>
        <v>0.66690000000000005</v>
      </c>
      <c r="C66" s="366" t="s">
        <v>905</v>
      </c>
      <c r="D66" s="470"/>
      <c r="E66" s="470"/>
    </row>
    <row r="67" spans="1:11" x14ac:dyDescent="0.35">
      <c r="A67" s="367" t="s">
        <v>921</v>
      </c>
      <c r="B67" s="368">
        <f>B49/B66</f>
        <v>0</v>
      </c>
      <c r="C67" s="367"/>
      <c r="D67" s="471"/>
      <c r="E67" s="471"/>
    </row>
    <row r="68" spans="1:11" x14ac:dyDescent="0.35">
      <c r="B68" s="361"/>
    </row>
    <row r="69" spans="1:11" x14ac:dyDescent="0.35">
      <c r="B69" s="369"/>
    </row>
    <row r="71" spans="1:11" x14ac:dyDescent="0.35">
      <c r="A71" t="s">
        <v>922</v>
      </c>
    </row>
    <row r="72" spans="1:11" x14ac:dyDescent="0.35">
      <c r="A72" t="s">
        <v>923</v>
      </c>
      <c r="B72" cm="1">
        <f t="array" aca="1" ref="B72:K72" ca="1">((INDEX(Indicators,MATCH(EPD_version&amp;"GWP",Materials!$D:$D,0),MATCH("diesel combustion (vehicle)",Materials!$1:$1,0))*((1-enviro_disc)^Handle_years)*Handle_electricity_emissions:OFFSET(Handle_electricity_emissions,0,Results_timespan-1)^0)/0.15)*OFFSET(Handle_traffic_fleet,0,0):OFFSET(Handle_traffic_fleet,0,Results_timespan-1)</f>
        <v>5.2028693346206616</v>
      </c>
      <c r="C72">
        <f ca="1"/>
        <v>5.3488437353587077</v>
      </c>
      <c r="D72" s="2">
        <f ca="1"/>
        <v>5.2840717457262487</v>
      </c>
      <c r="E72" s="2">
        <f ca="1"/>
        <v>5.2410404155638481</v>
      </c>
      <c r="F72">
        <f ca="1"/>
        <v>5.1921903185309795</v>
      </c>
      <c r="G72">
        <f ca="1"/>
        <v>5.1420547058160668</v>
      </c>
      <c r="H72">
        <f ca="1"/>
        <v>5.0911279834925685</v>
      </c>
      <c r="I72">
        <f ca="1"/>
        <v>5.0340224358748458</v>
      </c>
      <c r="J72">
        <f ca="1"/>
        <v>4.9727662509368509</v>
      </c>
      <c r="K72">
        <f ca="1"/>
        <v>4.904852782885647</v>
      </c>
    </row>
    <row r="73" spans="1:11" x14ac:dyDescent="0.35">
      <c r="A73" t="s">
        <v>924</v>
      </c>
      <c r="B73" cm="1">
        <f t="array" aca="1" ref="B73:K73" ca="1">((INDEX(Indicators,MATCH(EPD_version&amp;"GWP",Materials!$D:$D,0),MATCH("petrol combustion",Materials!$1:$1,0))*((1-enviro_disc)^Handle_years)*Handle_electricity_emissions:OFFSET(Handle_electricity_emissions,0,Results_timespan-1)^0)/0.15)*OFFSET(Handle_traffic_fleet,1,0):OFFSET(Handle_traffic_fleet,1,Results_timespan-1)</f>
        <v>15.99401171467923</v>
      </c>
      <c r="C73">
        <f ca="1"/>
        <v>15.604779804782043</v>
      </c>
      <c r="D73" s="2">
        <f ca="1"/>
        <v>15.450134180015516</v>
      </c>
      <c r="E73" s="2">
        <f ca="1"/>
        <v>15.264654668510888</v>
      </c>
      <c r="F73">
        <f ca="1"/>
        <v>15.080863749210243</v>
      </c>
      <c r="G73">
        <f ca="1"/>
        <v>14.898511407181138</v>
      </c>
      <c r="H73">
        <f ca="1"/>
        <v>14.715644187884056</v>
      </c>
      <c r="I73">
        <f ca="1"/>
        <v>14.535378758626686</v>
      </c>
      <c r="J73">
        <f ca="1"/>
        <v>14.353040199720676</v>
      </c>
      <c r="K73">
        <f ca="1"/>
        <v>14.167901788297618</v>
      </c>
    </row>
    <row r="74" spans="1:11" s="9" customFormat="1" x14ac:dyDescent="0.35">
      <c r="A74" s="9" t="s">
        <v>925</v>
      </c>
      <c r="B74" s="9" cm="1">
        <f t="array" aca="1" ref="B74:K74" ca="1">((Handle_electricity_emissions:OFFSET(Handle_electricity_emissions,0,Results_timespan-1)*((1-enviro_disc)^Handle_years))/0.8)*OFFSET(Handle_traffic_fleet,2,0):OFFSET(Handle_traffic_fleet,2,Results_timespan-1)</f>
        <v>1.1165981411634329E-4</v>
      </c>
      <c r="C74" s="9">
        <f ca="1"/>
        <v>1.8489980868921063E-4</v>
      </c>
      <c r="D74" s="67">
        <f ca="1"/>
        <v>1.8672454594154442E-4</v>
      </c>
      <c r="E74" s="67">
        <f ca="1"/>
        <v>2.5035214768940852E-4</v>
      </c>
      <c r="F74" s="9">
        <f ca="1"/>
        <v>3.2221710485104828E-4</v>
      </c>
      <c r="G74" s="9">
        <f ca="1"/>
        <v>3.8689147244968776E-4</v>
      </c>
      <c r="H74" s="9">
        <f ca="1"/>
        <v>4.6430305050130323E-4</v>
      </c>
      <c r="I74" s="9">
        <f ca="1"/>
        <v>5.5788456927230066E-4</v>
      </c>
      <c r="J74" s="9">
        <f ca="1"/>
        <v>6.719395134064341E-4</v>
      </c>
      <c r="K74" s="9">
        <f ca="1"/>
        <v>7.157789800650631E-4</v>
      </c>
    </row>
    <row r="75" spans="1:11" x14ac:dyDescent="0.35">
      <c r="A75" t="s">
        <v>926</v>
      </c>
      <c r="B75" cm="1">
        <f t="array" aca="1" ref="B75:K75" ca="1">((INDEX(Indicators,MATCH(EPD_version&amp;"GWP",Materials!$D:$D,0),MATCH("diesel combustion (vehicle)",Materials!$1:$1,0))*((1-enviro_disc)^Handle_years)*Handle_electricity_emissions:OFFSET(Handle_electricity_emissions,0,Results_timespan-1)^0)/0.15)*OFFSET(Handle_traffic_fleet,3,0):OFFSET(Handle_traffic_fleet,3,Results_timespan-1)</f>
        <v>0</v>
      </c>
      <c r="C75">
        <f ca="1"/>
        <v>0</v>
      </c>
      <c r="D75" s="2">
        <f ca="1"/>
        <v>0</v>
      </c>
      <c r="E75" s="2">
        <f ca="1"/>
        <v>0</v>
      </c>
      <c r="F75">
        <f ca="1"/>
        <v>0</v>
      </c>
      <c r="G75">
        <f ca="1"/>
        <v>0</v>
      </c>
      <c r="H75">
        <f ca="1"/>
        <v>0</v>
      </c>
      <c r="I75">
        <f ca="1"/>
        <v>0</v>
      </c>
      <c r="J75">
        <f ca="1"/>
        <v>0</v>
      </c>
      <c r="K75">
        <f ca="1"/>
        <v>0</v>
      </c>
    </row>
    <row r="76" spans="1:11" x14ac:dyDescent="0.35">
      <c r="A76" t="s">
        <v>927</v>
      </c>
      <c r="B76" cm="1">
        <f t="array" aca="1" ref="B76:K76" ca="1">((INDEX(Indicators,MATCH(EPD_version&amp;"GWP",Materials!$D:$D,0),MATCH("petrol combustion",Materials!$1:$1,0))*((1-enviro_disc)^Handle_years)*Handle_electricity_emissions:OFFSET(Handle_electricity_emissions,0,Results_timespan-1)^0)/0.15)*OFFSET(Handle_traffic_fleet,4,0):OFFSET(Handle_traffic_fleet,4,Results_timespan-1)</f>
        <v>0</v>
      </c>
      <c r="C76">
        <f ca="1"/>
        <v>0</v>
      </c>
      <c r="D76" s="2">
        <f ca="1"/>
        <v>0</v>
      </c>
      <c r="E76" s="2">
        <f ca="1"/>
        <v>0</v>
      </c>
      <c r="F76">
        <f ca="1"/>
        <v>0</v>
      </c>
      <c r="G76">
        <f ca="1"/>
        <v>0</v>
      </c>
      <c r="H76">
        <f ca="1"/>
        <v>0</v>
      </c>
      <c r="I76">
        <f ca="1"/>
        <v>0</v>
      </c>
      <c r="J76">
        <f ca="1"/>
        <v>0</v>
      </c>
      <c r="K76">
        <f ca="1"/>
        <v>0</v>
      </c>
    </row>
    <row r="77" spans="1:11" x14ac:dyDescent="0.35">
      <c r="A77" t="s">
        <v>928</v>
      </c>
      <c r="B77" cm="1">
        <f t="array" aca="1" ref="B77:K77" ca="1">((Handle_electricity_emissions:OFFSET(Handle_electricity_emissions,0,Results_timespan-1)*((1-enviro_disc)^Handle_years))/0.8)*OFFSET(Handle_traffic_fleet,5,0):OFFSET(Handle_traffic_fleet,5,Results_timespan-1)</f>
        <v>0</v>
      </c>
      <c r="C77">
        <f ca="1"/>
        <v>0</v>
      </c>
      <c r="D77" s="2">
        <f ca="1"/>
        <v>0</v>
      </c>
      <c r="E77" s="2">
        <f ca="1"/>
        <v>0</v>
      </c>
      <c r="F77">
        <f ca="1"/>
        <v>0</v>
      </c>
      <c r="G77">
        <f ca="1"/>
        <v>0</v>
      </c>
      <c r="H77">
        <f ca="1"/>
        <v>0</v>
      </c>
      <c r="I77">
        <f ca="1"/>
        <v>0</v>
      </c>
      <c r="J77">
        <f ca="1"/>
        <v>0</v>
      </c>
      <c r="K77">
        <f ca="1"/>
        <v>0</v>
      </c>
    </row>
    <row r="78" spans="1:11" x14ac:dyDescent="0.35">
      <c r="A78" t="s">
        <v>929</v>
      </c>
      <c r="B78" cm="1">
        <f t="array" aca="1" ref="B78:K78" ca="1">((INDEX(Indicators,MATCH(EPD_version&amp;"GWP",Materials!$D:$D,0),MATCH("bio-diesel combustion",Materials!$1:$1,0))*((1-enviro_disc)^Handle_years)*Handle_electricity_emissions:OFFSET(Handle_electricity_emissions,0,Results_timespan-1)^0)/0.15)*OFFSET(Handle_traffic_fleet,6,0):OFFSET(Handle_traffic_fleet,6,Results_timespan-1)</f>
        <v>0</v>
      </c>
      <c r="C78">
        <f ca="1"/>
        <v>0</v>
      </c>
      <c r="D78" s="2">
        <f ca="1"/>
        <v>0</v>
      </c>
      <c r="E78" s="2">
        <f ca="1"/>
        <v>0</v>
      </c>
      <c r="F78">
        <f ca="1"/>
        <v>0</v>
      </c>
      <c r="G78">
        <f ca="1"/>
        <v>0</v>
      </c>
      <c r="H78">
        <f ca="1"/>
        <v>0</v>
      </c>
      <c r="I78">
        <f ca="1"/>
        <v>0</v>
      </c>
      <c r="J78">
        <f ca="1"/>
        <v>0</v>
      </c>
      <c r="K78">
        <f ca="1"/>
        <v>0</v>
      </c>
    </row>
    <row r="81" spans="1:4" x14ac:dyDescent="0.35">
      <c r="A81" s="16" t="s">
        <v>930</v>
      </c>
      <c r="B81" s="6" cm="1">
        <f t="array" aca="1" ref="B81" ca="1">SUM(((INDEX(Indicators,MATCH(EPD_version&amp;"GWP",Materials!$D:$D,0),MATCH("diesel combustion (vehicle)",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f>
        <v>201.48261281872152</v>
      </c>
    </row>
    <row r="82" spans="1:4" x14ac:dyDescent="0.35">
      <c r="A82" s="17" t="s">
        <v>931</v>
      </c>
      <c r="B82" s="18" cm="1">
        <f t="array" aca="1" ref="B82" ca="1">SUM(((INDEX(Indicators,MATCH(EPD_version&amp;"GWP",Materials!$D:$D,0),MATCH("diesel combustion (vehicle)",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row>
    <row r="85" spans="1:4" x14ac:dyDescent="0.35">
      <c r="A85" s="16" t="s">
        <v>932</v>
      </c>
      <c r="B85" s="5" t="s">
        <v>933</v>
      </c>
      <c r="C85" s="5" t="s">
        <v>934</v>
      </c>
      <c r="D85" s="476"/>
    </row>
    <row r="86" spans="1:4" x14ac:dyDescent="0.35">
      <c r="A86" s="8" t="s">
        <v>906</v>
      </c>
      <c r="B86" s="1">
        <f>epsi_1_light-epsi_0_light</f>
        <v>0</v>
      </c>
      <c r="C86" s="1">
        <f>epsi_1_heavy-epsi_0_heavy</f>
        <v>0</v>
      </c>
      <c r="D86" s="477" t="s">
        <v>905</v>
      </c>
    </row>
    <row r="87" spans="1:4" x14ac:dyDescent="0.35">
      <c r="A87" s="8" t="s">
        <v>907</v>
      </c>
      <c r="B87" s="1">
        <f>epsi_2_light-epsi_0_light</f>
        <v>0</v>
      </c>
      <c r="C87" s="1">
        <f>epsi_2_heavy-epsi_0_heavy</f>
        <v>0</v>
      </c>
      <c r="D87" s="477" t="s">
        <v>905</v>
      </c>
    </row>
    <row r="88" spans="1:4" x14ac:dyDescent="0.35">
      <c r="A88" s="17" t="s">
        <v>908</v>
      </c>
      <c r="B88" s="9">
        <f>epsi_3_light-epsi_0_light</f>
        <v>0</v>
      </c>
      <c r="C88" s="258">
        <f>epsi_3_heavy-epsi_0_heavy</f>
        <v>0</v>
      </c>
      <c r="D88" s="68"/>
    </row>
    <row r="90" spans="1:4" x14ac:dyDescent="0.35">
      <c r="A90" s="286" t="s">
        <v>935</v>
      </c>
      <c r="B90" s="373">
        <f ca="1">SUM(Delay_emissions_table[AADT])*365*Area_trans*Roughness_switch</f>
        <v>0</v>
      </c>
    </row>
    <row r="92" spans="1:4" x14ac:dyDescent="0.35">
      <c r="A92" s="16" t="s">
        <v>906</v>
      </c>
      <c r="B92" s="374" cm="1">
        <f t="array" aca="1" ref="B92" ca="1">Traffic_flow*365*Area_trans*Roughness_switch*((epsi_1_light-epsi_0_light)*SUM(((INDEX(Indicators,MATCH(EPD_version&amp;"GWP",Materials!$D:$D,0),MATCH("diesel combustion (vehicle)",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1_heavy-epsi_0_heavy)*SUM(((INDEX(Indicators,MATCH(EPD_version&amp;"GWP",Materials!$D:$D,0),MATCH("diesel combustion (vehicle)",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c r="C92" s="6" t="s">
        <v>936</v>
      </c>
    </row>
    <row r="93" spans="1:4" x14ac:dyDescent="0.35">
      <c r="A93" s="8" t="s">
        <v>907</v>
      </c>
      <c r="B93" s="20" cm="1">
        <f t="array" aca="1" ref="B93" ca="1">Traffic_flow*365*Area_trans*Roughness_switch*((epsi_2_light-epsi_0_light)*SUM(((INDEX(Indicators,MATCH(EPD_version&amp;"GWP",Materials!$D:$D,0),MATCH("diesel combustion (vehicle)",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2_heavy-epsi_0_heavy)*SUM(((INDEX(Indicators,MATCH(EPD_version&amp;"GWP",Materials!$D:$D,0),MATCH("diesel combustion (vehicle)",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c r="C93" s="7" t="s">
        <v>936</v>
      </c>
    </row>
    <row r="94" spans="1:4" x14ac:dyDescent="0.35">
      <c r="A94" s="17" t="s">
        <v>908</v>
      </c>
      <c r="B94" s="256" cm="1">
        <f t="array" aca="1" ref="B94" ca="1">Traffic_flow*365*Area_trans*Roughness_switch*((epsi_3_light-epsi_0_light)*SUM(((INDEX(Indicators,MATCH(EPD_version&amp;"GWP",Materials!$D:$D,0),MATCH("diesel combustion (vehicle)",Materials!$1:$1,0))*((1-enviro_disc)^Handle_years)*Handle_electricity_emissions:OFFSET(Handle_electricity_emissions,0,Results_timespan-1)^0)/0.15)*OFFSET(Handle_traffic_fleet,0,0):OFFSET(Handle_traffic_fleet,0,Results_timespan-1),((INDEX(Indicators,MATCH(EPD_version&amp;"GWP",Materials!$D:$D,0),MATCH("petrol combustion",Materials!$1:$1,0))*((1-enviro_disc)^Handle_years)*Handle_electricity_emissions:OFFSET(Handle_electricity_emissions,0,Results_timespan-1)^0)/0.15)*OFFSET(Handle_traffic_fleet,1,0):OFFSET(Handle_traffic_fleet,1,Results_timespan-1),((Handle_electricity_emissions:OFFSET(Handle_electricity_emissions,0,Results_timespan-1)*((1-enviro_disc)^Handle_years))/0.8)*OFFSET(Handle_traffic_fleet,2,0):OFFSET(Handle_traffic_fleet,2,Results_timespan-1))+(epsi_3_heavy-epsi_0_heavy)*SUM(((INDEX(Indicators,MATCH(EPD_version&amp;"GWP",Materials!$D:$D,0),MATCH("diesel combustion (vehicle)",Materials!$1:$1,0))*((1-enviro_disc)^Handle_years)*Handle_electricity_emissions:OFFSET(Handle_electricity_emissions,0,Results_timespan-1)^0)/0.15)*OFFSET(Handle_traffic_fleet,3,0):OFFSET(Handle_traffic_fleet,3,Results_timespan-1),((INDEX(Indicators,MATCH(EPD_version&amp;"GWP",Materials!$D:$D,0),MATCH("petrol combustion",Materials!$1:$1,0))*((1-enviro_disc)^Handle_years)*Handle_electricity_emissions:OFFSET(Handle_electricity_emissions,0,Results_timespan-1)^0)/0.15)*OFFSET(Handle_traffic_fleet,4,0):OFFSET(Handle_traffic_fleet,4,Results_timespan-1),((Handle_electricity_emissions:OFFSET(Handle_electricity_emissions,0,Results_timespan-1)*((1-enviro_disc)^Handle_years))/0.8)*OFFSET(Handle_traffic_fleet,5,0):OFFSET(Handle_traffic_fleet,5,Results_timespan-1),((INDEX(Indicators,MATCH(EPD_version&amp;"GWP",Materials!$D:$D,0),MATCH("bio-diesel combustion",Materials!$1:$1,0))*((1-enviro_disc)^Handle_years)*Handle_electricity_emissions:OFFSET(Handle_electricity_emissions,0,Results_timespan-1)^0)/0.15)*OFFSET(Handle_traffic_fleet,6,0):OFFSET(Handle_traffic_fleet,6,Results_timespan-1)))</f>
        <v>0</v>
      </c>
      <c r="C94" s="18" t="s">
        <v>936</v>
      </c>
    </row>
  </sheetData>
  <dataValidations count="1">
    <dataValidation type="list" allowBlank="1" showInputMessage="1" showErrorMessage="1" sqref="B16 B19" xr:uid="{87C54526-E181-493A-BEA9-6828434B28E1}">
      <formula1>$G$16:$K$16</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76fd55f-2241-411d-9865-6bef3c1218be">
      <Terms xmlns="http://schemas.microsoft.com/office/infopath/2007/PartnerControls"/>
    </lcf76f155ced4ddcb4097134ff3c332f>
    <TaxCatchAll xmlns="db8c374f-2e7b-4353-8a95-bfff9e2fadf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0DC4CAE98253A4E8F612AA6FBF16121" ma:contentTypeVersion="16" ma:contentTypeDescription="Create a new document." ma:contentTypeScope="" ma:versionID="ef549697f2e3942e6e2d09513c38ff40">
  <xsd:schema xmlns:xsd="http://www.w3.org/2001/XMLSchema" xmlns:xs="http://www.w3.org/2001/XMLSchema" xmlns:p="http://schemas.microsoft.com/office/2006/metadata/properties" xmlns:ns2="576fd55f-2241-411d-9865-6bef3c1218be" xmlns:ns3="db8c374f-2e7b-4353-8a95-bfff9e2fadfb" targetNamespace="http://schemas.microsoft.com/office/2006/metadata/properties" ma:root="true" ma:fieldsID="0898f1bcba1975c2efb2e4dc4407340b" ns2:_="" ns3:_="">
    <xsd:import namespace="576fd55f-2241-411d-9865-6bef3c1218be"/>
    <xsd:import namespace="db8c374f-2e7b-4353-8a95-bfff9e2fad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6fd55f-2241-411d-9865-6bef3c121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4b948f-bea1-4d61-abd0-a60787be9a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8c374f-2e7b-4353-8a95-bfff9e2fadf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efb2ddb5-55c7-403a-96f6-72670c0aaaf6}" ma:internalName="TaxCatchAll" ma:showField="CatchAllData" ma:web="db8c374f-2e7b-4353-8a95-bfff9e2fad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0657FD-1E53-46E7-9F2B-6FA0DD499E3C}">
  <ds:schemaRefs>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576fd55f-2241-411d-9865-6bef3c1218be"/>
    <ds:schemaRef ds:uri="http://schemas.openxmlformats.org/package/2006/metadata/core-properties"/>
    <ds:schemaRef ds:uri="db8c374f-2e7b-4353-8a95-bfff9e2fadfb"/>
    <ds:schemaRef ds:uri="http://www.w3.org/XML/1998/namespace"/>
  </ds:schemaRefs>
</ds:datastoreItem>
</file>

<file path=customXml/itemProps2.xml><?xml version="1.0" encoding="utf-8"?>
<ds:datastoreItem xmlns:ds="http://schemas.openxmlformats.org/officeDocument/2006/customXml" ds:itemID="{593361D8-FA40-40F4-AFE7-5D583E2C7815}">
  <ds:schemaRefs>
    <ds:schemaRef ds:uri="http://schemas.microsoft.com/sharepoint/v3/contenttype/forms"/>
  </ds:schemaRefs>
</ds:datastoreItem>
</file>

<file path=customXml/itemProps3.xml><?xml version="1.0" encoding="utf-8"?>
<ds:datastoreItem xmlns:ds="http://schemas.openxmlformats.org/officeDocument/2006/customXml" ds:itemID="{4CD4A453-515C-4B54-A6CE-0DC451260C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6fd55f-2241-411d-9865-6bef3c1218be"/>
    <ds:schemaRef ds:uri="db8c374f-2e7b-4353-8a95-bfff9e2fad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d234255-e20f-4205-88a5-9658a402999b}" enabled="0" method="" siteId="{3d234255-e20f-4205-88a5-9658a402999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138</vt:i4>
      </vt:variant>
    </vt:vector>
  </HeadingPairs>
  <TitlesOfParts>
    <vt:vector size="151" baseType="lpstr">
      <vt:lpstr>User Guide</vt:lpstr>
      <vt:lpstr>Data Entry</vt:lpstr>
      <vt:lpstr>Maintenance &amp; Traffic Delay</vt:lpstr>
      <vt:lpstr>Impact Analysis</vt:lpstr>
      <vt:lpstr>Additional Impact Indicators</vt:lpstr>
      <vt:lpstr>Materials</vt:lpstr>
      <vt:lpstr>Dynamic Materials</vt:lpstr>
      <vt:lpstr>Pavement Deflection</vt:lpstr>
      <vt:lpstr>Surface Roughness</vt:lpstr>
      <vt:lpstr>Electricity projections</vt:lpstr>
      <vt:lpstr>Fleet Projection</vt:lpstr>
      <vt:lpstr>LookUpTables</vt:lpstr>
      <vt:lpstr>Change Log</vt:lpstr>
      <vt:lpstr>Area_trans</vt:lpstr>
      <vt:lpstr>Asphalt_plant_emissions</vt:lpstr>
      <vt:lpstr>Asphalt_process</vt:lpstr>
      <vt:lpstr>aver_hourly_veh_flow</vt:lpstr>
      <vt:lpstr>Cement_Supplier</vt:lpstr>
      <vt:lpstr>Charging_eff</vt:lpstr>
      <vt:lpstr>Data_limit</vt:lpstr>
      <vt:lpstr>delflec_switch</vt:lpstr>
      <vt:lpstr>Diesel_density</vt:lpstr>
      <vt:lpstr>Diesel_RawM_Prim</vt:lpstr>
      <vt:lpstr>Diesel_RawM_Sec</vt:lpstr>
      <vt:lpstr>Diesel_RawM_Tert</vt:lpstr>
      <vt:lpstr>E_modulus_Prim</vt:lpstr>
      <vt:lpstr>E_modulus_Sec</vt:lpstr>
      <vt:lpstr>E_modulus_Tert</vt:lpstr>
      <vt:lpstr>E40_PVI_deflec</vt:lpstr>
      <vt:lpstr>elec_project_emissions</vt:lpstr>
      <vt:lpstr>Elec_scenario</vt:lpstr>
      <vt:lpstr>Electricity_projection</vt:lpstr>
      <vt:lpstr>enviro_disc</vt:lpstr>
      <vt:lpstr>EoL_diesel_combustion</vt:lpstr>
      <vt:lpstr>EoL_Landfill_distance_Prim</vt:lpstr>
      <vt:lpstr>EoL_Landfill_distance_Sec</vt:lpstr>
      <vt:lpstr>EoL_Landfill_distance_Tert</vt:lpstr>
      <vt:lpstr>EoL_Recyc_distance_Prim</vt:lpstr>
      <vt:lpstr>EoL_Recyc_distance_Sec</vt:lpstr>
      <vt:lpstr>EoL_Recyc_distance_Tert</vt:lpstr>
      <vt:lpstr>EoL_recycl_rate_Prim</vt:lpstr>
      <vt:lpstr>EoL_recycl_rate_Sec</vt:lpstr>
      <vt:lpstr>EoL_recycl_rate_Tert</vt:lpstr>
      <vt:lpstr>EoL_treatment_Prim</vt:lpstr>
      <vt:lpstr>EoL_Treatment_Sec</vt:lpstr>
      <vt:lpstr>EoL_Treatment_Tert</vt:lpstr>
      <vt:lpstr>EPD_type</vt:lpstr>
      <vt:lpstr>EPD_version</vt:lpstr>
      <vt:lpstr>epsi_0_heavy</vt:lpstr>
      <vt:lpstr>epsi_0_light</vt:lpstr>
      <vt:lpstr>epsi_1_heavy</vt:lpstr>
      <vt:lpstr>epsi_1_light</vt:lpstr>
      <vt:lpstr>epsi_2_heavy</vt:lpstr>
      <vt:lpstr>epsi_2_light</vt:lpstr>
      <vt:lpstr>epsi_3_heavy</vt:lpstr>
      <vt:lpstr>epsi_3_light</vt:lpstr>
      <vt:lpstr>Handle_electricity_emissions</vt:lpstr>
      <vt:lpstr>Handle_Recyc_mat</vt:lpstr>
      <vt:lpstr>Handle_Scenario1</vt:lpstr>
      <vt:lpstr>Handle_Scenario2</vt:lpstr>
      <vt:lpstr>Handle_Scenario3</vt:lpstr>
      <vt:lpstr>Handle_traffic_fleet</vt:lpstr>
      <vt:lpstr>Handle_Wearing_Course</vt:lpstr>
      <vt:lpstr>Idiling_fuel_consumption</vt:lpstr>
      <vt:lpstr>Indicators</vt:lpstr>
      <vt:lpstr>IRI_Prim</vt:lpstr>
      <vt:lpstr>IRI_Sec</vt:lpstr>
      <vt:lpstr>IRI_Tert</vt:lpstr>
      <vt:lpstr>Main_crack_diesel_Prim</vt:lpstr>
      <vt:lpstr>Main_crack_dist_Prim</vt:lpstr>
      <vt:lpstr>Main_crack_Prim</vt:lpstr>
      <vt:lpstr>Main_dig_diesel_Prim</vt:lpstr>
      <vt:lpstr>Main_dig_diesel_Sec</vt:lpstr>
      <vt:lpstr>Main_dig_diesel_Tert</vt:lpstr>
      <vt:lpstr>Main_Dig_dist_Prim</vt:lpstr>
      <vt:lpstr>Main_Dig_dist_Sec</vt:lpstr>
      <vt:lpstr>Main_Dig_dist_Tert</vt:lpstr>
      <vt:lpstr>Main_Dig_Prim</vt:lpstr>
      <vt:lpstr>Main_Dig_Sec</vt:lpstr>
      <vt:lpstr>Main_Dig_Tert</vt:lpstr>
      <vt:lpstr>Main_lay_diesel_Prim</vt:lpstr>
      <vt:lpstr>Main_Lay_dist_Prim</vt:lpstr>
      <vt:lpstr>Main_Lay_Prim</vt:lpstr>
      <vt:lpstr>Main_Mill_diesel_Prim</vt:lpstr>
      <vt:lpstr>Main_Mill_dist_Prim</vt:lpstr>
      <vt:lpstr>Main_Mill_Prim</vt:lpstr>
      <vt:lpstr>Main_patch_diesel_Prim</vt:lpstr>
      <vt:lpstr>Main_Patch_dist_Prim</vt:lpstr>
      <vt:lpstr>Main_Patch_Prim</vt:lpstr>
      <vt:lpstr>Main_pothole_diesel_Prim</vt:lpstr>
      <vt:lpstr>Main_Pothole_dist_Prim</vt:lpstr>
      <vt:lpstr>Main_Pothole_Prim</vt:lpstr>
      <vt:lpstr>Main_Rip_diesel_Prim</vt:lpstr>
      <vt:lpstr>Main_Rip_dist_Prim</vt:lpstr>
      <vt:lpstr>Main_Rip_Prim</vt:lpstr>
      <vt:lpstr>Main_Shoulder_diesel_Prim</vt:lpstr>
      <vt:lpstr>Main_Shoulder_dist_Prim</vt:lpstr>
      <vt:lpstr>Main_Shoulder_Prim</vt:lpstr>
      <vt:lpstr>Main_Surface_diesel_Prim</vt:lpstr>
      <vt:lpstr>Main_Surface_dist_Prim</vt:lpstr>
      <vt:lpstr>Main_Surface_Prim</vt:lpstr>
      <vt:lpstr>Main_truck_crack_Prim</vt:lpstr>
      <vt:lpstr>Main_truck_Dig_Prim</vt:lpstr>
      <vt:lpstr>Main_Truck_Dig_Sec</vt:lpstr>
      <vt:lpstr>Main_Truck_Dig_Tert</vt:lpstr>
      <vt:lpstr>Main_truck_Lay_Prim</vt:lpstr>
      <vt:lpstr>Main_truck_Mill_Prim</vt:lpstr>
      <vt:lpstr>Main_truck_Patch_Prim</vt:lpstr>
      <vt:lpstr>Main_truck_pothole_prim</vt:lpstr>
      <vt:lpstr>Main_truck_Rip_Prim</vt:lpstr>
      <vt:lpstr>Main_truck_Shoulder_Prim</vt:lpstr>
      <vt:lpstr>Main_truck_Surface_Prim</vt:lpstr>
      <vt:lpstr>Max_thickness</vt:lpstr>
      <vt:lpstr>Min_thickness</vt:lpstr>
      <vt:lpstr>P_Length</vt:lpstr>
      <vt:lpstr>P_Width</vt:lpstr>
      <vt:lpstr>Per_Heavy</vt:lpstr>
      <vt:lpstr>Prim_EoL</vt:lpstr>
      <vt:lpstr>Prim_Lays</vt:lpstr>
      <vt:lpstr>Prim_Life</vt:lpstr>
      <vt:lpstr>Project_Area</vt:lpstr>
      <vt:lpstr>PVI_fuel_energy_density</vt:lpstr>
      <vt:lpstr>PVI_vehicle_EFC</vt:lpstr>
      <vt:lpstr>Rate_eff_change</vt:lpstr>
      <vt:lpstr>RCC_switch_Prim</vt:lpstr>
      <vt:lpstr>RCC_switch_Sec</vt:lpstr>
      <vt:lpstr>RCC_switch_Tert</vt:lpstr>
      <vt:lpstr>Recyc_mat_energy_input</vt:lpstr>
      <vt:lpstr>Results</vt:lpstr>
      <vt:lpstr>Roughness_switch</vt:lpstr>
      <vt:lpstr>Sec_EoL</vt:lpstr>
      <vt:lpstr>Sec_Lays</vt:lpstr>
      <vt:lpstr>Sec_Life</vt:lpstr>
      <vt:lpstr>Sec_Maintenance</vt:lpstr>
      <vt:lpstr>speed_limit</vt:lpstr>
      <vt:lpstr>Steel_supplier</vt:lpstr>
      <vt:lpstr>Subgrade_stiffness_Prim</vt:lpstr>
      <vt:lpstr>Subgrade_stiffness_Sec</vt:lpstr>
      <vt:lpstr>Subgrade_stiffness_Tert</vt:lpstr>
      <vt:lpstr>Surface_thickness_Prim</vt:lpstr>
      <vt:lpstr>Surface_thickness_Sec</vt:lpstr>
      <vt:lpstr>Surface_thickness_Tert</vt:lpstr>
      <vt:lpstr>Tert_EoL</vt:lpstr>
      <vt:lpstr>Tert_Lays</vt:lpstr>
      <vt:lpstr>Tert_life</vt:lpstr>
      <vt:lpstr>Tert_life_Life</vt:lpstr>
      <vt:lpstr>test</vt:lpstr>
      <vt:lpstr>Timeline_elec_projec</vt:lpstr>
      <vt:lpstr>Traffic_flow</vt:lpstr>
      <vt:lpstr>Traffic_growth_rate</vt:lpstr>
      <vt:lpstr>Wearing_Composition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dc:creator>
  <cp:keywords/>
  <dc:description/>
  <cp:lastModifiedBy>Helen Rickerby</cp:lastModifiedBy>
  <cp:revision/>
  <dcterms:created xsi:type="dcterms:W3CDTF">2015-06-05T18:17:20Z</dcterms:created>
  <dcterms:modified xsi:type="dcterms:W3CDTF">2024-01-29T20:43:31Z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0x01010090DC4CAE98253A4E8F612AA6FBF16121</vt:lpwstr>
  </property>
  <property fmtid="{D5CDD505-2E9C-101B-9397-08002B2CF9AE}" pid="3" name="MediaServiceImageTags">
    <vt:lpwstr/>
  </property>
</Properties>
</file>